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240" yWindow="40" windowWidth="23960" windowHeight="15480" activeTab="5"/>
  </bookViews>
  <sheets>
    <sheet name="errors" sheetId="7" r:id="rId1"/>
    <sheet name="datetime" sheetId="1" r:id="rId2"/>
    <sheet name="condition" sheetId="2" r:id="rId3"/>
    <sheet name="calculation" sheetId="3" r:id="rId4"/>
    <sheet name="math" sheetId="4" r:id="rId5"/>
    <sheet name="transpose" sheetId="6" r:id="rId6"/>
    <sheet name="Pivot table" sheetId="5" r:id="rId7"/>
  </sheets>
  <definedNames>
    <definedName name="brand">calculation!$C$2:$C$120</definedName>
    <definedName name="MonthlyFee">calculation!$A$2:$A$120</definedName>
    <definedName name="Sex">calculation!$B$2:$B$120</definedName>
    <definedName name="telecom">calculation!$D$2:$D$120</definedName>
  </definedNames>
  <calcPr calcId="140001" concurrentCalc="0"/>
  <pivotCaches>
    <pivotCache cacheId="0" r:id="rId8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5" i="3" l="1"/>
  <c r="I71" i="3"/>
  <c r="H71" i="3"/>
  <c r="H54" i="3"/>
  <c r="H55" i="3"/>
  <c r="H53" i="3"/>
  <c r="H48" i="3"/>
  <c r="H49" i="3"/>
  <c r="H50" i="3"/>
  <c r="H45" i="3"/>
  <c r="H44" i="3"/>
  <c r="H43" i="3"/>
  <c r="H2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H1" i="3"/>
  <c r="H40" i="3"/>
  <c r="H39" i="3"/>
  <c r="H38" i="3"/>
  <c r="H34" i="3"/>
  <c r="H35" i="3"/>
  <c r="H33" i="3"/>
  <c r="I81" i="3"/>
  <c r="I82" i="3"/>
  <c r="H65" i="3"/>
  <c r="B1" i="6" a="1"/>
  <c r="B1" i="6"/>
  <c r="C1" i="6"/>
  <c r="E1" i="6"/>
  <c r="H69" i="3"/>
  <c r="H61" i="3"/>
  <c r="I67" i="3"/>
  <c r="A121" i="3"/>
  <c r="H67" i="3"/>
  <c r="H63" i="3"/>
  <c r="H57" i="3"/>
  <c r="H24" i="3"/>
  <c r="H21" i="3"/>
  <c r="H20" i="3"/>
  <c r="H18" i="3"/>
  <c r="H4" i="3"/>
  <c r="H29" i="3"/>
  <c r="O2" i="3"/>
  <c r="O3" i="3"/>
  <c r="O4" i="3"/>
  <c r="O5" i="3"/>
  <c r="O6" i="3"/>
  <c r="O7" i="3"/>
  <c r="O8" i="3"/>
  <c r="O9" i="3"/>
  <c r="O10" i="3"/>
  <c r="O11" i="3"/>
  <c r="H28" i="3"/>
  <c r="H7" i="3"/>
  <c r="H9" i="3"/>
  <c r="P2" i="3"/>
  <c r="P3" i="3"/>
  <c r="A17" i="2"/>
  <c r="B21" i="2"/>
  <c r="C17" i="2"/>
  <c r="F8" i="2"/>
  <c r="F9" i="2"/>
  <c r="F10" i="2"/>
  <c r="F11" i="2"/>
  <c r="F12" i="2"/>
  <c r="F13" i="2"/>
  <c r="F7" i="2"/>
  <c r="B4" i="4"/>
  <c r="B2" i="4"/>
  <c r="B1" i="4"/>
  <c r="D8" i="2"/>
  <c r="D9" i="2"/>
  <c r="D10" i="2"/>
  <c r="D11" i="2"/>
  <c r="D12" i="2"/>
  <c r="D13" i="2"/>
  <c r="D14" i="2"/>
  <c r="D7" i="2"/>
  <c r="H25" i="3"/>
  <c r="H23" i="3"/>
  <c r="H22" i="3"/>
  <c r="H17" i="3"/>
  <c r="H16" i="3"/>
  <c r="H15" i="3"/>
  <c r="H14" i="3"/>
  <c r="H11" i="3"/>
  <c r="H10" i="3"/>
  <c r="H8" i="3"/>
  <c r="H6" i="3"/>
  <c r="H3" i="3"/>
  <c r="H58" i="3"/>
  <c r="H27" i="3"/>
  <c r="H30" i="3"/>
  <c r="O7" i="2"/>
  <c r="B2" i="1"/>
  <c r="G2" i="1"/>
  <c r="A7" i="2"/>
  <c r="B7" i="2"/>
  <c r="G7" i="2"/>
  <c r="A8" i="2"/>
  <c r="B8" i="2"/>
  <c r="G8" i="2"/>
  <c r="A9" i="2"/>
  <c r="B9" i="2"/>
  <c r="G9" i="2"/>
  <c r="A10" i="2"/>
  <c r="B10" i="2"/>
  <c r="G10" i="2"/>
  <c r="A11" i="2"/>
  <c r="B11" i="2"/>
  <c r="G11" i="2"/>
  <c r="A12" i="2"/>
  <c r="B12" i="2"/>
  <c r="G12" i="2"/>
  <c r="A13" i="2"/>
  <c r="B13" i="2"/>
  <c r="G13" i="2"/>
  <c r="J3" i="2"/>
  <c r="J2" i="2"/>
  <c r="F3" i="2"/>
  <c r="G3" i="2"/>
  <c r="G2" i="2"/>
  <c r="C2" i="2"/>
  <c r="B3" i="2"/>
  <c r="C3" i="2"/>
  <c r="F2" i="2"/>
  <c r="B2" i="2"/>
  <c r="B22" i="1"/>
  <c r="C22" i="1"/>
  <c r="K8" i="5"/>
  <c r="L7" i="5"/>
  <c r="M6" i="5"/>
  <c r="J5" i="5"/>
  <c r="K5" i="5"/>
  <c r="K7" i="5"/>
  <c r="M8" i="5"/>
  <c r="N7" i="5"/>
  <c r="J7" i="5"/>
  <c r="K6" i="5"/>
  <c r="M5" i="5"/>
  <c r="L8" i="5"/>
  <c r="M7" i="5"/>
  <c r="N6" i="5"/>
  <c r="J6" i="5"/>
  <c r="L5" i="5"/>
  <c r="N8" i="5"/>
  <c r="J8" i="5"/>
  <c r="L6" i="5"/>
  <c r="N5" i="5"/>
  <c r="B3" i="1"/>
  <c r="B4" i="1"/>
  <c r="D4" i="1"/>
  <c r="C7" i="2"/>
  <c r="C11" i="2"/>
  <c r="C13" i="2"/>
  <c r="C9" i="2"/>
  <c r="C12" i="2"/>
  <c r="C10" i="2"/>
  <c r="C8" i="2"/>
  <c r="F1" i="6"/>
  <c r="D1" i="6"/>
  <c r="H12" i="3"/>
  <c r="N2" i="1"/>
  <c r="L2" i="1"/>
  <c r="K2" i="1"/>
  <c r="J2" i="1"/>
  <c r="I2" i="1"/>
  <c r="H2" i="1"/>
  <c r="E22" i="1"/>
  <c r="F2" i="1"/>
  <c r="D2" i="1"/>
  <c r="C2" i="1"/>
  <c r="E2" i="1"/>
  <c r="G14" i="2"/>
  <c r="I12" i="2"/>
  <c r="I10" i="2"/>
  <c r="I8" i="2"/>
  <c r="I13" i="2"/>
  <c r="N13" i="2"/>
  <c r="I11" i="2"/>
  <c r="I9" i="2"/>
  <c r="I7" i="2"/>
  <c r="P7" i="2"/>
  <c r="H12" i="2"/>
  <c r="H10" i="2"/>
  <c r="H8" i="2"/>
  <c r="H13" i="2"/>
  <c r="H11" i="2"/>
  <c r="H9" i="2"/>
  <c r="H7" i="2"/>
  <c r="D22" i="1"/>
  <c r="J3" i="1"/>
  <c r="N4" i="1"/>
  <c r="D3" i="1"/>
  <c r="F4" i="1"/>
  <c r="C3" i="1"/>
  <c r="B5" i="1"/>
  <c r="G4" i="1"/>
  <c r="E4" i="1"/>
  <c r="L4" i="1"/>
  <c r="I4" i="1"/>
  <c r="H4" i="1"/>
  <c r="C4" i="1"/>
  <c r="L3" i="1"/>
  <c r="H3" i="1"/>
  <c r="E3" i="1"/>
  <c r="K4" i="1"/>
  <c r="J4" i="1"/>
  <c r="I3" i="1"/>
  <c r="G3" i="1"/>
  <c r="F3" i="1"/>
  <c r="N3" i="1"/>
  <c r="K3" i="1"/>
  <c r="O8" i="2"/>
  <c r="N11" i="2"/>
  <c r="O12" i="2"/>
  <c r="N8" i="2"/>
  <c r="O9" i="2"/>
  <c r="N12" i="2"/>
  <c r="O13" i="2"/>
  <c r="N9" i="2"/>
  <c r="O10" i="2"/>
  <c r="N10" i="2"/>
  <c r="O11" i="2"/>
  <c r="N7" i="2"/>
  <c r="L7" i="2"/>
  <c r="M7" i="2"/>
  <c r="K9" i="2"/>
  <c r="L9" i="2"/>
  <c r="M9" i="2"/>
  <c r="K13" i="2"/>
  <c r="L13" i="2"/>
  <c r="M13" i="2"/>
  <c r="K10" i="2"/>
  <c r="L10" i="2"/>
  <c r="M10" i="2"/>
  <c r="K11" i="2"/>
  <c r="L11" i="2"/>
  <c r="M11" i="2"/>
  <c r="K8" i="2"/>
  <c r="L8" i="2"/>
  <c r="M8" i="2"/>
  <c r="K12" i="2"/>
  <c r="L12" i="2"/>
  <c r="M12" i="2"/>
  <c r="I14" i="2"/>
  <c r="K7" i="2"/>
  <c r="H14" i="2"/>
  <c r="N5" i="1"/>
  <c r="I5" i="1"/>
  <c r="H5" i="1"/>
  <c r="D5" i="1"/>
  <c r="B6" i="1"/>
  <c r="F5" i="1"/>
  <c r="G5" i="1"/>
  <c r="E5" i="1"/>
  <c r="C5" i="1"/>
  <c r="K5" i="1"/>
  <c r="L5" i="1"/>
  <c r="J5" i="1"/>
  <c r="B7" i="1"/>
  <c r="L6" i="1"/>
  <c r="C6" i="1"/>
  <c r="G6" i="1"/>
  <c r="E6" i="1"/>
  <c r="I6" i="1"/>
  <c r="H6" i="1"/>
  <c r="D6" i="1"/>
  <c r="F6" i="1"/>
  <c r="N6" i="1"/>
  <c r="J6" i="1"/>
  <c r="K6" i="1"/>
  <c r="J7" i="1"/>
  <c r="I7" i="1"/>
  <c r="H7" i="1"/>
  <c r="B8" i="1"/>
  <c r="K7" i="1"/>
  <c r="G7" i="1"/>
  <c r="E7" i="1"/>
  <c r="F7" i="1"/>
  <c r="N7" i="1"/>
  <c r="C7" i="1"/>
  <c r="D7" i="1"/>
  <c r="L7" i="1"/>
  <c r="B9" i="1"/>
  <c r="O8" i="1"/>
  <c r="G8" i="1"/>
  <c r="E8" i="1"/>
  <c r="M8" i="1"/>
  <c r="L8" i="1"/>
  <c r="I8" i="1"/>
  <c r="H8" i="1"/>
  <c r="C8" i="1"/>
  <c r="J8" i="1"/>
  <c r="K8" i="1"/>
  <c r="D8" i="1"/>
  <c r="F8" i="1"/>
  <c r="N8" i="1"/>
  <c r="O9" i="1"/>
  <c r="I9" i="1"/>
  <c r="H9" i="1"/>
  <c r="F9" i="1"/>
  <c r="B10" i="1"/>
  <c r="M9" i="1"/>
  <c r="N9" i="1"/>
  <c r="D9" i="1"/>
  <c r="G9" i="1"/>
  <c r="E9" i="1"/>
  <c r="C9" i="1"/>
  <c r="J9" i="1"/>
  <c r="L9" i="1"/>
  <c r="K9" i="1"/>
  <c r="B11" i="1"/>
  <c r="M10" i="1"/>
  <c r="L10" i="1"/>
  <c r="C10" i="1"/>
  <c r="G10" i="1"/>
  <c r="E10" i="1"/>
  <c r="O10" i="1"/>
  <c r="I10" i="1"/>
  <c r="H10" i="1"/>
  <c r="D10" i="1"/>
  <c r="F10" i="1"/>
  <c r="N10" i="1"/>
  <c r="J10" i="1"/>
  <c r="K10" i="1"/>
  <c r="O2" i="1"/>
  <c r="M2" i="1"/>
  <c r="K11" i="1"/>
  <c r="I11" i="1"/>
  <c r="H11" i="1"/>
  <c r="B12" i="1"/>
  <c r="J11" i="1"/>
  <c r="G11" i="1"/>
  <c r="E11" i="1"/>
  <c r="D11" i="1"/>
  <c r="M11" i="1"/>
  <c r="C11" i="1"/>
  <c r="F11" i="1"/>
  <c r="L11" i="1"/>
  <c r="N11" i="1"/>
  <c r="O11" i="1"/>
  <c r="M3" i="1"/>
  <c r="O3" i="1"/>
  <c r="B13" i="1"/>
  <c r="O12" i="1"/>
  <c r="G12" i="1"/>
  <c r="E12" i="1"/>
  <c r="M12" i="1"/>
  <c r="L12" i="1"/>
  <c r="I12" i="1"/>
  <c r="H12" i="1"/>
  <c r="C12" i="1"/>
  <c r="J12" i="1"/>
  <c r="K12" i="1"/>
  <c r="D12" i="1"/>
  <c r="F12" i="1"/>
  <c r="N12" i="1"/>
  <c r="O4" i="1"/>
  <c r="M4" i="1"/>
  <c r="M13" i="1"/>
  <c r="N13" i="1"/>
  <c r="I13" i="1"/>
  <c r="H13" i="1"/>
  <c r="D13" i="1"/>
  <c r="B14" i="1"/>
  <c r="O13" i="1"/>
  <c r="F13" i="1"/>
  <c r="G13" i="1"/>
  <c r="E13" i="1"/>
  <c r="C13" i="1"/>
  <c r="K13" i="1"/>
  <c r="L13" i="1"/>
  <c r="J13" i="1"/>
  <c r="O5" i="1"/>
  <c r="M5" i="1"/>
  <c r="B15" i="1"/>
  <c r="M14" i="1"/>
  <c r="L14" i="1"/>
  <c r="C14" i="1"/>
  <c r="G14" i="1"/>
  <c r="E14" i="1"/>
  <c r="O14" i="1"/>
  <c r="I14" i="1"/>
  <c r="H14" i="1"/>
  <c r="D14" i="1"/>
  <c r="F14" i="1"/>
  <c r="N14" i="1"/>
  <c r="J14" i="1"/>
  <c r="K14" i="1"/>
  <c r="M6" i="1"/>
  <c r="O6" i="1"/>
  <c r="J15" i="1"/>
  <c r="I15" i="1"/>
  <c r="H15" i="1"/>
  <c r="O15" i="1"/>
  <c r="K15" i="1"/>
  <c r="G15" i="1"/>
  <c r="E15" i="1"/>
  <c r="F15" i="1"/>
  <c r="N15" i="1"/>
  <c r="C15" i="1"/>
  <c r="D15" i="1"/>
  <c r="L15" i="1"/>
  <c r="M15" i="1"/>
  <c r="O7" i="1"/>
  <c r="M7" i="1"/>
</calcChain>
</file>

<file path=xl/comments1.xml><?xml version="1.0" encoding="utf-8"?>
<comments xmlns="http://schemas.openxmlformats.org/spreadsheetml/2006/main">
  <authors>
    <author>hatted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Bank use 360/yr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Sun=1, Sat=7
Default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Mon=1, Sun=7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Mon=0, Sun=6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weeknum 1/1 as first week, start from Sun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weeknum 1/1 as first week, start from Mon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number of days between startdate and enddate without satuday and sunday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number of days between startdate and enddate without weekend, holidays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enddate from startdate+# of days
no Saturday, Sunday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enddate from startdate+# of days, 
no weekend, holiday</t>
        </r>
      </text>
    </comment>
  </commentList>
</comments>
</file>

<file path=xl/comments2.xml><?xml version="1.0" encoding="utf-8"?>
<comments xmlns="http://schemas.openxmlformats.org/spreadsheetml/2006/main">
  <authors>
    <author>hatted</author>
  </authors>
  <commentList>
    <comment ref="P6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if #N/A, #VALUE!, #REF!, #DIV/0!, #num, #name, #null
then error message
no error display original value</t>
        </r>
      </text>
    </comment>
  </commentList>
</comments>
</file>

<file path=xl/comments3.xml><?xml version="1.0" encoding="utf-8"?>
<comments xmlns="http://schemas.openxmlformats.org/spreadsheetml/2006/main">
  <authors>
    <author>hatted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check I20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less affected by extreme value.
Eg. $5000 or -$1000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find max from none empty cell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find min from none empty cell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check if 2 values are exactly the same
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find a word location within a cell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substring (cell, start location, number of characters)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replace substring, case-senitive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replace substring from the second appearance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reminder after division</t>
        </r>
      </text>
    </comment>
    <comment ref="G28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0 = standard deviation
&gt;0 = more on right on graph
&lt;0 = more on left on graph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hatted:</t>
        </r>
        <r>
          <rPr>
            <sz val="9"/>
            <color indexed="81"/>
            <rFont val="Tahoma"/>
            <family val="2"/>
          </rPr>
          <t xml:space="preserve">
check graph peaks
=3 = standard deviation
&gt;3 = more sharp peak
&lt;3 = more flat peak</t>
        </r>
      </text>
    </comment>
  </commentList>
</comments>
</file>

<file path=xl/sharedStrings.xml><?xml version="1.0" encoding="utf-8"?>
<sst xmlns="http://schemas.openxmlformats.org/spreadsheetml/2006/main" count="527" uniqueCount="160">
  <si>
    <t>Day</t>
    <phoneticPr fontId="1" type="noConversion"/>
  </si>
  <si>
    <t>Days360</t>
    <phoneticPr fontId="1" type="noConversion"/>
  </si>
  <si>
    <t>Now</t>
    <phoneticPr fontId="1" type="noConversion"/>
  </si>
  <si>
    <t>Hour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</si>
  <si>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</si>
  <si>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</si>
  <si>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</si>
  <si>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int</t>
    <phoneticPr fontId="1" type="noConversion"/>
  </si>
  <si>
    <t>round</t>
    <phoneticPr fontId="1" type="noConversion"/>
  </si>
  <si>
    <t>30&lt; x &lt;80</t>
    <phoneticPr fontId="1" type="noConversion"/>
  </si>
  <si>
    <t>x&lt;30, 80&lt;x</t>
    <phoneticPr fontId="1" type="noConversion"/>
  </si>
  <si>
    <t>IF (check, true, false)</t>
    <phoneticPr fontId="1" type="noConversion"/>
  </si>
  <si>
    <t>Today</t>
  </si>
  <si>
    <t>Year</t>
  </si>
  <si>
    <t>Month</t>
  </si>
  <si>
    <t>Weekday</t>
  </si>
  <si>
    <t>Minute</t>
  </si>
  <si>
    <t>Second</t>
  </si>
  <si>
    <t>Weeknum</t>
  </si>
  <si>
    <t>Networkdays</t>
  </si>
  <si>
    <t>Workday</t>
  </si>
  <si>
    <t>2 decimal</t>
  </si>
  <si>
    <t>NOT</t>
  </si>
  <si>
    <t>IF (IF (IF (check, true, false), true, false), true, false)</t>
  </si>
  <si>
    <t>iferror</t>
  </si>
  <si>
    <t>Monthly Fee</t>
  </si>
  <si>
    <t>Sex</t>
  </si>
  <si>
    <t>Average</t>
  </si>
  <si>
    <t>average deviation</t>
  </si>
  <si>
    <t>Standard Deviation</t>
  </si>
  <si>
    <t>Median</t>
  </si>
  <si>
    <t>Mode</t>
  </si>
  <si>
    <t>Max</t>
  </si>
  <si>
    <t>Min</t>
  </si>
  <si>
    <t>Second Small</t>
  </si>
  <si>
    <t>Second Large</t>
  </si>
  <si>
    <t>Range</t>
  </si>
  <si>
    <t>Count</t>
  </si>
  <si>
    <t>counta</t>
  </si>
  <si>
    <t>countblank</t>
  </si>
  <si>
    <t>countif</t>
  </si>
  <si>
    <t>rank</t>
  </si>
  <si>
    <t>exact</t>
  </si>
  <si>
    <t>find</t>
  </si>
  <si>
    <t>mid</t>
  </si>
  <si>
    <t>substitute</t>
  </si>
  <si>
    <t>mod</t>
  </si>
  <si>
    <t>SQRT</t>
  </si>
  <si>
    <t>^(1/2)</t>
  </si>
  <si>
    <t>square</t>
  </si>
  <si>
    <t>sheet: RAND</t>
  </si>
  <si>
    <t>sheet: RAND 10000.000</t>
  </si>
  <si>
    <t>sheet: RAND 10000</t>
  </si>
  <si>
    <t>Home -&gt; Number -&gt; Decrease Decimal</t>
  </si>
  <si>
    <t>sheet: Random Number Generator</t>
  </si>
  <si>
    <t>Microsoft Office Button -&gt; Excel Options -&gt; Add-Ins -&gt; Manage box -&gt; Excel Add-ins -&gt; Go -&gt; Add-Ins available box -&gt; Analysis ToolPak -&gt; OK</t>
  </si>
  <si>
    <t>(Tip  If Analysis ToolPak is not listed in the Add-Ins available box, click Browse to locate it.)</t>
  </si>
  <si>
    <t>If you get prompted that the Analysis ToolPak is not currently installed on your computer, click Yes to install it.</t>
  </si>
  <si>
    <t xml:space="preserve">After you load the Analysis ToolPak, the Data Analysis command is available in the Analysis group on the Data tab. </t>
  </si>
  <si>
    <t>Data -&gt; Analysis -&gt; Data Analysis -&gt; Random Number Generator</t>
  </si>
  <si>
    <t>Number of Variables: 5(same as column)</t>
  </si>
  <si>
    <t>Number of Random Numbers: 5(same as row)</t>
  </si>
  <si>
    <t>Distribution: Uniform</t>
  </si>
  <si>
    <t>Output Range:$B$2</t>
  </si>
  <si>
    <t>frequency???</t>
  </si>
  <si>
    <t>Brand</t>
  </si>
  <si>
    <t>iPhone</t>
  </si>
  <si>
    <t>Nokia</t>
  </si>
  <si>
    <t>Sony Ericsson</t>
  </si>
  <si>
    <t>Samsung</t>
  </si>
  <si>
    <t>HTC</t>
  </si>
  <si>
    <t>Telecom</t>
  </si>
  <si>
    <t>People</t>
  </si>
  <si>
    <t>PCCW</t>
  </si>
  <si>
    <t>Smartone</t>
  </si>
  <si>
    <t>Newworld</t>
  </si>
  <si>
    <t>Sum of Monthly Fee</t>
  </si>
  <si>
    <t>Grand Total</t>
  </si>
  <si>
    <t>steps</t>
  </si>
  <si>
    <t>rename A4 to Telecom</t>
  </si>
  <si>
    <t>rename B3 to Brand</t>
  </si>
  <si>
    <t>reason is even we filter any one of the fields, the result do not move</t>
  </si>
  <si>
    <t>DAVERAGE???</t>
  </si>
  <si>
    <t>dcount??</t>
  </si>
  <si>
    <t>Mina</t>
  </si>
  <si>
    <t>Maxa</t>
  </si>
  <si>
    <t>skew</t>
  </si>
  <si>
    <t>kurt</t>
  </si>
  <si>
    <t>Column1</t>
  </si>
  <si>
    <t>Mean</t>
  </si>
  <si>
    <t>Standard Error</t>
  </si>
  <si>
    <t>Sample Variance</t>
  </si>
  <si>
    <t>Kurtosis</t>
  </si>
  <si>
    <t>Skewness</t>
  </si>
  <si>
    <t>Minimum</t>
  </si>
  <si>
    <t>Maximum</t>
  </si>
  <si>
    <t>Sum</t>
  </si>
  <si>
    <t>Largest(2)</t>
  </si>
  <si>
    <t>Smallest(2)</t>
  </si>
  <si>
    <t xml:space="preserve">Data -&gt; Data Analysis -&gt; Descriptive Statistics -&gt; </t>
  </si>
  <si>
    <t>Input Range: $A$2:$A$120</t>
  </si>
  <si>
    <t>Grouped By: Columns</t>
  </si>
  <si>
    <t>Output Range: $I$7</t>
  </si>
  <si>
    <t>Summary statistics</t>
  </si>
  <si>
    <t>Kth Largest: 2</t>
  </si>
  <si>
    <t>Kth Smallest: 2</t>
  </si>
  <si>
    <t>Geomean</t>
  </si>
  <si>
    <t>sum if &lt;1000</t>
  </si>
  <si>
    <t>average if &lt;1000</t>
  </si>
  <si>
    <t># of people using iPhone</t>
  </si>
  <si>
    <t>Total monthly fee of Male</t>
  </si>
  <si>
    <t>Average monthly fee of Male</t>
  </si>
  <si>
    <t>Total monthly fee of Female</t>
  </si>
  <si>
    <t>Average monthly fee of Female</t>
  </si>
  <si>
    <t>Average monthly fee of PCCW</t>
  </si>
  <si>
    <t>Total monthly fee of PCCW</t>
  </si>
  <si>
    <t># of people using Newworld</t>
  </si>
  <si>
    <t># of people using Newworld and iPhone</t>
  </si>
  <si>
    <t>a1</t>
  </si>
  <si>
    <t>a2</t>
  </si>
  <si>
    <t>a3</t>
  </si>
  <si>
    <t>a4</t>
  </si>
  <si>
    <t>a5</t>
  </si>
  <si>
    <t>=TRANSPOSE(A2:A6) + (ctrl+shift+enter)</t>
  </si>
  <si>
    <t>Error Value</t>
  </si>
  <si>
    <t>Cause</t>
  </si>
  <si>
    <t>#####</t>
  </si>
  <si>
    <t>#VALUE</t>
  </si>
  <si>
    <t>Column not wide enough to display result, or negative date or time is used</t>
  </si>
  <si>
    <t>Wrong type of arguemnt or operand is used</t>
  </si>
  <si>
    <t>Number is divided by zero</t>
  </si>
  <si>
    <t>Text in formular not recognized</t>
  </si>
  <si>
    <t>Value not available</t>
  </si>
  <si>
    <t>Cell reference is not valid</t>
  </si>
  <si>
    <t>Invalid number values</t>
  </si>
  <si>
    <t>Intersection operator is not valid</t>
  </si>
  <si>
    <t>=RAND</t>
  </si>
  <si>
    <t>=RAND*100</t>
  </si>
  <si>
    <t>=RANDBETWEEN</t>
  </si>
  <si>
    <t>=RandomGenerator</t>
  </si>
  <si>
    <t>=RG*10000</t>
  </si>
  <si>
    <t>=B6+100</t>
  </si>
  <si>
    <t># iphone</t>
  </si>
  <si>
    <t>total monthly fee of newworld</t>
  </si>
  <si>
    <t>average monthly fee of newworld</t>
  </si>
  <si>
    <t>roundup/rounddown</t>
  </si>
  <si>
    <t>&gt;1000</t>
  </si>
  <si>
    <t>if</t>
  </si>
  <si>
    <t>sum</t>
  </si>
  <si>
    <t>average</t>
  </si>
  <si>
    <t>count</t>
  </si>
  <si>
    <t>&lt;500</t>
  </si>
  <si>
    <t>Male</t>
  </si>
  <si>
    <t>ifs</t>
  </si>
  <si>
    <t>Female</t>
  </si>
  <si>
    <t>Male&gt;1000</t>
  </si>
  <si>
    <t># newworld</t>
  </si>
  <si>
    <t># newworld&amp;iphone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</si>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</sst>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_ "/>
    <numFmt numFmtId="165" formatCode="0.00_ "/>
    <numFmt numFmtId="166" formatCode="[$-F400]h:mm:ss\ AM/PM"/>
    <numFmt numFmtId="167" formatCode="0.000"/>
  </numFmts>
  <fonts count="11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i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rgb="FFFF0000"/>
      </left>
      <right style="dashed">
        <color rgb="FF002060"/>
      </right>
      <top style="thick">
        <color rgb="FFFF0000"/>
      </top>
      <bottom style="dashed">
        <color rgb="FF002060"/>
      </bottom>
      <diagonal/>
    </border>
    <border>
      <left style="dashed">
        <color rgb="FF002060"/>
      </left>
      <right/>
      <top style="thick">
        <color rgb="FFFF0000"/>
      </top>
      <bottom style="dashed">
        <color rgb="FF002060"/>
      </bottom>
      <diagonal/>
    </border>
    <border>
      <left style="thick">
        <color rgb="FFFF0000"/>
      </left>
      <right style="dashed">
        <color rgb="FF002060"/>
      </right>
      <top style="dashed">
        <color rgb="FF002060"/>
      </top>
      <bottom/>
      <diagonal/>
    </border>
    <border>
      <left style="dashed">
        <color rgb="FF002060"/>
      </left>
      <right/>
      <top style="dashed">
        <color rgb="FF002060"/>
      </top>
      <bottom/>
      <diagonal/>
    </border>
    <border>
      <left style="mediumDashed">
        <color rgb="FFFF0000"/>
      </left>
      <right/>
      <top/>
      <bottom style="dotted">
        <color rgb="FF002060"/>
      </bottom>
      <diagonal/>
    </border>
    <border>
      <left style="mediumDashed">
        <color rgb="FFFF0000"/>
      </left>
      <right/>
      <top style="dotted">
        <color rgb="FF002060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164" fontId="0" fillId="0" borderId="0" xfId="0" applyNumberFormat="1">
      <alignment vertical="center"/>
    </xf>
    <xf numFmtId="0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>
      <alignment vertical="center"/>
    </xf>
    <xf numFmtId="1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167" fontId="0" fillId="0" borderId="0" xfId="0" applyNumberFormat="1" applyAlignment="1" applyProtection="1">
      <alignment horizontal="right" vertical="center"/>
      <protection locked="0"/>
    </xf>
    <xf numFmtId="1" fontId="0" fillId="0" borderId="0" xfId="0" applyNumberFormat="1">
      <alignment vertical="center"/>
    </xf>
    <xf numFmtId="1" fontId="5" fillId="0" borderId="0" xfId="0" applyNumberFormat="1" applyFont="1" applyAlignment="1" applyProtection="1">
      <alignment horizontal="right" vertical="center"/>
      <protection locked="0"/>
    </xf>
    <xf numFmtId="1" fontId="6" fillId="0" borderId="0" xfId="0" applyNumberFormat="1" applyFont="1" applyAlignment="1" applyProtection="1">
      <alignment horizontal="right" vertical="center"/>
      <protection locked="0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7" fillId="6" borderId="11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8" fillId="0" borderId="13" xfId="0" applyFont="1" applyFill="1" applyBorder="1" applyAlignment="1">
      <alignment horizontal="centerContinuous"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2" fillId="5" borderId="0" xfId="0" quotePrefix="1" applyFont="1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tted" refreshedDate="39673.062940625001" createdVersion="3" refreshedVersion="3" minRefreshableVersion="3" recordCount="119">
  <cacheSource type="worksheet">
    <worksheetSource ref="A1:D120" sheet="calculation"/>
  </cacheSource>
  <cacheFields count="4">
    <cacheField name="Monthly Fee" numFmtId="1">
      <sharedItems containsSemiMixedTypes="0" containsString="0" containsNumber="1" containsInteger="1" minValue="30" maxValue="2000"/>
    </cacheField>
    <cacheField name="Sex" numFmtId="1">
      <sharedItems containsSemiMixedTypes="0" containsString="0" containsNumber="1" containsInteger="1" minValue="1" maxValue="2" count="2">
        <n v="1"/>
        <n v="2"/>
      </sharedItems>
    </cacheField>
    <cacheField name="Brand" numFmtId="1">
      <sharedItems count="5">
        <s v="iPhone"/>
        <s v="Nokia"/>
        <s v="Sony Ericsson"/>
        <s v="Samsung"/>
        <s v="HTC"/>
      </sharedItems>
    </cacheField>
    <cacheField name="Telecom" numFmtId="1">
      <sharedItems containsMixedTypes="1" containsNumber="1" containsInteger="1" minValue="3" maxValue="3" count="5">
        <s v="People"/>
        <s v="PCCW"/>
        <n v="3"/>
        <s v="Smartone"/>
        <s v="Newworl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9">
  <r>
    <n v="200"/>
    <x v="0"/>
    <x v="0"/>
    <x v="0"/>
  </r>
  <r>
    <n v="1200"/>
    <x v="1"/>
    <x v="1"/>
    <x v="1"/>
  </r>
  <r>
    <n v="300"/>
    <x v="1"/>
    <x v="2"/>
    <x v="2"/>
  </r>
  <r>
    <n v="300"/>
    <x v="1"/>
    <x v="3"/>
    <x v="3"/>
  </r>
  <r>
    <n v="200"/>
    <x v="0"/>
    <x v="4"/>
    <x v="4"/>
  </r>
  <r>
    <n v="200"/>
    <x v="0"/>
    <x v="0"/>
    <x v="4"/>
  </r>
  <r>
    <n v="300"/>
    <x v="1"/>
    <x v="1"/>
    <x v="3"/>
  </r>
  <r>
    <n v="1500"/>
    <x v="0"/>
    <x v="2"/>
    <x v="2"/>
  </r>
  <r>
    <n v="200"/>
    <x v="0"/>
    <x v="3"/>
    <x v="1"/>
  </r>
  <r>
    <n v="300"/>
    <x v="1"/>
    <x v="4"/>
    <x v="0"/>
  </r>
  <r>
    <n v="500"/>
    <x v="1"/>
    <x v="0"/>
    <x v="0"/>
  </r>
  <r>
    <n v="800"/>
    <x v="0"/>
    <x v="1"/>
    <x v="1"/>
  </r>
  <r>
    <n v="200"/>
    <x v="0"/>
    <x v="2"/>
    <x v="2"/>
  </r>
  <r>
    <n v="300"/>
    <x v="1"/>
    <x v="3"/>
    <x v="3"/>
  </r>
  <r>
    <n v="300"/>
    <x v="0"/>
    <x v="4"/>
    <x v="4"/>
  </r>
  <r>
    <n v="600"/>
    <x v="0"/>
    <x v="0"/>
    <x v="4"/>
  </r>
  <r>
    <n v="600"/>
    <x v="0"/>
    <x v="1"/>
    <x v="3"/>
  </r>
  <r>
    <n v="250"/>
    <x v="1"/>
    <x v="2"/>
    <x v="2"/>
  </r>
  <r>
    <n v="400"/>
    <x v="1"/>
    <x v="3"/>
    <x v="1"/>
  </r>
  <r>
    <n v="400"/>
    <x v="0"/>
    <x v="4"/>
    <x v="0"/>
  </r>
  <r>
    <n v="500"/>
    <x v="1"/>
    <x v="0"/>
    <x v="0"/>
  </r>
  <r>
    <n v="2000"/>
    <x v="1"/>
    <x v="1"/>
    <x v="1"/>
  </r>
  <r>
    <n v="500"/>
    <x v="0"/>
    <x v="2"/>
    <x v="2"/>
  </r>
  <r>
    <n v="500"/>
    <x v="0"/>
    <x v="3"/>
    <x v="3"/>
  </r>
  <r>
    <n v="350"/>
    <x v="1"/>
    <x v="4"/>
    <x v="4"/>
  </r>
  <r>
    <n v="180"/>
    <x v="1"/>
    <x v="0"/>
    <x v="4"/>
  </r>
  <r>
    <n v="500"/>
    <x v="1"/>
    <x v="1"/>
    <x v="3"/>
  </r>
  <r>
    <n v="200"/>
    <x v="1"/>
    <x v="2"/>
    <x v="2"/>
  </r>
  <r>
    <n v="300"/>
    <x v="0"/>
    <x v="3"/>
    <x v="1"/>
  </r>
  <r>
    <n v="250"/>
    <x v="1"/>
    <x v="4"/>
    <x v="0"/>
  </r>
  <r>
    <n v="500"/>
    <x v="0"/>
    <x v="0"/>
    <x v="0"/>
  </r>
  <r>
    <n v="200"/>
    <x v="1"/>
    <x v="1"/>
    <x v="1"/>
  </r>
  <r>
    <n v="600"/>
    <x v="1"/>
    <x v="2"/>
    <x v="2"/>
  </r>
  <r>
    <n v="700"/>
    <x v="0"/>
    <x v="3"/>
    <x v="3"/>
  </r>
  <r>
    <n v="300"/>
    <x v="0"/>
    <x v="4"/>
    <x v="4"/>
  </r>
  <r>
    <n v="400"/>
    <x v="0"/>
    <x v="0"/>
    <x v="4"/>
  </r>
  <r>
    <n v="30"/>
    <x v="1"/>
    <x v="1"/>
    <x v="3"/>
  </r>
  <r>
    <n v="800"/>
    <x v="0"/>
    <x v="2"/>
    <x v="2"/>
  </r>
  <r>
    <n v="250"/>
    <x v="0"/>
    <x v="3"/>
    <x v="1"/>
  </r>
  <r>
    <n v="700"/>
    <x v="0"/>
    <x v="4"/>
    <x v="0"/>
  </r>
  <r>
    <n v="300"/>
    <x v="0"/>
    <x v="0"/>
    <x v="0"/>
  </r>
  <r>
    <n v="100"/>
    <x v="1"/>
    <x v="1"/>
    <x v="1"/>
  </r>
  <r>
    <n v="200"/>
    <x v="1"/>
    <x v="2"/>
    <x v="2"/>
  </r>
  <r>
    <n v="500"/>
    <x v="1"/>
    <x v="3"/>
    <x v="3"/>
  </r>
  <r>
    <n v="500"/>
    <x v="1"/>
    <x v="4"/>
    <x v="4"/>
  </r>
  <r>
    <n v="200"/>
    <x v="0"/>
    <x v="0"/>
    <x v="4"/>
  </r>
  <r>
    <n v="1300"/>
    <x v="0"/>
    <x v="1"/>
    <x v="3"/>
  </r>
  <r>
    <n v="300"/>
    <x v="0"/>
    <x v="2"/>
    <x v="2"/>
  </r>
  <r>
    <n v="400"/>
    <x v="1"/>
    <x v="3"/>
    <x v="1"/>
  </r>
  <r>
    <n v="800"/>
    <x v="1"/>
    <x v="4"/>
    <x v="0"/>
  </r>
  <r>
    <n v="1000"/>
    <x v="1"/>
    <x v="0"/>
    <x v="0"/>
  </r>
  <r>
    <n v="600"/>
    <x v="0"/>
    <x v="1"/>
    <x v="1"/>
  </r>
  <r>
    <n v="600"/>
    <x v="1"/>
    <x v="2"/>
    <x v="2"/>
  </r>
  <r>
    <n v="600"/>
    <x v="0"/>
    <x v="3"/>
    <x v="3"/>
  </r>
  <r>
    <n v="500"/>
    <x v="1"/>
    <x v="4"/>
    <x v="4"/>
  </r>
  <r>
    <n v="200"/>
    <x v="1"/>
    <x v="0"/>
    <x v="4"/>
  </r>
  <r>
    <n v="200"/>
    <x v="0"/>
    <x v="1"/>
    <x v="3"/>
  </r>
  <r>
    <n v="600"/>
    <x v="1"/>
    <x v="2"/>
    <x v="2"/>
  </r>
  <r>
    <n v="200"/>
    <x v="0"/>
    <x v="3"/>
    <x v="1"/>
  </r>
  <r>
    <n v="400"/>
    <x v="0"/>
    <x v="4"/>
    <x v="0"/>
  </r>
  <r>
    <n v="550"/>
    <x v="1"/>
    <x v="0"/>
    <x v="0"/>
  </r>
  <r>
    <n v="200"/>
    <x v="1"/>
    <x v="1"/>
    <x v="1"/>
  </r>
  <r>
    <n v="500"/>
    <x v="1"/>
    <x v="2"/>
    <x v="2"/>
  </r>
  <r>
    <n v="1500"/>
    <x v="0"/>
    <x v="3"/>
    <x v="3"/>
  </r>
  <r>
    <n v="300"/>
    <x v="0"/>
    <x v="4"/>
    <x v="4"/>
  </r>
  <r>
    <n v="600"/>
    <x v="1"/>
    <x v="0"/>
    <x v="4"/>
  </r>
  <r>
    <n v="100"/>
    <x v="1"/>
    <x v="1"/>
    <x v="3"/>
  </r>
  <r>
    <n v="1000"/>
    <x v="0"/>
    <x v="2"/>
    <x v="2"/>
  </r>
  <r>
    <n v="800"/>
    <x v="0"/>
    <x v="3"/>
    <x v="1"/>
  </r>
  <r>
    <n v="300"/>
    <x v="1"/>
    <x v="4"/>
    <x v="0"/>
  </r>
  <r>
    <n v="600"/>
    <x v="0"/>
    <x v="0"/>
    <x v="0"/>
  </r>
  <r>
    <n v="400"/>
    <x v="1"/>
    <x v="1"/>
    <x v="1"/>
  </r>
  <r>
    <n v="500"/>
    <x v="1"/>
    <x v="2"/>
    <x v="2"/>
  </r>
  <r>
    <n v="150"/>
    <x v="1"/>
    <x v="3"/>
    <x v="3"/>
  </r>
  <r>
    <n v="100"/>
    <x v="1"/>
    <x v="4"/>
    <x v="4"/>
  </r>
  <r>
    <n v="500"/>
    <x v="1"/>
    <x v="0"/>
    <x v="4"/>
  </r>
  <r>
    <n v="250"/>
    <x v="1"/>
    <x v="1"/>
    <x v="3"/>
  </r>
  <r>
    <n v="400"/>
    <x v="0"/>
    <x v="2"/>
    <x v="2"/>
  </r>
  <r>
    <n v="200"/>
    <x v="1"/>
    <x v="3"/>
    <x v="1"/>
  </r>
  <r>
    <n v="500"/>
    <x v="1"/>
    <x v="4"/>
    <x v="0"/>
  </r>
  <r>
    <n v="300"/>
    <x v="1"/>
    <x v="0"/>
    <x v="0"/>
  </r>
  <r>
    <n v="1000"/>
    <x v="0"/>
    <x v="1"/>
    <x v="1"/>
  </r>
  <r>
    <n v="500"/>
    <x v="1"/>
    <x v="2"/>
    <x v="2"/>
  </r>
  <r>
    <n v="500"/>
    <x v="0"/>
    <x v="3"/>
    <x v="3"/>
  </r>
  <r>
    <n v="1200"/>
    <x v="1"/>
    <x v="4"/>
    <x v="4"/>
  </r>
  <r>
    <n v="400"/>
    <x v="0"/>
    <x v="0"/>
    <x v="4"/>
  </r>
  <r>
    <n v="500"/>
    <x v="1"/>
    <x v="1"/>
    <x v="3"/>
  </r>
  <r>
    <n v="200"/>
    <x v="0"/>
    <x v="2"/>
    <x v="2"/>
  </r>
  <r>
    <n v="600"/>
    <x v="0"/>
    <x v="3"/>
    <x v="1"/>
  </r>
  <r>
    <n v="300"/>
    <x v="1"/>
    <x v="4"/>
    <x v="0"/>
  </r>
  <r>
    <n v="1000"/>
    <x v="0"/>
    <x v="0"/>
    <x v="0"/>
  </r>
  <r>
    <n v="80"/>
    <x v="0"/>
    <x v="1"/>
    <x v="1"/>
  </r>
  <r>
    <n v="300"/>
    <x v="1"/>
    <x v="2"/>
    <x v="2"/>
  </r>
  <r>
    <n v="300"/>
    <x v="1"/>
    <x v="3"/>
    <x v="3"/>
  </r>
  <r>
    <n v="300"/>
    <x v="1"/>
    <x v="4"/>
    <x v="4"/>
  </r>
  <r>
    <n v="250"/>
    <x v="0"/>
    <x v="0"/>
    <x v="4"/>
  </r>
  <r>
    <n v="500"/>
    <x v="1"/>
    <x v="1"/>
    <x v="3"/>
  </r>
  <r>
    <n v="200"/>
    <x v="1"/>
    <x v="2"/>
    <x v="2"/>
  </r>
  <r>
    <n v="400"/>
    <x v="1"/>
    <x v="3"/>
    <x v="1"/>
  </r>
  <r>
    <n v="200"/>
    <x v="1"/>
    <x v="4"/>
    <x v="0"/>
  </r>
  <r>
    <n v="600"/>
    <x v="1"/>
    <x v="0"/>
    <x v="0"/>
  </r>
  <r>
    <n v="200"/>
    <x v="0"/>
    <x v="1"/>
    <x v="1"/>
  </r>
  <r>
    <n v="900"/>
    <x v="1"/>
    <x v="2"/>
    <x v="2"/>
  </r>
  <r>
    <n v="200"/>
    <x v="1"/>
    <x v="3"/>
    <x v="3"/>
  </r>
  <r>
    <n v="800"/>
    <x v="1"/>
    <x v="4"/>
    <x v="4"/>
  </r>
  <r>
    <n v="200"/>
    <x v="1"/>
    <x v="0"/>
    <x v="4"/>
  </r>
  <r>
    <n v="1500"/>
    <x v="0"/>
    <x v="1"/>
    <x v="3"/>
  </r>
  <r>
    <n v="300"/>
    <x v="0"/>
    <x v="2"/>
    <x v="2"/>
  </r>
  <r>
    <n v="200"/>
    <x v="0"/>
    <x v="3"/>
    <x v="1"/>
  </r>
  <r>
    <n v="300"/>
    <x v="1"/>
    <x v="4"/>
    <x v="0"/>
  </r>
  <r>
    <n v="400"/>
    <x v="1"/>
    <x v="0"/>
    <x v="0"/>
  </r>
  <r>
    <n v="200"/>
    <x v="0"/>
    <x v="1"/>
    <x v="1"/>
  </r>
  <r>
    <n v="200"/>
    <x v="0"/>
    <x v="2"/>
    <x v="2"/>
  </r>
  <r>
    <n v="750"/>
    <x v="1"/>
    <x v="3"/>
    <x v="3"/>
  </r>
  <r>
    <n v="500"/>
    <x v="1"/>
    <x v="4"/>
    <x v="4"/>
  </r>
  <r>
    <n v="400"/>
    <x v="1"/>
    <x v="0"/>
    <x v="4"/>
  </r>
  <r>
    <n v="300"/>
    <x v="0"/>
    <x v="1"/>
    <x v="3"/>
  </r>
  <r>
    <n v="400"/>
    <x v="1"/>
    <x v="2"/>
    <x v="2"/>
  </r>
  <r>
    <n v="500"/>
    <x v="1"/>
    <x v="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Telecom" colHeaderCaption="Brand">
  <location ref="A3:G10" firstHeaderRow="1" firstDataRow="2" firstDataCol="1"/>
  <pivotFields count="4">
    <pivotField dataField="1" numFmtId="1" showAll="0"/>
    <pivotField numFmtId="1" showAll="0">
      <items count="3">
        <item x="0"/>
        <item x="1"/>
        <item t="default"/>
      </items>
    </pivotField>
    <pivotField axis="axisCol" showAll="0">
      <items count="6">
        <item x="4"/>
        <item x="0"/>
        <item x="1"/>
        <item x="3"/>
        <item x="2"/>
        <item t="default"/>
      </items>
    </pivotField>
    <pivotField axis="axisRow" showAll="0">
      <items count="6">
        <item x="2"/>
        <item x="4"/>
        <item x="1"/>
        <item x="0"/>
        <item x="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Monthly Fee" fld="0" baseField="0" baseItem="0"/>
  </dataFields>
  <pivotTableStyleInfo name="PivotStyleMedium1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3.5" customWidth="1"/>
  </cols>
  <sheetData>
    <row r="1" spans="1:2">
      <c r="A1" s="33" t="s">
        <v>124</v>
      </c>
      <c r="B1" s="33" t="s">
        <v>125</v>
      </c>
    </row>
    <row r="2" spans="1:2">
      <c r="A2" t="s">
        <v>126</v>
      </c>
      <c r="B2" t="s">
        <v>128</v>
      </c>
    </row>
    <row r="3" spans="1:2">
      <c r="A3" t="s">
        <v>127</v>
      </c>
      <c r="B3" t="s">
        <v>129</v>
      </c>
    </row>
    <row r="4" spans="1:2">
      <c r="A4" s="27" t="e">
        <v>#DIV/0!</v>
      </c>
      <c r="B4" t="s">
        <v>130</v>
      </c>
    </row>
    <row r="5" spans="1:2">
      <c r="A5" s="27" t="e">
        <v>#NAME?</v>
      </c>
      <c r="B5" t="s">
        <v>131</v>
      </c>
    </row>
    <row r="6" spans="1:2">
      <c r="A6" s="27" t="e">
        <v>#N/A</v>
      </c>
      <c r="B6" t="s">
        <v>132</v>
      </c>
    </row>
    <row r="7" spans="1:2">
      <c r="A7" s="27" t="e">
        <v>#REF!</v>
      </c>
      <c r="B7" t="s">
        <v>133</v>
      </c>
    </row>
    <row r="8" spans="1:2">
      <c r="A8" s="27" t="e">
        <v>#NUM!</v>
      </c>
      <c r="B8" t="s">
        <v>134</v>
      </c>
    </row>
    <row r="9" spans="1:2">
      <c r="A9" s="27" t="e">
        <v>#NULL!</v>
      </c>
      <c r="B9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2"/>
  <sheetViews>
    <sheetView workbookViewId="0">
      <pane xSplit="2" topLeftCell="F1" activePane="topRight" state="frozen"/>
      <selection pane="topRight" activeCell="P2" sqref="P2"/>
    </sheetView>
  </sheetViews>
  <sheetFormatPr baseColWidth="10" defaultColWidth="8.83203125" defaultRowHeight="15" x14ac:dyDescent="0"/>
  <cols>
    <col min="1" max="1" width="12.1640625" customWidth="1"/>
    <col min="2" max="2" width="13.5" bestFit="1" customWidth="1"/>
    <col min="3" max="4" width="10.6640625" customWidth="1"/>
    <col min="6" max="6" width="9.5" bestFit="1" customWidth="1"/>
    <col min="7" max="7" width="10" customWidth="1"/>
    <col min="8" max="11" width="10.6640625" customWidth="1"/>
    <col min="12" max="12" width="12.33203125" customWidth="1"/>
    <col min="13" max="13" width="12.1640625" customWidth="1"/>
    <col min="14" max="15" width="10.83203125" customWidth="1"/>
    <col min="16" max="16" width="15" bestFit="1" customWidth="1"/>
  </cols>
  <sheetData>
    <row r="1" spans="1:15">
      <c r="B1" t="s">
        <v>12</v>
      </c>
      <c r="C1" t="s">
        <v>13</v>
      </c>
      <c r="D1" t="s">
        <v>14</v>
      </c>
      <c r="E1" t="s">
        <v>0</v>
      </c>
      <c r="F1" t="s">
        <v>1</v>
      </c>
      <c r="G1" t="s">
        <v>15</v>
      </c>
      <c r="H1" t="s">
        <v>15</v>
      </c>
      <c r="I1" t="s">
        <v>15</v>
      </c>
      <c r="J1" t="s">
        <v>18</v>
      </c>
      <c r="K1" t="s">
        <v>18</v>
      </c>
      <c r="L1" t="s">
        <v>19</v>
      </c>
      <c r="M1" t="s">
        <v>19</v>
      </c>
      <c r="N1" t="s">
        <v>20</v>
      </c>
      <c r="O1" t="s">
        <v>20</v>
      </c>
    </row>
    <row r="2" spans="1:15">
      <c r="A2" s="1">
        <v>39448</v>
      </c>
      <c r="B2" s="1">
        <f ca="1">TODAY()</f>
        <v>41920</v>
      </c>
      <c r="C2" s="2">
        <f ca="1">YEAR(B2)</f>
        <v>2014</v>
      </c>
      <c r="D2" s="2">
        <f ca="1">MONTH(B2)</f>
        <v>10</v>
      </c>
      <c r="E2">
        <f ca="1">DAY(B2)</f>
        <v>8</v>
      </c>
      <c r="F2" s="2">
        <f ca="1">DAYS360(B2, $A$15)</f>
        <v>-2077</v>
      </c>
      <c r="G2">
        <f ca="1">WEEKDAY(B2)</f>
        <v>4</v>
      </c>
      <c r="H2">
        <f ca="1">WEEKDAY(B2,2)</f>
        <v>3</v>
      </c>
      <c r="I2">
        <f ca="1">WEEKDAY(B2,3)</f>
        <v>2</v>
      </c>
      <c r="J2">
        <f ca="1">WEEKNUM(B2)</f>
        <v>41</v>
      </c>
      <c r="K2">
        <f ca="1">WEEKNUM(B2,2)</f>
        <v>41</v>
      </c>
      <c r="L2">
        <f ca="1">NETWORKDAYS(B2,A$15)</f>
        <v>-1506</v>
      </c>
      <c r="M2">
        <f ca="1">NETWORKDAYS(B2,A$15,B10)</f>
        <v>-1506</v>
      </c>
      <c r="N2" s="1">
        <f ca="1">WORKDAY(B2,10)</f>
        <v>41934</v>
      </c>
      <c r="O2" s="1">
        <f ca="1">WORKDAY(B2,10,B10)</f>
        <v>41935</v>
      </c>
    </row>
    <row r="3" spans="1:15">
      <c r="B3" s="1">
        <f ca="1">B2+1</f>
        <v>41921</v>
      </c>
      <c r="C3" s="2">
        <f t="shared" ref="C3:C15" ca="1" si="0">YEAR(B3)</f>
        <v>2014</v>
      </c>
      <c r="D3" s="2">
        <f t="shared" ref="D3:D15" ca="1" si="1">MONTH(B3)</f>
        <v>10</v>
      </c>
      <c r="E3">
        <f t="shared" ref="E3:E15" ca="1" si="2">DAY(B3)</f>
        <v>9</v>
      </c>
      <c r="F3" s="2">
        <f t="shared" ref="F3:F15" ca="1" si="3">DAYS360(B3, $A$15)</f>
        <v>-2078</v>
      </c>
      <c r="G3">
        <f t="shared" ref="G3:G15" ca="1" si="4">WEEKDAY(B3)</f>
        <v>5</v>
      </c>
      <c r="H3">
        <f t="shared" ref="H3:H15" ca="1" si="5">WEEKDAY(B3,2)</f>
        <v>4</v>
      </c>
      <c r="I3">
        <f t="shared" ref="I3:I15" ca="1" si="6">WEEKDAY(B3,3)</f>
        <v>3</v>
      </c>
      <c r="J3">
        <f t="shared" ref="J3:J15" ca="1" si="7">WEEKNUM(B3)</f>
        <v>41</v>
      </c>
      <c r="K3">
        <f t="shared" ref="K3:K15" ca="1" si="8">WEEKNUM(B3,2)</f>
        <v>41</v>
      </c>
      <c r="L3">
        <f t="shared" ref="L3:L15" ca="1" si="9">NETWORKDAYS(B3,A$15)</f>
        <v>-1507</v>
      </c>
      <c r="M3">
        <f t="shared" ref="M3:M15" ca="1" si="10">NETWORKDAYS(B3,A$15,B11)</f>
        <v>-1507</v>
      </c>
      <c r="N3" s="1">
        <f t="shared" ref="N3:N15" ca="1" si="11">WORKDAY(B3,10)</f>
        <v>41935</v>
      </c>
      <c r="O3" s="1">
        <f t="shared" ref="O3:O15" ca="1" si="12">WORKDAY(B3,10,B11)</f>
        <v>41936</v>
      </c>
    </row>
    <row r="4" spans="1:15">
      <c r="B4" s="1">
        <f t="shared" ref="B4:B15" ca="1" si="13">B3+1</f>
        <v>41922</v>
      </c>
      <c r="C4" s="2">
        <f t="shared" ca="1" si="0"/>
        <v>2014</v>
      </c>
      <c r="D4" s="2">
        <f t="shared" ca="1" si="1"/>
        <v>10</v>
      </c>
      <c r="E4">
        <f t="shared" ca="1" si="2"/>
        <v>10</v>
      </c>
      <c r="F4" s="2">
        <f t="shared" ca="1" si="3"/>
        <v>-2079</v>
      </c>
      <c r="G4">
        <f t="shared" ca="1" si="4"/>
        <v>6</v>
      </c>
      <c r="H4">
        <f t="shared" ca="1" si="5"/>
        <v>5</v>
      </c>
      <c r="I4">
        <f t="shared" ca="1" si="6"/>
        <v>4</v>
      </c>
      <c r="J4">
        <f t="shared" ca="1" si="7"/>
        <v>41</v>
      </c>
      <c r="K4">
        <f t="shared" ca="1" si="8"/>
        <v>41</v>
      </c>
      <c r="L4">
        <f t="shared" ca="1" si="9"/>
        <v>-1508</v>
      </c>
      <c r="M4">
        <f t="shared" ca="1" si="10"/>
        <v>-1508</v>
      </c>
      <c r="N4" s="1">
        <f t="shared" ca="1" si="11"/>
        <v>41936</v>
      </c>
      <c r="O4" s="1">
        <f t="shared" ca="1" si="12"/>
        <v>41936</v>
      </c>
    </row>
    <row r="5" spans="1:15">
      <c r="B5" s="1">
        <f t="shared" ca="1" si="13"/>
        <v>41923</v>
      </c>
      <c r="C5" s="2">
        <f t="shared" ca="1" si="0"/>
        <v>2014</v>
      </c>
      <c r="D5" s="2">
        <f t="shared" ca="1" si="1"/>
        <v>10</v>
      </c>
      <c r="E5">
        <f t="shared" ca="1" si="2"/>
        <v>11</v>
      </c>
      <c r="F5" s="2">
        <f t="shared" ca="1" si="3"/>
        <v>-2080</v>
      </c>
      <c r="G5">
        <f t="shared" ca="1" si="4"/>
        <v>7</v>
      </c>
      <c r="H5">
        <f t="shared" ca="1" si="5"/>
        <v>6</v>
      </c>
      <c r="I5">
        <f t="shared" ca="1" si="6"/>
        <v>5</v>
      </c>
      <c r="J5">
        <f t="shared" ca="1" si="7"/>
        <v>41</v>
      </c>
      <c r="K5">
        <f t="shared" ca="1" si="8"/>
        <v>41</v>
      </c>
      <c r="L5">
        <f t="shared" ca="1" si="9"/>
        <v>-1508</v>
      </c>
      <c r="M5">
        <f t="shared" ca="1" si="10"/>
        <v>-1508</v>
      </c>
      <c r="N5" s="1">
        <f t="shared" ca="1" si="11"/>
        <v>41936</v>
      </c>
      <c r="O5" s="1">
        <f t="shared" ca="1" si="12"/>
        <v>41936</v>
      </c>
    </row>
    <row r="6" spans="1:15">
      <c r="B6" s="1">
        <f t="shared" ca="1" si="13"/>
        <v>41924</v>
      </c>
      <c r="C6" s="2">
        <f t="shared" ca="1" si="0"/>
        <v>2014</v>
      </c>
      <c r="D6" s="2">
        <f t="shared" ca="1" si="1"/>
        <v>10</v>
      </c>
      <c r="E6">
        <f t="shared" ca="1" si="2"/>
        <v>12</v>
      </c>
      <c r="F6" s="2">
        <f t="shared" ca="1" si="3"/>
        <v>-2081</v>
      </c>
      <c r="G6">
        <f t="shared" ca="1" si="4"/>
        <v>1</v>
      </c>
      <c r="H6">
        <f t="shared" ca="1" si="5"/>
        <v>7</v>
      </c>
      <c r="I6">
        <f t="shared" ca="1" si="6"/>
        <v>6</v>
      </c>
      <c r="J6">
        <f t="shared" ca="1" si="7"/>
        <v>42</v>
      </c>
      <c r="K6">
        <f t="shared" ca="1" si="8"/>
        <v>41</v>
      </c>
      <c r="L6">
        <f t="shared" ca="1" si="9"/>
        <v>-1508</v>
      </c>
      <c r="M6">
        <f t="shared" ca="1" si="10"/>
        <v>-1508</v>
      </c>
      <c r="N6" s="1">
        <f t="shared" ca="1" si="11"/>
        <v>41936</v>
      </c>
      <c r="O6" s="1">
        <f t="shared" ca="1" si="12"/>
        <v>41939</v>
      </c>
    </row>
    <row r="7" spans="1:15">
      <c r="B7" s="1">
        <f t="shared" ca="1" si="13"/>
        <v>41925</v>
      </c>
      <c r="C7" s="2">
        <f t="shared" ca="1" si="0"/>
        <v>2014</v>
      </c>
      <c r="D7" s="2">
        <f t="shared" ca="1" si="1"/>
        <v>10</v>
      </c>
      <c r="E7">
        <f t="shared" ca="1" si="2"/>
        <v>13</v>
      </c>
      <c r="F7" s="2">
        <f t="shared" ca="1" si="3"/>
        <v>-2082</v>
      </c>
      <c r="G7">
        <f t="shared" ca="1" si="4"/>
        <v>2</v>
      </c>
      <c r="H7">
        <f t="shared" ca="1" si="5"/>
        <v>1</v>
      </c>
      <c r="I7">
        <f t="shared" ca="1" si="6"/>
        <v>0</v>
      </c>
      <c r="J7">
        <f t="shared" ca="1" si="7"/>
        <v>42</v>
      </c>
      <c r="K7">
        <f t="shared" ca="1" si="8"/>
        <v>42</v>
      </c>
      <c r="L7">
        <f t="shared" ca="1" si="9"/>
        <v>-1509</v>
      </c>
      <c r="M7">
        <f t="shared" ca="1" si="10"/>
        <v>-1509</v>
      </c>
      <c r="N7" s="1">
        <f t="shared" ca="1" si="11"/>
        <v>41939</v>
      </c>
      <c r="O7" s="1">
        <f t="shared" ca="1" si="12"/>
        <v>41940</v>
      </c>
    </row>
    <row r="8" spans="1:15">
      <c r="B8" s="1">
        <f t="shared" ca="1" si="13"/>
        <v>41926</v>
      </c>
      <c r="C8" s="2">
        <f t="shared" ca="1" si="0"/>
        <v>2014</v>
      </c>
      <c r="D8" s="2">
        <f t="shared" ca="1" si="1"/>
        <v>10</v>
      </c>
      <c r="E8">
        <f t="shared" ca="1" si="2"/>
        <v>14</v>
      </c>
      <c r="F8" s="2">
        <f t="shared" ca="1" si="3"/>
        <v>-2083</v>
      </c>
      <c r="G8">
        <f t="shared" ca="1" si="4"/>
        <v>3</v>
      </c>
      <c r="H8">
        <f t="shared" ca="1" si="5"/>
        <v>2</v>
      </c>
      <c r="I8">
        <f t="shared" ca="1" si="6"/>
        <v>1</v>
      </c>
      <c r="J8">
        <f t="shared" ca="1" si="7"/>
        <v>42</v>
      </c>
      <c r="K8">
        <f t="shared" ca="1" si="8"/>
        <v>42</v>
      </c>
      <c r="L8">
        <f t="shared" ca="1" si="9"/>
        <v>-1510</v>
      </c>
      <c r="M8">
        <f t="shared" ca="1" si="10"/>
        <v>-1510</v>
      </c>
      <c r="N8" s="1">
        <f t="shared" ca="1" si="11"/>
        <v>41940</v>
      </c>
      <c r="O8" s="1">
        <f t="shared" ca="1" si="12"/>
        <v>41940</v>
      </c>
    </row>
    <row r="9" spans="1:15">
      <c r="B9" s="1">
        <f t="shared" ca="1" si="13"/>
        <v>41927</v>
      </c>
      <c r="C9" s="2">
        <f t="shared" ca="1" si="0"/>
        <v>2014</v>
      </c>
      <c r="D9" s="2">
        <f t="shared" ca="1" si="1"/>
        <v>10</v>
      </c>
      <c r="E9">
        <f t="shared" ca="1" si="2"/>
        <v>15</v>
      </c>
      <c r="F9" s="2">
        <f t="shared" ca="1" si="3"/>
        <v>-2084</v>
      </c>
      <c r="G9">
        <f t="shared" ca="1" si="4"/>
        <v>4</v>
      </c>
      <c r="H9">
        <f t="shared" ca="1" si="5"/>
        <v>3</v>
      </c>
      <c r="I9">
        <f t="shared" ca="1" si="6"/>
        <v>2</v>
      </c>
      <c r="J9">
        <f t="shared" ca="1" si="7"/>
        <v>42</v>
      </c>
      <c r="K9">
        <f t="shared" ca="1" si="8"/>
        <v>42</v>
      </c>
      <c r="L9">
        <f t="shared" ca="1" si="9"/>
        <v>-1511</v>
      </c>
      <c r="M9">
        <f t="shared" ca="1" si="10"/>
        <v>-1511</v>
      </c>
      <c r="N9" s="1">
        <f t="shared" ca="1" si="11"/>
        <v>41941</v>
      </c>
      <c r="O9" s="1">
        <f t="shared" ca="1" si="12"/>
        <v>41941</v>
      </c>
    </row>
    <row r="10" spans="1:15">
      <c r="B10" s="1">
        <f t="shared" ca="1" si="13"/>
        <v>41928</v>
      </c>
      <c r="C10" s="2">
        <f t="shared" ca="1" si="0"/>
        <v>2014</v>
      </c>
      <c r="D10" s="2">
        <f t="shared" ca="1" si="1"/>
        <v>10</v>
      </c>
      <c r="E10">
        <f t="shared" ca="1" si="2"/>
        <v>16</v>
      </c>
      <c r="F10" s="2">
        <f t="shared" ca="1" si="3"/>
        <v>-2085</v>
      </c>
      <c r="G10">
        <f t="shared" ca="1" si="4"/>
        <v>5</v>
      </c>
      <c r="H10">
        <f t="shared" ca="1" si="5"/>
        <v>4</v>
      </c>
      <c r="I10">
        <f t="shared" ca="1" si="6"/>
        <v>3</v>
      </c>
      <c r="J10">
        <f t="shared" ca="1" si="7"/>
        <v>42</v>
      </c>
      <c r="K10">
        <f t="shared" ca="1" si="8"/>
        <v>42</v>
      </c>
      <c r="L10">
        <f t="shared" ca="1" si="9"/>
        <v>-1512</v>
      </c>
      <c r="M10">
        <f t="shared" ca="1" si="10"/>
        <v>-1512</v>
      </c>
      <c r="N10" s="1">
        <f t="shared" ca="1" si="11"/>
        <v>41942</v>
      </c>
      <c r="O10" s="1">
        <f t="shared" ca="1" si="12"/>
        <v>41942</v>
      </c>
    </row>
    <row r="11" spans="1:15">
      <c r="B11" s="1">
        <f t="shared" ca="1" si="13"/>
        <v>41929</v>
      </c>
      <c r="C11" s="2">
        <f t="shared" ca="1" si="0"/>
        <v>2014</v>
      </c>
      <c r="D11" s="2">
        <f t="shared" ca="1" si="1"/>
        <v>10</v>
      </c>
      <c r="E11">
        <f t="shared" ca="1" si="2"/>
        <v>17</v>
      </c>
      <c r="F11" s="2">
        <f t="shared" ca="1" si="3"/>
        <v>-2086</v>
      </c>
      <c r="G11">
        <f t="shared" ca="1" si="4"/>
        <v>6</v>
      </c>
      <c r="H11">
        <f t="shared" ca="1" si="5"/>
        <v>5</v>
      </c>
      <c r="I11">
        <f t="shared" ca="1" si="6"/>
        <v>4</v>
      </c>
      <c r="J11">
        <f t="shared" ca="1" si="7"/>
        <v>42</v>
      </c>
      <c r="K11">
        <f t="shared" ca="1" si="8"/>
        <v>42</v>
      </c>
      <c r="L11">
        <f t="shared" ca="1" si="9"/>
        <v>-1513</v>
      </c>
      <c r="M11">
        <f t="shared" ca="1" si="10"/>
        <v>-1513</v>
      </c>
      <c r="N11" s="1">
        <f t="shared" ca="1" si="11"/>
        <v>41943</v>
      </c>
      <c r="O11" s="1">
        <f t="shared" ca="1" si="12"/>
        <v>41943</v>
      </c>
    </row>
    <row r="12" spans="1:15">
      <c r="B12" s="1">
        <f t="shared" ca="1" si="13"/>
        <v>41930</v>
      </c>
      <c r="C12" s="2">
        <f t="shared" ca="1" si="0"/>
        <v>2014</v>
      </c>
      <c r="D12" s="2">
        <f t="shared" ca="1" si="1"/>
        <v>10</v>
      </c>
      <c r="E12">
        <f t="shared" ca="1" si="2"/>
        <v>18</v>
      </c>
      <c r="F12" s="2">
        <f t="shared" ca="1" si="3"/>
        <v>-2087</v>
      </c>
      <c r="G12">
        <f t="shared" ca="1" si="4"/>
        <v>7</v>
      </c>
      <c r="H12">
        <f t="shared" ca="1" si="5"/>
        <v>6</v>
      </c>
      <c r="I12">
        <f t="shared" ca="1" si="6"/>
        <v>5</v>
      </c>
      <c r="J12">
        <f t="shared" ca="1" si="7"/>
        <v>42</v>
      </c>
      <c r="K12">
        <f t="shared" ca="1" si="8"/>
        <v>42</v>
      </c>
      <c r="L12">
        <f t="shared" ca="1" si="9"/>
        <v>-1513</v>
      </c>
      <c r="M12">
        <f t="shared" ca="1" si="10"/>
        <v>-1513</v>
      </c>
      <c r="N12" s="1">
        <f t="shared" ca="1" si="11"/>
        <v>41943</v>
      </c>
      <c r="O12" s="1">
        <f t="shared" ca="1" si="12"/>
        <v>41943</v>
      </c>
    </row>
    <row r="13" spans="1:15">
      <c r="B13" s="1">
        <f t="shared" ca="1" si="13"/>
        <v>41931</v>
      </c>
      <c r="C13" s="2">
        <f t="shared" ca="1" si="0"/>
        <v>2014</v>
      </c>
      <c r="D13" s="2">
        <f t="shared" ca="1" si="1"/>
        <v>10</v>
      </c>
      <c r="E13">
        <f t="shared" ca="1" si="2"/>
        <v>19</v>
      </c>
      <c r="F13" s="2">
        <f t="shared" ca="1" si="3"/>
        <v>-2088</v>
      </c>
      <c r="G13">
        <f t="shared" ca="1" si="4"/>
        <v>1</v>
      </c>
      <c r="H13">
        <f t="shared" ca="1" si="5"/>
        <v>7</v>
      </c>
      <c r="I13">
        <f t="shared" ca="1" si="6"/>
        <v>6</v>
      </c>
      <c r="J13">
        <f t="shared" ca="1" si="7"/>
        <v>43</v>
      </c>
      <c r="K13">
        <f t="shared" ca="1" si="8"/>
        <v>42</v>
      </c>
      <c r="L13">
        <f t="shared" ca="1" si="9"/>
        <v>-1513</v>
      </c>
      <c r="M13" t="e">
        <f ca="1">NETWORKDAYS(B13,A$15,#REF!)</f>
        <v>#REF!</v>
      </c>
      <c r="N13" s="1">
        <f t="shared" ca="1" si="11"/>
        <v>41943</v>
      </c>
      <c r="O13" s="1" t="e">
        <f ca="1">WORKDAY(B13,10,#REF!)</f>
        <v>#REF!</v>
      </c>
    </row>
    <row r="14" spans="1:15">
      <c r="B14" s="1">
        <f t="shared" ca="1" si="13"/>
        <v>41932</v>
      </c>
      <c r="C14" s="2">
        <f t="shared" ca="1" si="0"/>
        <v>2014</v>
      </c>
      <c r="D14" s="2">
        <f t="shared" ca="1" si="1"/>
        <v>10</v>
      </c>
      <c r="E14">
        <f t="shared" ca="1" si="2"/>
        <v>20</v>
      </c>
      <c r="F14" s="2">
        <f t="shared" ca="1" si="3"/>
        <v>-2089</v>
      </c>
      <c r="G14">
        <f t="shared" ca="1" si="4"/>
        <v>2</v>
      </c>
      <c r="H14">
        <f t="shared" ca="1" si="5"/>
        <v>1</v>
      </c>
      <c r="I14">
        <f t="shared" ca="1" si="6"/>
        <v>0</v>
      </c>
      <c r="J14">
        <f t="shared" ca="1" si="7"/>
        <v>43</v>
      </c>
      <c r="K14">
        <f t="shared" ca="1" si="8"/>
        <v>43</v>
      </c>
      <c r="L14">
        <f t="shared" ca="1" si="9"/>
        <v>-1514</v>
      </c>
      <c r="M14" t="e">
        <f ca="1">NETWORKDAYS(B14,A$15,#REF!)</f>
        <v>#REF!</v>
      </c>
      <c r="N14" s="1">
        <f t="shared" ca="1" si="11"/>
        <v>41946</v>
      </c>
      <c r="O14" s="1" t="e">
        <f ca="1">WORKDAY(B14,10,#REF!)</f>
        <v>#REF!</v>
      </c>
    </row>
    <row r="15" spans="1:15">
      <c r="A15" s="1">
        <v>39813</v>
      </c>
      <c r="B15" s="1">
        <f t="shared" ca="1" si="13"/>
        <v>41933</v>
      </c>
      <c r="C15" s="2">
        <f t="shared" ca="1" si="0"/>
        <v>2014</v>
      </c>
      <c r="D15" s="2">
        <f t="shared" ca="1" si="1"/>
        <v>10</v>
      </c>
      <c r="E15">
        <f t="shared" ca="1" si="2"/>
        <v>21</v>
      </c>
      <c r="F15" s="2">
        <f t="shared" ca="1" si="3"/>
        <v>-2090</v>
      </c>
      <c r="G15">
        <f t="shared" ca="1" si="4"/>
        <v>3</v>
      </c>
      <c r="H15">
        <f t="shared" ca="1" si="5"/>
        <v>2</v>
      </c>
      <c r="I15">
        <f t="shared" ca="1" si="6"/>
        <v>1</v>
      </c>
      <c r="J15">
        <f t="shared" ca="1" si="7"/>
        <v>43</v>
      </c>
      <c r="K15">
        <f t="shared" ca="1" si="8"/>
        <v>43</v>
      </c>
      <c r="L15">
        <f t="shared" ca="1" si="9"/>
        <v>-1515</v>
      </c>
      <c r="M15">
        <f t="shared" ca="1" si="10"/>
        <v>-1515</v>
      </c>
      <c r="N15" s="1">
        <f t="shared" ca="1" si="11"/>
        <v>41947</v>
      </c>
      <c r="O15" s="1">
        <f t="shared" ca="1" si="12"/>
        <v>41947</v>
      </c>
    </row>
    <row r="21" spans="2:5">
      <c r="B21" t="s">
        <v>2</v>
      </c>
      <c r="C21" t="s">
        <v>3</v>
      </c>
      <c r="D21" t="s">
        <v>16</v>
      </c>
      <c r="E21" t="s">
        <v>17</v>
      </c>
    </row>
    <row r="22" spans="2:5">
      <c r="B22" s="3">
        <f ca="1">NOW( )</f>
        <v>41920.73479490741</v>
      </c>
      <c r="C22">
        <f ca="1">HOUR(B22)</f>
        <v>17</v>
      </c>
      <c r="D22">
        <f ca="1">MINUTE(B22)</f>
        <v>38</v>
      </c>
      <c r="E22">
        <f ca="1">SECOND(B22)</f>
        <v>6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0"/>
  <sheetViews>
    <sheetView topLeftCell="B4" workbookViewId="0">
      <selection activeCell="F18" sqref="F18"/>
    </sheetView>
  </sheetViews>
  <sheetFormatPr baseColWidth="10" defaultColWidth="8.83203125" defaultRowHeight="15" x14ac:dyDescent="0"/>
  <cols>
    <col min="1" max="1" width="12" customWidth="1"/>
    <col min="2" max="2" width="11.1640625" customWidth="1"/>
    <col min="3" max="4" width="15.6640625" customWidth="1"/>
    <col min="5" max="5" width="18.1640625" customWidth="1"/>
    <col min="8" max="8" width="10.6640625" customWidth="1"/>
    <col min="9" max="9" width="10.33203125" customWidth="1"/>
    <col min="10" max="10" width="19.1640625" customWidth="1"/>
    <col min="11" max="11" width="17.83203125" customWidth="1"/>
    <col min="14" max="14" width="18.1640625" bestFit="1" customWidth="1"/>
    <col min="15" max="15" width="43.6640625" bestFit="1" customWidth="1"/>
  </cols>
  <sheetData>
    <row r="1" spans="1:16" ht="16" thickBot="1">
      <c r="A1" s="6" t="s">
        <v>4</v>
      </c>
      <c r="B1" s="4" t="b">
        <v>1</v>
      </c>
      <c r="C1" s="4" t="b">
        <v>0</v>
      </c>
      <c r="E1" s="6" t="s">
        <v>5</v>
      </c>
      <c r="F1" s="4" t="b">
        <v>1</v>
      </c>
      <c r="G1" s="4" t="b">
        <v>0</v>
      </c>
      <c r="I1" s="6" t="s">
        <v>6</v>
      </c>
    </row>
    <row r="2" spans="1:16" ht="16" thickTop="1">
      <c r="A2" s="5" t="b">
        <v>1</v>
      </c>
      <c r="B2" s="7" t="b">
        <f>AND(A2, B1)</f>
        <v>1</v>
      </c>
      <c r="C2" s="8" t="b">
        <f>AND(A2, C1)</f>
        <v>0</v>
      </c>
      <c r="E2" s="5" t="b">
        <v>1</v>
      </c>
      <c r="F2" s="11" t="b">
        <f>OR(E2,F1)</f>
        <v>1</v>
      </c>
      <c r="G2" s="12" t="b">
        <f>OR(E2,G1)</f>
        <v>1</v>
      </c>
      <c r="I2" s="5" t="b">
        <v>1</v>
      </c>
      <c r="J2" s="15" t="b">
        <f>NOT(I2)</f>
        <v>0</v>
      </c>
    </row>
    <row r="3" spans="1:16">
      <c r="A3" s="5" t="b">
        <v>0</v>
      </c>
      <c r="B3" s="9" t="b">
        <f>AND(A3, B1)</f>
        <v>0</v>
      </c>
      <c r="C3" s="10" t="b">
        <f>AND(A3, C1)</f>
        <v>0</v>
      </c>
      <c r="E3" s="5" t="b">
        <v>0</v>
      </c>
      <c r="F3" s="13" t="b">
        <f>OR(E3,F1)</f>
        <v>1</v>
      </c>
      <c r="G3" s="14" t="b">
        <f>OR(E3,G1)</f>
        <v>0</v>
      </c>
      <c r="I3" s="5" t="b">
        <v>0</v>
      </c>
      <c r="J3" s="16" t="b">
        <f>NOT(I3)</f>
        <v>1</v>
      </c>
    </row>
    <row r="6" spans="1:16">
      <c r="A6" s="34" t="s">
        <v>136</v>
      </c>
      <c r="B6" s="34" t="s">
        <v>137</v>
      </c>
      <c r="C6" s="34" t="s">
        <v>141</v>
      </c>
      <c r="D6" s="34" t="s">
        <v>138</v>
      </c>
      <c r="E6" s="34" t="s">
        <v>139</v>
      </c>
      <c r="F6" s="34" t="s">
        <v>140</v>
      </c>
      <c r="G6" t="s">
        <v>21</v>
      </c>
      <c r="H6" t="s">
        <v>7</v>
      </c>
      <c r="I6" t="s">
        <v>8</v>
      </c>
      <c r="J6" t="s">
        <v>145</v>
      </c>
      <c r="K6" t="s">
        <v>9</v>
      </c>
      <c r="L6" t="s">
        <v>10</v>
      </c>
      <c r="M6" t="s">
        <v>22</v>
      </c>
      <c r="N6" t="s">
        <v>11</v>
      </c>
      <c r="O6" t="s">
        <v>23</v>
      </c>
      <c r="P6" t="s">
        <v>24</v>
      </c>
    </row>
    <row r="7" spans="1:16">
      <c r="A7">
        <f ca="1">RAND()</f>
        <v>0.29949024463041796</v>
      </c>
      <c r="B7">
        <f ca="1">A7*100</f>
        <v>29.949024463041795</v>
      </c>
      <c r="C7">
        <f t="shared" ref="C7:C13" ca="1" si="0">B7+100</f>
        <v>129.94902446304178</v>
      </c>
      <c r="D7">
        <f ca="1">RANDBETWEEN(1, 100)</f>
        <v>45</v>
      </c>
      <c r="E7">
        <v>0.52317880794701987</v>
      </c>
      <c r="F7" s="23">
        <f>E7*10000</f>
        <v>5231.7880794701987</v>
      </c>
      <c r="G7" s="17">
        <f ca="1">B7</f>
        <v>29.949024463041795</v>
      </c>
      <c r="H7">
        <f ca="1">INT(B7)</f>
        <v>29</v>
      </c>
      <c r="I7">
        <f ca="1">ROUND(B7,0)</f>
        <v>30</v>
      </c>
      <c r="K7" t="b">
        <f ca="1">AND(I7&gt;30, I7&lt;80)</f>
        <v>0</v>
      </c>
      <c r="L7" t="b">
        <f ca="1">OR(I7&lt;30, I7&gt;80)</f>
        <v>0</v>
      </c>
      <c r="M7" t="b">
        <f ca="1">NOT(L7)</f>
        <v>1</v>
      </c>
      <c r="N7" t="str">
        <f t="shared" ref="N7:N13" ca="1" si="1">IF(I7&lt;50, "less than 50", "greater than 50")</f>
        <v>less than 50</v>
      </c>
      <c r="O7" t="str">
        <f>IF($I6&lt;50, "less than 50", IF($I6&lt;60, "less than 60", IF($I6&lt;70, "less than 70", "greater than 70")))</f>
        <v>greater than 70</v>
      </c>
      <c r="P7">
        <f ca="1">IFERROR(I7,"error")</f>
        <v>30</v>
      </c>
    </row>
    <row r="8" spans="1:16">
      <c r="A8">
        <f t="shared" ref="A8:A13" ca="1" si="2">RAND()</f>
        <v>0.77478468729572381</v>
      </c>
      <c r="B8">
        <f t="shared" ref="B8:B13" ca="1" si="3">A8*100</f>
        <v>77.478468729572384</v>
      </c>
      <c r="C8">
        <f t="shared" ca="1" si="0"/>
        <v>177.4784687295724</v>
      </c>
      <c r="D8">
        <f t="shared" ref="D8:D14" ca="1" si="4">RANDBETWEEN(1, 100)</f>
        <v>82</v>
      </c>
      <c r="E8">
        <v>0.86550492873928042</v>
      </c>
      <c r="F8" s="23">
        <f t="shared" ref="F8:F13" si="5">E8*10000</f>
        <v>8655.0492873928033</v>
      </c>
      <c r="G8" s="17">
        <f t="shared" ref="G8:G13" ca="1" si="6">B8</f>
        <v>77.478468729572384</v>
      </c>
      <c r="H8">
        <f t="shared" ref="H8:H13" ca="1" si="7">INT(B8)</f>
        <v>77</v>
      </c>
      <c r="I8">
        <f t="shared" ref="I8:I13" ca="1" si="8">ROUND(B8,0)</f>
        <v>77</v>
      </c>
      <c r="K8" t="b">
        <f t="shared" ref="K8:K13" ca="1" si="9">AND(I8&gt;30, I8&lt;80)</f>
        <v>1</v>
      </c>
      <c r="L8" t="b">
        <f t="shared" ref="L8:L13" ca="1" si="10">OR(I8&lt;30, I8&gt;80)</f>
        <v>0</v>
      </c>
      <c r="M8" t="b">
        <f t="shared" ref="M8:M13" ca="1" si="11">NOT(L8)</f>
        <v>1</v>
      </c>
      <c r="N8" t="str">
        <f t="shared" ca="1" si="1"/>
        <v>greater than 50</v>
      </c>
      <c r="O8" t="str">
        <f t="shared" ref="O8:O13" ca="1" si="12">IF($I7&lt;50, "less than 50", IF($I7&lt;60, "less than 60", IF($I7&lt;70, "less than 70", "greater than 70")))</f>
        <v>less than 50</v>
      </c>
    </row>
    <row r="9" spans="1:16">
      <c r="A9">
        <f t="shared" ca="1" si="2"/>
        <v>7.8139151712559141E-2</v>
      </c>
      <c r="B9">
        <f t="shared" ca="1" si="3"/>
        <v>7.8139151712559141</v>
      </c>
      <c r="C9">
        <f t="shared" ca="1" si="0"/>
        <v>107.81391517125591</v>
      </c>
      <c r="D9">
        <f t="shared" ca="1" si="4"/>
        <v>50</v>
      </c>
      <c r="E9">
        <v>0.97970519119846189</v>
      </c>
      <c r="F9" s="23">
        <f t="shared" si="5"/>
        <v>9797.0519119846194</v>
      </c>
      <c r="G9" s="17">
        <f t="shared" ca="1" si="6"/>
        <v>7.8139151712559141</v>
      </c>
      <c r="H9">
        <f t="shared" ca="1" si="7"/>
        <v>7</v>
      </c>
      <c r="I9">
        <f t="shared" ca="1" si="8"/>
        <v>8</v>
      </c>
      <c r="K9" t="b">
        <f t="shared" ca="1" si="9"/>
        <v>0</v>
      </c>
      <c r="L9" t="b">
        <f t="shared" ca="1" si="10"/>
        <v>1</v>
      </c>
      <c r="M9" t="b">
        <f t="shared" ca="1" si="11"/>
        <v>0</v>
      </c>
      <c r="N9" t="str">
        <f t="shared" ca="1" si="1"/>
        <v>less than 50</v>
      </c>
      <c r="O9" t="str">
        <f t="shared" ca="1" si="12"/>
        <v>greater than 70</v>
      </c>
    </row>
    <row r="10" spans="1:16">
      <c r="A10">
        <f t="shared" ca="1" si="2"/>
        <v>0.18631613396634406</v>
      </c>
      <c r="B10">
        <f t="shared" ca="1" si="3"/>
        <v>18.631613396634407</v>
      </c>
      <c r="C10">
        <f t="shared" ca="1" si="0"/>
        <v>118.63161339663441</v>
      </c>
      <c r="D10">
        <f t="shared" ca="1" si="4"/>
        <v>48</v>
      </c>
      <c r="E10">
        <v>0.48872341074861902</v>
      </c>
      <c r="F10" s="23">
        <f t="shared" si="5"/>
        <v>4887.2341074861906</v>
      </c>
      <c r="G10" s="17">
        <f t="shared" ca="1" si="6"/>
        <v>18.631613396634407</v>
      </c>
      <c r="H10">
        <f t="shared" ca="1" si="7"/>
        <v>18</v>
      </c>
      <c r="I10">
        <f t="shared" ca="1" si="8"/>
        <v>19</v>
      </c>
      <c r="K10" t="b">
        <f t="shared" ca="1" si="9"/>
        <v>0</v>
      </c>
      <c r="L10" t="b">
        <f t="shared" ca="1" si="10"/>
        <v>1</v>
      </c>
      <c r="M10" t="b">
        <f t="shared" ca="1" si="11"/>
        <v>0</v>
      </c>
      <c r="N10" t="str">
        <f t="shared" ca="1" si="1"/>
        <v>less than 50</v>
      </c>
      <c r="O10" t="str">
        <f t="shared" ca="1" si="12"/>
        <v>less than 50</v>
      </c>
    </row>
    <row r="11" spans="1:16">
      <c r="A11">
        <f t="shared" ca="1" si="2"/>
        <v>1.5569624348943711E-2</v>
      </c>
      <c r="B11">
        <f t="shared" ca="1" si="3"/>
        <v>1.5569624348943711</v>
      </c>
      <c r="C11">
        <f t="shared" ca="1" si="0"/>
        <v>101.55696243489437</v>
      </c>
      <c r="D11">
        <f t="shared" ca="1" si="4"/>
        <v>15</v>
      </c>
      <c r="E11">
        <v>8.1942197943052464E-2</v>
      </c>
      <c r="F11" s="23">
        <f t="shared" si="5"/>
        <v>819.42197943052463</v>
      </c>
      <c r="G11" s="17">
        <f t="shared" ca="1" si="6"/>
        <v>1.5569624348943711</v>
      </c>
      <c r="H11">
        <f t="shared" ca="1" si="7"/>
        <v>1</v>
      </c>
      <c r="I11">
        <f t="shared" ca="1" si="8"/>
        <v>2</v>
      </c>
      <c r="K11" t="b">
        <f t="shared" ca="1" si="9"/>
        <v>0</v>
      </c>
      <c r="L11" t="b">
        <f t="shared" ca="1" si="10"/>
        <v>1</v>
      </c>
      <c r="M11" t="b">
        <f t="shared" ca="1" si="11"/>
        <v>0</v>
      </c>
      <c r="N11" t="str">
        <f t="shared" ca="1" si="1"/>
        <v>less than 50</v>
      </c>
      <c r="O11" t="str">
        <f t="shared" ca="1" si="12"/>
        <v>less than 50</v>
      </c>
    </row>
    <row r="12" spans="1:16">
      <c r="A12">
        <f t="shared" ca="1" si="2"/>
        <v>0.17550493206800166</v>
      </c>
      <c r="B12">
        <f t="shared" ca="1" si="3"/>
        <v>17.550493206800166</v>
      </c>
      <c r="C12">
        <f t="shared" ca="1" si="0"/>
        <v>117.55049320680017</v>
      </c>
      <c r="D12">
        <f t="shared" ca="1" si="4"/>
        <v>54</v>
      </c>
      <c r="E12">
        <v>0.41532639545884581</v>
      </c>
      <c r="F12" s="23">
        <f t="shared" si="5"/>
        <v>4153.2639545884585</v>
      </c>
      <c r="G12" s="17">
        <f t="shared" ca="1" si="6"/>
        <v>17.550493206800166</v>
      </c>
      <c r="H12">
        <f t="shared" ca="1" si="7"/>
        <v>17</v>
      </c>
      <c r="I12">
        <f t="shared" ca="1" si="8"/>
        <v>18</v>
      </c>
      <c r="K12" t="b">
        <f t="shared" ca="1" si="9"/>
        <v>0</v>
      </c>
      <c r="L12" t="b">
        <f t="shared" ca="1" si="10"/>
        <v>1</v>
      </c>
      <c r="M12" t="b">
        <f t="shared" ca="1" si="11"/>
        <v>0</v>
      </c>
      <c r="N12" t="str">
        <f t="shared" ca="1" si="1"/>
        <v>less than 50</v>
      </c>
      <c r="O12" t="str">
        <f t="shared" ca="1" si="12"/>
        <v>less than 50</v>
      </c>
    </row>
    <row r="13" spans="1:16">
      <c r="A13">
        <f t="shared" ca="1" si="2"/>
        <v>0.55604047821158531</v>
      </c>
      <c r="B13">
        <f t="shared" ca="1" si="3"/>
        <v>55.604047821158531</v>
      </c>
      <c r="C13">
        <f t="shared" ca="1" si="0"/>
        <v>155.60404782115853</v>
      </c>
      <c r="D13">
        <f t="shared" ca="1" si="4"/>
        <v>69</v>
      </c>
      <c r="E13">
        <v>0.15363017670216986</v>
      </c>
      <c r="F13" s="23">
        <f t="shared" si="5"/>
        <v>1536.3017670216987</v>
      </c>
      <c r="G13" s="17">
        <f t="shared" ca="1" si="6"/>
        <v>55.604047821158531</v>
      </c>
      <c r="H13">
        <f t="shared" ca="1" si="7"/>
        <v>55</v>
      </c>
      <c r="I13">
        <f t="shared" ca="1" si="8"/>
        <v>56</v>
      </c>
      <c r="K13" t="b">
        <f t="shared" ca="1" si="9"/>
        <v>1</v>
      </c>
      <c r="L13" t="b">
        <f t="shared" ca="1" si="10"/>
        <v>0</v>
      </c>
      <c r="M13" t="b">
        <f t="shared" ca="1" si="11"/>
        <v>1</v>
      </c>
      <c r="N13" t="str">
        <f t="shared" ca="1" si="1"/>
        <v>greater than 50</v>
      </c>
      <c r="O13" t="str">
        <f t="shared" ca="1" si="12"/>
        <v>less than 50</v>
      </c>
    </row>
    <row r="14" spans="1:16">
      <c r="D14">
        <f t="shared" ca="1" si="4"/>
        <v>89</v>
      </c>
      <c r="G14" s="17">
        <f ca="1">SUM(G7:G13)</f>
        <v>208.58452522335756</v>
      </c>
      <c r="H14" s="17">
        <f t="shared" ref="H14:I14" ca="1" si="13">SUM(H7:H13)</f>
        <v>204</v>
      </c>
      <c r="I14" s="17">
        <f t="shared" ca="1" si="13"/>
        <v>210</v>
      </c>
    </row>
    <row r="16" spans="1:16">
      <c r="A16" t="s">
        <v>50</v>
      </c>
      <c r="C16" t="s">
        <v>52</v>
      </c>
    </row>
    <row r="17" spans="1:4">
      <c r="A17">
        <f ca="1">RAND()</f>
        <v>0.10693550971183596</v>
      </c>
      <c r="C17">
        <f ca="1">RAND()*10000</f>
        <v>5483.6501107984068</v>
      </c>
    </row>
    <row r="18" spans="1:4">
      <c r="C18" t="s">
        <v>53</v>
      </c>
    </row>
    <row r="20" spans="1:4">
      <c r="B20" t="s">
        <v>51</v>
      </c>
      <c r="D20" t="s">
        <v>54</v>
      </c>
    </row>
    <row r="21" spans="1:4">
      <c r="B21">
        <f ca="1">RAND()*10000</f>
        <v>996.01726609221953</v>
      </c>
      <c r="D21" t="s">
        <v>55</v>
      </c>
    </row>
    <row r="22" spans="1:4">
      <c r="D22" t="s">
        <v>56</v>
      </c>
    </row>
    <row r="23" spans="1:4">
      <c r="D23" t="s">
        <v>57</v>
      </c>
    </row>
    <row r="24" spans="1:4">
      <c r="D24" t="s">
        <v>58</v>
      </c>
    </row>
    <row r="26" spans="1:4">
      <c r="D26" t="s">
        <v>59</v>
      </c>
    </row>
    <row r="27" spans="1:4">
      <c r="D27" t="s">
        <v>60</v>
      </c>
    </row>
    <row r="28" spans="1:4">
      <c r="D28" t="s">
        <v>61</v>
      </c>
    </row>
    <row r="29" spans="1:4">
      <c r="D29" t="s">
        <v>62</v>
      </c>
    </row>
    <row r="30" spans="1:4">
      <c r="D30" t="s">
        <v>63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92"/>
  <sheetViews>
    <sheetView zoomScale="85" zoomScaleNormal="85" zoomScalePageLayoutView="85" workbookViewId="0">
      <selection activeCell="I76" sqref="I76"/>
    </sheetView>
  </sheetViews>
  <sheetFormatPr baseColWidth="10" defaultColWidth="8.83203125" defaultRowHeight="15" x14ac:dyDescent="0"/>
  <cols>
    <col min="1" max="1" width="12.33203125" bestFit="1" customWidth="1"/>
    <col min="3" max="3" width="11.83203125" bestFit="1" customWidth="1"/>
    <col min="4" max="4" width="11.83203125" customWidth="1"/>
    <col min="5" max="5" width="11.6640625" bestFit="1" customWidth="1"/>
    <col min="6" max="6" width="8.83203125" customWidth="1"/>
    <col min="7" max="7" width="16.33203125" bestFit="1" customWidth="1"/>
    <col min="8" max="8" width="9" customWidth="1"/>
    <col min="10" max="10" width="15.5" bestFit="1" customWidth="1"/>
  </cols>
  <sheetData>
    <row r="1" spans="1:17">
      <c r="A1" s="24" t="s">
        <v>25</v>
      </c>
      <c r="B1" s="24" t="s">
        <v>26</v>
      </c>
      <c r="C1" s="24" t="s">
        <v>65</v>
      </c>
      <c r="D1" s="24" t="s">
        <v>71</v>
      </c>
      <c r="E1" s="18"/>
      <c r="F1" s="18"/>
      <c r="G1" t="s">
        <v>27</v>
      </c>
      <c r="H1" s="19">
        <f>AVERAGE(A2:A120)</f>
        <v>467.56302521008405</v>
      </c>
      <c r="J1" s="31" t="s">
        <v>88</v>
      </c>
      <c r="K1" s="31"/>
      <c r="O1" t="s">
        <v>64</v>
      </c>
      <c r="P1" t="s">
        <v>82</v>
      </c>
      <c r="Q1" t="s">
        <v>83</v>
      </c>
    </row>
    <row r="2" spans="1:17">
      <c r="A2" s="20">
        <v>200</v>
      </c>
      <c r="B2" s="20" t="s">
        <v>158</v>
      </c>
      <c r="C2" s="20" t="s">
        <v>66</v>
      </c>
      <c r="D2" s="20" t="s">
        <v>72</v>
      </c>
      <c r="E2" s="18">
        <f>IF(  AND(C2="iPhone",D2="Newworld"), 1, 0)</f>
        <v>0</v>
      </c>
      <c r="F2" s="21"/>
      <c r="G2" t="s">
        <v>30</v>
      </c>
      <c r="H2" s="19">
        <f>MEDIAN(A2:A120)</f>
        <v>400</v>
      </c>
      <c r="J2" s="29"/>
      <c r="K2" s="29"/>
      <c r="M2">
        <v>200</v>
      </c>
      <c r="N2">
        <v>1</v>
      </c>
      <c r="O2">
        <f>FREQUENCY(B$2:B$120,M2:M11)</f>
        <v>0</v>
      </c>
      <c r="P2">
        <f>DAVERAGE(A1:B120,A1,N2:N3)</f>
        <v>467.56302521008405</v>
      </c>
    </row>
    <row r="3" spans="1:17">
      <c r="A3" s="20">
        <v>1200</v>
      </c>
      <c r="B3" s="20" t="s">
        <v>159</v>
      </c>
      <c r="C3" s="20" t="s">
        <v>67</v>
      </c>
      <c r="D3" s="20" t="s">
        <v>73</v>
      </c>
      <c r="E3" s="18">
        <f t="shared" ref="E3:E66" si="0">IF(  AND(C3="iPhone",D3="Newworld"), 1, 0)</f>
        <v>0</v>
      </c>
      <c r="F3" s="22"/>
      <c r="G3" t="s">
        <v>31</v>
      </c>
      <c r="H3" s="19">
        <f>MODE(A2:A120)</f>
        <v>200</v>
      </c>
      <c r="J3" s="29" t="s">
        <v>89</v>
      </c>
      <c r="K3" s="29">
        <v>467.56302521008405</v>
      </c>
      <c r="M3">
        <v>400</v>
      </c>
      <c r="N3">
        <v>2</v>
      </c>
      <c r="O3">
        <f t="shared" ref="O3:O11" si="1">FREQUENCY(B$2:B$120,M3)</f>
        <v>0</v>
      </c>
      <c r="P3">
        <f>DAVERAGE(A1:B120,A1,N2:N3)</f>
        <v>467.56302521008405</v>
      </c>
    </row>
    <row r="4" spans="1:17">
      <c r="A4" s="20">
        <v>300</v>
      </c>
      <c r="B4" s="20" t="s">
        <v>159</v>
      </c>
      <c r="C4" s="25" t="s">
        <v>68</v>
      </c>
      <c r="D4" s="25">
        <v>3</v>
      </c>
      <c r="E4" s="18">
        <f t="shared" si="0"/>
        <v>0</v>
      </c>
      <c r="F4" s="22"/>
      <c r="G4" t="s">
        <v>106</v>
      </c>
      <c r="H4">
        <f>GEOMEAN(MonthlyFee)</f>
        <v>378.23170639769535</v>
      </c>
      <c r="J4" s="29" t="s">
        <v>90</v>
      </c>
      <c r="K4" s="29">
        <v>30.47012504014911</v>
      </c>
      <c r="M4">
        <v>600</v>
      </c>
      <c r="O4">
        <f t="shared" si="1"/>
        <v>0</v>
      </c>
    </row>
    <row r="5" spans="1:17">
      <c r="A5" s="20">
        <v>300</v>
      </c>
      <c r="B5" s="20" t="s">
        <v>159</v>
      </c>
      <c r="C5" s="20" t="s">
        <v>69</v>
      </c>
      <c r="D5" s="20" t="s">
        <v>74</v>
      </c>
      <c r="E5" s="18">
        <f t="shared" si="0"/>
        <v>0</v>
      </c>
      <c r="F5" s="22"/>
      <c r="J5" s="29" t="s">
        <v>30</v>
      </c>
      <c r="K5" s="29">
        <v>400</v>
      </c>
      <c r="M5">
        <v>800</v>
      </c>
      <c r="O5">
        <f t="shared" si="1"/>
        <v>0</v>
      </c>
    </row>
    <row r="6" spans="1:17">
      <c r="A6" s="20">
        <v>200</v>
      </c>
      <c r="B6" s="20" t="s">
        <v>158</v>
      </c>
      <c r="C6" s="20" t="s">
        <v>70</v>
      </c>
      <c r="D6" s="20" t="s">
        <v>75</v>
      </c>
      <c r="E6" s="18">
        <f t="shared" si="0"/>
        <v>0</v>
      </c>
      <c r="F6" s="22"/>
      <c r="G6" t="s">
        <v>32</v>
      </c>
      <c r="H6" s="23">
        <f>MAX(A2:A120)</f>
        <v>2000</v>
      </c>
      <c r="J6" s="29" t="s">
        <v>31</v>
      </c>
      <c r="K6" s="29">
        <v>200</v>
      </c>
      <c r="M6">
        <v>1000</v>
      </c>
      <c r="O6">
        <f t="shared" si="1"/>
        <v>0</v>
      </c>
    </row>
    <row r="7" spans="1:17">
      <c r="A7" s="20">
        <v>200</v>
      </c>
      <c r="B7" s="20" t="s">
        <v>158</v>
      </c>
      <c r="C7" s="20" t="s">
        <v>66</v>
      </c>
      <c r="D7" s="20" t="s">
        <v>75</v>
      </c>
      <c r="E7" s="18">
        <f t="shared" si="0"/>
        <v>1</v>
      </c>
      <c r="F7" s="22"/>
      <c r="G7" t="s">
        <v>85</v>
      </c>
      <c r="H7" s="23">
        <f>MAXA(A2:A120)</f>
        <v>2000</v>
      </c>
      <c r="J7" s="29" t="s">
        <v>29</v>
      </c>
      <c r="K7" s="29">
        <v>332.38982215993963</v>
      </c>
      <c r="M7">
        <v>1200</v>
      </c>
      <c r="O7">
        <f t="shared" si="1"/>
        <v>0</v>
      </c>
    </row>
    <row r="8" spans="1:17">
      <c r="A8" s="20">
        <v>300</v>
      </c>
      <c r="B8" s="20" t="s">
        <v>159</v>
      </c>
      <c r="C8" s="20" t="s">
        <v>67</v>
      </c>
      <c r="D8" s="20" t="s">
        <v>74</v>
      </c>
      <c r="E8" s="18">
        <f t="shared" si="0"/>
        <v>0</v>
      </c>
      <c r="F8" s="22"/>
      <c r="G8" t="s">
        <v>33</v>
      </c>
      <c r="H8" s="23">
        <f>MIN(A2:A120)</f>
        <v>30</v>
      </c>
      <c r="J8" s="29" t="s">
        <v>91</v>
      </c>
      <c r="K8" s="29">
        <v>110482.99387551629</v>
      </c>
      <c r="M8">
        <v>1400</v>
      </c>
      <c r="O8">
        <f t="shared" si="1"/>
        <v>0</v>
      </c>
    </row>
    <row r="9" spans="1:17">
      <c r="A9" s="20">
        <v>1500</v>
      </c>
      <c r="B9" s="20" t="s">
        <v>158</v>
      </c>
      <c r="C9" s="25" t="s">
        <v>68</v>
      </c>
      <c r="D9" s="25">
        <v>3</v>
      </c>
      <c r="E9" s="18">
        <f t="shared" si="0"/>
        <v>0</v>
      </c>
      <c r="F9" s="22"/>
      <c r="G9" t="s">
        <v>84</v>
      </c>
      <c r="H9" s="23">
        <f>MINA(A2:A120)</f>
        <v>30</v>
      </c>
      <c r="J9" s="29" t="s">
        <v>92</v>
      </c>
      <c r="K9" s="29">
        <v>4.7300578595488076</v>
      </c>
      <c r="M9">
        <v>1600</v>
      </c>
      <c r="O9">
        <f t="shared" si="1"/>
        <v>0</v>
      </c>
    </row>
    <row r="10" spans="1:17">
      <c r="A10" s="20">
        <v>200</v>
      </c>
      <c r="B10" s="20" t="s">
        <v>158</v>
      </c>
      <c r="C10" s="20" t="s">
        <v>69</v>
      </c>
      <c r="D10" s="20" t="s">
        <v>73</v>
      </c>
      <c r="E10" s="18">
        <f t="shared" si="0"/>
        <v>0</v>
      </c>
      <c r="F10" s="22"/>
      <c r="G10" t="s">
        <v>34</v>
      </c>
      <c r="H10">
        <f>SMALL(A2:A120,2)</f>
        <v>80</v>
      </c>
      <c r="J10" s="29" t="s">
        <v>93</v>
      </c>
      <c r="K10" s="29">
        <v>1.9404606896753112</v>
      </c>
      <c r="M10">
        <v>1800</v>
      </c>
      <c r="O10">
        <f t="shared" si="1"/>
        <v>0</v>
      </c>
    </row>
    <row r="11" spans="1:17">
      <c r="A11" s="20">
        <v>300</v>
      </c>
      <c r="B11" s="20" t="s">
        <v>159</v>
      </c>
      <c r="C11" s="20" t="s">
        <v>70</v>
      </c>
      <c r="D11" s="20" t="s">
        <v>72</v>
      </c>
      <c r="E11" s="18">
        <f t="shared" si="0"/>
        <v>0</v>
      </c>
      <c r="F11" s="22"/>
      <c r="G11" t="s">
        <v>35</v>
      </c>
      <c r="H11">
        <f>LARGE(A2:A120,2)</f>
        <v>1500</v>
      </c>
      <c r="J11" s="29" t="s">
        <v>36</v>
      </c>
      <c r="K11" s="29">
        <v>1970</v>
      </c>
      <c r="M11">
        <v>2000</v>
      </c>
      <c r="O11">
        <f t="shared" si="1"/>
        <v>0</v>
      </c>
    </row>
    <row r="12" spans="1:17">
      <c r="A12" s="20">
        <v>500</v>
      </c>
      <c r="B12" s="20" t="s">
        <v>159</v>
      </c>
      <c r="C12" s="20" t="s">
        <v>66</v>
      </c>
      <c r="D12" s="20" t="s">
        <v>72</v>
      </c>
      <c r="E12" s="18">
        <f t="shared" si="0"/>
        <v>0</v>
      </c>
      <c r="F12" s="22"/>
      <c r="G12" t="s">
        <v>36</v>
      </c>
      <c r="H12" s="23">
        <f>H6-H8</f>
        <v>1970</v>
      </c>
      <c r="J12" s="29" t="s">
        <v>94</v>
      </c>
      <c r="K12" s="29">
        <v>30</v>
      </c>
    </row>
    <row r="13" spans="1:17">
      <c r="A13" s="20">
        <v>800</v>
      </c>
      <c r="B13" s="20" t="s">
        <v>158</v>
      </c>
      <c r="C13" s="20" t="s">
        <v>67</v>
      </c>
      <c r="D13" s="20" t="s">
        <v>73</v>
      </c>
      <c r="E13" s="18">
        <f t="shared" si="0"/>
        <v>0</v>
      </c>
      <c r="F13" s="22"/>
      <c r="H13" s="23"/>
      <c r="J13" s="29" t="s">
        <v>95</v>
      </c>
      <c r="K13" s="29">
        <v>2000</v>
      </c>
    </row>
    <row r="14" spans="1:17">
      <c r="A14" s="20">
        <v>200</v>
      </c>
      <c r="B14" s="20" t="s">
        <v>158</v>
      </c>
      <c r="C14" s="25" t="s">
        <v>68</v>
      </c>
      <c r="D14" s="25">
        <v>3</v>
      </c>
      <c r="E14" s="18">
        <f t="shared" si="0"/>
        <v>0</v>
      </c>
      <c r="F14" s="22"/>
      <c r="G14" t="s">
        <v>37</v>
      </c>
      <c r="H14">
        <f>COUNT(A2:A120)</f>
        <v>119</v>
      </c>
      <c r="J14" s="29" t="s">
        <v>96</v>
      </c>
      <c r="K14" s="29">
        <v>55640</v>
      </c>
    </row>
    <row r="15" spans="1:17">
      <c r="A15" s="20">
        <v>300</v>
      </c>
      <c r="B15" s="20" t="s">
        <v>159</v>
      </c>
      <c r="C15" s="20" t="s">
        <v>69</v>
      </c>
      <c r="D15" s="20" t="s">
        <v>74</v>
      </c>
      <c r="E15" s="18">
        <f t="shared" si="0"/>
        <v>0</v>
      </c>
      <c r="F15" s="22"/>
      <c r="G15" t="s">
        <v>38</v>
      </c>
      <c r="H15">
        <f>COUNTA(MonthlyFee)</f>
        <v>119</v>
      </c>
      <c r="J15" s="29" t="s">
        <v>37</v>
      </c>
      <c r="K15" s="29">
        <v>119</v>
      </c>
    </row>
    <row r="16" spans="1:17">
      <c r="A16" s="20">
        <v>300</v>
      </c>
      <c r="B16" s="20" t="s">
        <v>158</v>
      </c>
      <c r="C16" s="20" t="s">
        <v>70</v>
      </c>
      <c r="D16" s="20" t="s">
        <v>75</v>
      </c>
      <c r="E16" s="18">
        <f t="shared" si="0"/>
        <v>0</v>
      </c>
      <c r="F16" s="22"/>
      <c r="G16" t="s">
        <v>39</v>
      </c>
      <c r="H16">
        <f>COUNTBLANK(MonthlyFee)</f>
        <v>0</v>
      </c>
      <c r="J16" s="29" t="s">
        <v>97</v>
      </c>
      <c r="K16" s="29">
        <v>1500</v>
      </c>
    </row>
    <row r="17" spans="1:11" ht="16" thickBot="1">
      <c r="A17" s="20">
        <v>600</v>
      </c>
      <c r="B17" s="20" t="s">
        <v>158</v>
      </c>
      <c r="C17" s="20" t="s">
        <v>66</v>
      </c>
      <c r="D17" s="20" t="s">
        <v>75</v>
      </c>
      <c r="E17" s="18">
        <f t="shared" si="0"/>
        <v>1</v>
      </c>
      <c r="F17" s="22"/>
      <c r="G17" t="s">
        <v>40</v>
      </c>
      <c r="H17">
        <f>COUNTIF(MonthlyFee,"&gt;1000")</f>
        <v>7</v>
      </c>
      <c r="J17" s="30" t="s">
        <v>98</v>
      </c>
      <c r="K17" s="30">
        <v>80</v>
      </c>
    </row>
    <row r="18" spans="1:11">
      <c r="A18" s="20">
        <v>600</v>
      </c>
      <c r="B18" s="20" t="s">
        <v>158</v>
      </c>
      <c r="C18" s="20" t="s">
        <v>67</v>
      </c>
      <c r="D18" s="20" t="s">
        <v>74</v>
      </c>
      <c r="E18" s="18">
        <f t="shared" si="0"/>
        <v>0</v>
      </c>
      <c r="F18" s="22"/>
      <c r="G18" t="s">
        <v>41</v>
      </c>
      <c r="H18">
        <f>RANK(A2,MonthlyFee)</f>
        <v>90</v>
      </c>
    </row>
    <row r="19" spans="1:11">
      <c r="A19" s="20">
        <v>250</v>
      </c>
      <c r="B19" s="20" t="s">
        <v>159</v>
      </c>
      <c r="C19" s="25" t="s">
        <v>68</v>
      </c>
      <c r="D19" s="25">
        <v>3</v>
      </c>
      <c r="E19" s="18">
        <f t="shared" si="0"/>
        <v>0</v>
      </c>
      <c r="F19" s="22"/>
    </row>
    <row r="20" spans="1:11">
      <c r="A20" s="20">
        <v>400</v>
      </c>
      <c r="B20" s="20" t="s">
        <v>159</v>
      </c>
      <c r="C20" s="20" t="s">
        <v>69</v>
      </c>
      <c r="D20" s="20" t="s">
        <v>73</v>
      </c>
      <c r="E20" s="18">
        <f t="shared" si="0"/>
        <v>0</v>
      </c>
      <c r="F20" s="22"/>
      <c r="G20" t="s">
        <v>42</v>
      </c>
      <c r="H20" t="b">
        <f>EXACT(A2,A3)</f>
        <v>0</v>
      </c>
      <c r="J20" t="s">
        <v>99</v>
      </c>
    </row>
    <row r="21" spans="1:11">
      <c r="A21" s="20">
        <v>400</v>
      </c>
      <c r="B21" s="20" t="s">
        <v>158</v>
      </c>
      <c r="C21" s="20" t="s">
        <v>70</v>
      </c>
      <c r="D21" s="20" t="s">
        <v>72</v>
      </c>
      <c r="E21" s="18">
        <f t="shared" si="0"/>
        <v>0</v>
      </c>
      <c r="F21" s="22"/>
      <c r="G21" t="s">
        <v>43</v>
      </c>
      <c r="H21">
        <f>FIND(A2,A3)</f>
        <v>2</v>
      </c>
      <c r="J21" t="s">
        <v>100</v>
      </c>
    </row>
    <row r="22" spans="1:11">
      <c r="A22" s="20">
        <v>500</v>
      </c>
      <c r="B22" s="20" t="s">
        <v>159</v>
      </c>
      <c r="C22" s="20" t="s">
        <v>66</v>
      </c>
      <c r="D22" s="20" t="s">
        <v>72</v>
      </c>
      <c r="E22" s="18">
        <f t="shared" si="0"/>
        <v>0</v>
      </c>
      <c r="F22" s="22"/>
      <c r="G22" t="s">
        <v>44</v>
      </c>
      <c r="H22" t="str">
        <f>MID(A1, 4,3)</f>
        <v>thl</v>
      </c>
      <c r="J22" t="s">
        <v>101</v>
      </c>
    </row>
    <row r="23" spans="1:11">
      <c r="A23" s="20">
        <v>2000</v>
      </c>
      <c r="B23" s="20" t="s">
        <v>159</v>
      </c>
      <c r="C23" s="20" t="s">
        <v>67</v>
      </c>
      <c r="D23" s="20" t="s">
        <v>73</v>
      </c>
      <c r="E23" s="18">
        <f t="shared" si="0"/>
        <v>0</v>
      </c>
      <c r="F23" s="22"/>
      <c r="G23" t="s">
        <v>45</v>
      </c>
      <c r="H23" t="str">
        <f>SUBSTITUTE(A1,"Fee", "Payment")</f>
        <v>Monthly Payment</v>
      </c>
      <c r="J23" t="s">
        <v>102</v>
      </c>
    </row>
    <row r="24" spans="1:11">
      <c r="A24" s="20">
        <v>500</v>
      </c>
      <c r="B24" s="20" t="s">
        <v>158</v>
      </c>
      <c r="C24" s="25" t="s">
        <v>68</v>
      </c>
      <c r="D24" s="25">
        <v>3</v>
      </c>
      <c r="E24" s="18">
        <f t="shared" si="0"/>
        <v>0</v>
      </c>
      <c r="F24" s="22"/>
      <c r="G24" t="s">
        <v>45</v>
      </c>
      <c r="H24" t="str">
        <f>SUBSTITUTE(A1,"e", "es", 2)</f>
        <v>Monthly Fees</v>
      </c>
      <c r="J24" t="s">
        <v>103</v>
      </c>
    </row>
    <row r="25" spans="1:11">
      <c r="A25" s="20">
        <v>500</v>
      </c>
      <c r="B25" s="20" t="s">
        <v>158</v>
      </c>
      <c r="C25" s="20" t="s">
        <v>69</v>
      </c>
      <c r="D25" s="20" t="s">
        <v>74</v>
      </c>
      <c r="E25" s="18">
        <f t="shared" si="0"/>
        <v>0</v>
      </c>
      <c r="F25" s="22"/>
      <c r="G25" t="s">
        <v>46</v>
      </c>
      <c r="H25" s="23">
        <f>MOD(A2,3)</f>
        <v>2</v>
      </c>
      <c r="J25" t="s">
        <v>104</v>
      </c>
    </row>
    <row r="26" spans="1:11">
      <c r="A26" s="20">
        <v>350</v>
      </c>
      <c r="B26" s="20" t="s">
        <v>159</v>
      </c>
      <c r="C26" s="20" t="s">
        <v>70</v>
      </c>
      <c r="D26" s="20" t="s">
        <v>75</v>
      </c>
      <c r="E26" s="18">
        <f t="shared" si="0"/>
        <v>0</v>
      </c>
      <c r="F26" s="22"/>
      <c r="J26" t="s">
        <v>105</v>
      </c>
    </row>
    <row r="27" spans="1:11">
      <c r="A27" s="20">
        <v>180</v>
      </c>
      <c r="B27" s="20" t="s">
        <v>159</v>
      </c>
      <c r="C27" s="20" t="s">
        <v>66</v>
      </c>
      <c r="D27" s="20" t="s">
        <v>75</v>
      </c>
      <c r="E27" s="18">
        <f t="shared" si="0"/>
        <v>1</v>
      </c>
      <c r="F27" s="22"/>
      <c r="G27" t="s">
        <v>29</v>
      </c>
      <c r="H27" s="19">
        <f>STDEV(A2:A120)</f>
        <v>332.38982215993963</v>
      </c>
    </row>
    <row r="28" spans="1:11">
      <c r="A28" s="20">
        <v>500</v>
      </c>
      <c r="B28" s="20" t="s">
        <v>159</v>
      </c>
      <c r="C28" s="20" t="s">
        <v>67</v>
      </c>
      <c r="D28" s="20" t="s">
        <v>74</v>
      </c>
      <c r="E28" s="18">
        <f t="shared" si="0"/>
        <v>0</v>
      </c>
      <c r="F28" s="22"/>
      <c r="G28" t="s">
        <v>86</v>
      </c>
      <c r="H28">
        <f>SKEW(MonthlyFee)</f>
        <v>1.9404606896753112</v>
      </c>
    </row>
    <row r="29" spans="1:11">
      <c r="A29" s="20">
        <v>200</v>
      </c>
      <c r="B29" s="20" t="s">
        <v>159</v>
      </c>
      <c r="C29" s="25" t="s">
        <v>68</v>
      </c>
      <c r="D29" s="25">
        <v>3</v>
      </c>
      <c r="E29" s="18">
        <f t="shared" si="0"/>
        <v>0</v>
      </c>
      <c r="F29" s="22"/>
      <c r="G29" t="s">
        <v>87</v>
      </c>
      <c r="H29">
        <f>KURT(MonthlyFee)</f>
        <v>4.7300578595488076</v>
      </c>
    </row>
    <row r="30" spans="1:11">
      <c r="A30" s="20">
        <v>300</v>
      </c>
      <c r="B30" s="20" t="s">
        <v>158</v>
      </c>
      <c r="C30" s="20" t="s">
        <v>69</v>
      </c>
      <c r="D30" s="20" t="s">
        <v>73</v>
      </c>
      <c r="E30" s="18">
        <f t="shared" si="0"/>
        <v>0</v>
      </c>
      <c r="F30" s="22"/>
      <c r="G30" t="s">
        <v>28</v>
      </c>
      <c r="H30">
        <f>AVEDEV(MonthlyFee)</f>
        <v>236.20648259303732</v>
      </c>
    </row>
    <row r="31" spans="1:11">
      <c r="A31" s="20">
        <v>250</v>
      </c>
      <c r="B31" s="20" t="s">
        <v>159</v>
      </c>
      <c r="C31" s="20" t="s">
        <v>70</v>
      </c>
      <c r="D31" s="20" t="s">
        <v>72</v>
      </c>
      <c r="E31" s="18">
        <f t="shared" si="0"/>
        <v>0</v>
      </c>
      <c r="F31" s="22"/>
    </row>
    <row r="32" spans="1:11">
      <c r="A32" s="20">
        <v>500</v>
      </c>
      <c r="B32" s="20" t="s">
        <v>158</v>
      </c>
      <c r="C32" s="20" t="s">
        <v>66</v>
      </c>
      <c r="D32" s="20" t="s">
        <v>72</v>
      </c>
      <c r="E32" s="18">
        <f t="shared" si="0"/>
        <v>0</v>
      </c>
      <c r="F32" s="22"/>
      <c r="G32" t="s">
        <v>146</v>
      </c>
      <c r="H32" t="s">
        <v>147</v>
      </c>
    </row>
    <row r="33" spans="1:8">
      <c r="A33" s="20">
        <v>200</v>
      </c>
      <c r="B33" s="20" t="s">
        <v>159</v>
      </c>
      <c r="C33" s="20" t="s">
        <v>67</v>
      </c>
      <c r="D33" s="20" t="s">
        <v>73</v>
      </c>
      <c r="E33" s="18">
        <f t="shared" si="0"/>
        <v>0</v>
      </c>
      <c r="F33" s="22"/>
      <c r="G33" t="s">
        <v>148</v>
      </c>
      <c r="H33">
        <f>SUMIF(MonthlyFee,"&gt;1000")</f>
        <v>10200</v>
      </c>
    </row>
    <row r="34" spans="1:8">
      <c r="A34" s="20">
        <v>600</v>
      </c>
      <c r="B34" s="20" t="s">
        <v>159</v>
      </c>
      <c r="C34" s="25" t="s">
        <v>68</v>
      </c>
      <c r="D34" s="25">
        <v>3</v>
      </c>
      <c r="E34" s="18">
        <f t="shared" si="0"/>
        <v>0</v>
      </c>
      <c r="F34" s="22"/>
      <c r="G34" t="s">
        <v>149</v>
      </c>
      <c r="H34">
        <f>AVERAGEIF(MonthlyFee,"&gt;1000")</f>
        <v>1457.1428571428571</v>
      </c>
    </row>
    <row r="35" spans="1:8">
      <c r="A35" s="20">
        <v>700</v>
      </c>
      <c r="B35" s="20" t="s">
        <v>158</v>
      </c>
      <c r="C35" s="20" t="s">
        <v>69</v>
      </c>
      <c r="D35" s="20" t="s">
        <v>74</v>
      </c>
      <c r="E35" s="18">
        <f t="shared" si="0"/>
        <v>0</v>
      </c>
      <c r="F35" s="22"/>
      <c r="G35" t="s">
        <v>150</v>
      </c>
      <c r="H35">
        <f>COUNTIF(MonthlyFee,"&gt;1000")</f>
        <v>7</v>
      </c>
    </row>
    <row r="36" spans="1:8">
      <c r="A36" s="20">
        <v>300</v>
      </c>
      <c r="B36" s="20" t="s">
        <v>158</v>
      </c>
      <c r="C36" s="20" t="s">
        <v>70</v>
      </c>
      <c r="D36" s="20" t="s">
        <v>75</v>
      </c>
      <c r="E36" s="18">
        <f t="shared" si="0"/>
        <v>0</v>
      </c>
      <c r="F36" s="22"/>
    </row>
    <row r="37" spans="1:8">
      <c r="A37" s="20">
        <v>400</v>
      </c>
      <c r="B37" s="20" t="s">
        <v>158</v>
      </c>
      <c r="C37" s="20" t="s">
        <v>66</v>
      </c>
      <c r="D37" s="20" t="s">
        <v>75</v>
      </c>
      <c r="E37" s="18">
        <f t="shared" si="0"/>
        <v>1</v>
      </c>
      <c r="F37" s="22"/>
      <c r="G37" t="s">
        <v>151</v>
      </c>
    </row>
    <row r="38" spans="1:8">
      <c r="A38" s="20">
        <v>30</v>
      </c>
      <c r="B38" s="20" t="s">
        <v>159</v>
      </c>
      <c r="C38" s="20" t="s">
        <v>67</v>
      </c>
      <c r="D38" s="20" t="s">
        <v>74</v>
      </c>
      <c r="E38" s="18">
        <f t="shared" si="0"/>
        <v>0</v>
      </c>
      <c r="F38" s="22"/>
      <c r="G38" t="s">
        <v>148</v>
      </c>
      <c r="H38">
        <f>SUMIF(MonthlyFee,"&lt;500")</f>
        <v>17740</v>
      </c>
    </row>
    <row r="39" spans="1:8">
      <c r="A39" s="20">
        <v>800</v>
      </c>
      <c r="B39" s="20" t="s">
        <v>158</v>
      </c>
      <c r="C39" s="25" t="s">
        <v>68</v>
      </c>
      <c r="D39" s="25">
        <v>3</v>
      </c>
      <c r="E39" s="18">
        <f t="shared" si="0"/>
        <v>0</v>
      </c>
      <c r="F39" s="22"/>
      <c r="G39" t="s">
        <v>149</v>
      </c>
      <c r="H39">
        <f>AVERAGEIF(MonthlyFee,"&lt;500")</f>
        <v>260.88235294117646</v>
      </c>
    </row>
    <row r="40" spans="1:8">
      <c r="A40" s="20">
        <v>250</v>
      </c>
      <c r="B40" s="20" t="s">
        <v>158</v>
      </c>
      <c r="C40" s="20" t="s">
        <v>69</v>
      </c>
      <c r="D40" s="20" t="s">
        <v>73</v>
      </c>
      <c r="E40" s="18">
        <f t="shared" si="0"/>
        <v>0</v>
      </c>
      <c r="F40" s="22"/>
      <c r="G40" t="s">
        <v>150</v>
      </c>
      <c r="H40">
        <f>COUNTIF(MonthlyFee,"&lt;500")</f>
        <v>68</v>
      </c>
    </row>
    <row r="41" spans="1:8">
      <c r="A41" s="20">
        <v>700</v>
      </c>
      <c r="B41" s="20" t="s">
        <v>158</v>
      </c>
      <c r="C41" s="20" t="s">
        <v>70</v>
      </c>
      <c r="D41" s="20" t="s">
        <v>72</v>
      </c>
      <c r="E41" s="18">
        <f t="shared" si="0"/>
        <v>0</v>
      </c>
      <c r="F41" s="22"/>
    </row>
    <row r="42" spans="1:8">
      <c r="A42" s="20">
        <v>300</v>
      </c>
      <c r="B42" s="20" t="s">
        <v>158</v>
      </c>
      <c r="C42" s="20" t="s">
        <v>66</v>
      </c>
      <c r="D42" s="20" t="s">
        <v>72</v>
      </c>
      <c r="E42" s="18">
        <f t="shared" si="0"/>
        <v>0</v>
      </c>
      <c r="F42" s="22"/>
      <c r="G42" t="s">
        <v>152</v>
      </c>
      <c r="H42" t="s">
        <v>153</v>
      </c>
    </row>
    <row r="43" spans="1:8">
      <c r="A43" s="20">
        <v>100</v>
      </c>
      <c r="B43" s="20" t="s">
        <v>159</v>
      </c>
      <c r="C43" s="20" t="s">
        <v>67</v>
      </c>
      <c r="D43" s="20" t="s">
        <v>73</v>
      </c>
      <c r="E43" s="18">
        <f t="shared" si="0"/>
        <v>0</v>
      </c>
      <c r="F43" s="22"/>
      <c r="G43" t="s">
        <v>148</v>
      </c>
      <c r="H43">
        <f>SUMIF(Sex,"M",MonthlyFee)</f>
        <v>25780</v>
      </c>
    </row>
    <row r="44" spans="1:8">
      <c r="A44" s="20">
        <v>200</v>
      </c>
      <c r="B44" s="20" t="s">
        <v>159</v>
      </c>
      <c r="C44" s="25" t="s">
        <v>68</v>
      </c>
      <c r="D44" s="25">
        <v>3</v>
      </c>
      <c r="E44" s="18">
        <f t="shared" si="0"/>
        <v>0</v>
      </c>
      <c r="F44" s="22"/>
      <c r="G44" t="s">
        <v>149</v>
      </c>
      <c r="H44">
        <f>AVERAGEIF(Sex,"M",MonthlyFee)</f>
        <v>505.49019607843138</v>
      </c>
    </row>
    <row r="45" spans="1:8">
      <c r="A45" s="20">
        <v>500</v>
      </c>
      <c r="B45" s="20" t="s">
        <v>159</v>
      </c>
      <c r="C45" s="20" t="s">
        <v>69</v>
      </c>
      <c r="D45" s="20" t="s">
        <v>74</v>
      </c>
      <c r="E45" s="18">
        <f t="shared" si="0"/>
        <v>0</v>
      </c>
      <c r="F45" s="22"/>
      <c r="G45" t="s">
        <v>150</v>
      </c>
      <c r="H45">
        <f>COUNTIF(Sex,"M")</f>
        <v>51</v>
      </c>
    </row>
    <row r="46" spans="1:8">
      <c r="A46" s="20">
        <v>500</v>
      </c>
      <c r="B46" s="20" t="s">
        <v>159</v>
      </c>
      <c r="C46" s="20" t="s">
        <v>70</v>
      </c>
      <c r="D46" s="20" t="s">
        <v>75</v>
      </c>
      <c r="E46" s="18">
        <f t="shared" si="0"/>
        <v>0</v>
      </c>
      <c r="F46" s="22"/>
    </row>
    <row r="47" spans="1:8">
      <c r="A47" s="20">
        <v>200</v>
      </c>
      <c r="B47" s="20" t="s">
        <v>158</v>
      </c>
      <c r="C47" s="20" t="s">
        <v>66</v>
      </c>
      <c r="D47" s="20" t="s">
        <v>75</v>
      </c>
      <c r="E47" s="18">
        <f t="shared" si="0"/>
        <v>1</v>
      </c>
      <c r="F47" s="22"/>
      <c r="G47" t="s">
        <v>154</v>
      </c>
    </row>
    <row r="48" spans="1:8">
      <c r="A48" s="20">
        <v>1300</v>
      </c>
      <c r="B48" s="20" t="s">
        <v>158</v>
      </c>
      <c r="C48" s="20" t="s">
        <v>67</v>
      </c>
      <c r="D48" s="20" t="s">
        <v>74</v>
      </c>
      <c r="E48" s="18">
        <f t="shared" si="0"/>
        <v>0</v>
      </c>
      <c r="F48" s="22"/>
      <c r="G48" t="s">
        <v>148</v>
      </c>
      <c r="H48">
        <f>SUMIF(Sex,"F",MonthlyFee)</f>
        <v>29860</v>
      </c>
    </row>
    <row r="49" spans="1:8">
      <c r="A49" s="20">
        <v>300</v>
      </c>
      <c r="B49" s="20" t="s">
        <v>158</v>
      </c>
      <c r="C49" s="25" t="s">
        <v>68</v>
      </c>
      <c r="D49" s="25">
        <v>3</v>
      </c>
      <c r="E49" s="18">
        <f t="shared" si="0"/>
        <v>0</v>
      </c>
      <c r="F49" s="22"/>
      <c r="G49" t="s">
        <v>149</v>
      </c>
      <c r="H49">
        <f>AVERAGEIF(Sex,"F",MonthlyFee)</f>
        <v>439.11764705882354</v>
      </c>
    </row>
    <row r="50" spans="1:8">
      <c r="A50" s="20">
        <v>400</v>
      </c>
      <c r="B50" s="20" t="s">
        <v>159</v>
      </c>
      <c r="C50" s="20" t="s">
        <v>69</v>
      </c>
      <c r="D50" s="20" t="s">
        <v>73</v>
      </c>
      <c r="E50" s="18">
        <f t="shared" si="0"/>
        <v>0</v>
      </c>
      <c r="F50" s="22"/>
      <c r="G50" t="s">
        <v>150</v>
      </c>
      <c r="H50">
        <f>COUNTIF(Sex,"F")</f>
        <v>68</v>
      </c>
    </row>
    <row r="51" spans="1:8">
      <c r="A51" s="20">
        <v>800</v>
      </c>
      <c r="B51" s="20" t="s">
        <v>159</v>
      </c>
      <c r="C51" s="20" t="s">
        <v>70</v>
      </c>
      <c r="D51" s="20" t="s">
        <v>72</v>
      </c>
      <c r="E51" s="18">
        <f t="shared" si="0"/>
        <v>0</v>
      </c>
      <c r="F51" s="22"/>
    </row>
    <row r="52" spans="1:8">
      <c r="A52" s="20">
        <v>1000</v>
      </c>
      <c r="B52" s="20" t="s">
        <v>159</v>
      </c>
      <c r="C52" s="20" t="s">
        <v>66</v>
      </c>
      <c r="D52" s="20" t="s">
        <v>72</v>
      </c>
      <c r="E52" s="18">
        <f t="shared" si="0"/>
        <v>0</v>
      </c>
      <c r="F52" s="22"/>
      <c r="G52" t="s">
        <v>155</v>
      </c>
      <c r="H52" t="s">
        <v>153</v>
      </c>
    </row>
    <row r="53" spans="1:8">
      <c r="A53" s="20">
        <v>600</v>
      </c>
      <c r="B53" s="20" t="s">
        <v>158</v>
      </c>
      <c r="C53" s="20" t="s">
        <v>67</v>
      </c>
      <c r="D53" s="20" t="s">
        <v>73</v>
      </c>
      <c r="E53" s="18">
        <f t="shared" si="0"/>
        <v>0</v>
      </c>
      <c r="F53" s="22"/>
      <c r="G53" t="s">
        <v>148</v>
      </c>
      <c r="H53">
        <f>SUMIFS(MonthlyFee,Sex,"M",MonthlyFee,"&gt;1000")</f>
        <v>5800</v>
      </c>
    </row>
    <row r="54" spans="1:8">
      <c r="A54" s="20">
        <v>600</v>
      </c>
      <c r="B54" s="20" t="s">
        <v>159</v>
      </c>
      <c r="C54" s="25" t="s">
        <v>68</v>
      </c>
      <c r="D54" s="25">
        <v>3</v>
      </c>
      <c r="E54" s="18">
        <f t="shared" si="0"/>
        <v>0</v>
      </c>
      <c r="F54" s="22"/>
      <c r="G54" t="s">
        <v>149</v>
      </c>
      <c r="H54">
        <f>AVERAGEIFS(MonthlyFee,Sex,"M",MonthlyFee,"&gt;1000")</f>
        <v>1450</v>
      </c>
    </row>
    <row r="55" spans="1:8">
      <c r="A55" s="20">
        <v>600</v>
      </c>
      <c r="B55" s="20" t="s">
        <v>158</v>
      </c>
      <c r="C55" s="20" t="s">
        <v>69</v>
      </c>
      <c r="D55" s="20" t="s">
        <v>74</v>
      </c>
      <c r="E55" s="18">
        <f t="shared" si="0"/>
        <v>0</v>
      </c>
      <c r="F55" s="22"/>
      <c r="G55" t="s">
        <v>150</v>
      </c>
      <c r="H55">
        <f>COUNTIFS(Sex,"M",MonthlyFee,"&gt;1000")</f>
        <v>4</v>
      </c>
    </row>
    <row r="56" spans="1:8">
      <c r="A56" s="20">
        <v>500</v>
      </c>
      <c r="B56" s="20" t="s">
        <v>159</v>
      </c>
      <c r="C56" s="20" t="s">
        <v>70</v>
      </c>
      <c r="D56" s="20" t="s">
        <v>75</v>
      </c>
      <c r="E56" s="18">
        <f t="shared" si="0"/>
        <v>0</v>
      </c>
      <c r="F56" s="22"/>
    </row>
    <row r="57" spans="1:8">
      <c r="A57" s="20">
        <v>200</v>
      </c>
      <c r="B57" s="20" t="s">
        <v>159</v>
      </c>
      <c r="C57" s="20" t="s">
        <v>66</v>
      </c>
      <c r="D57" s="20" t="s">
        <v>75</v>
      </c>
      <c r="E57" s="18">
        <f t="shared" si="0"/>
        <v>1</v>
      </c>
      <c r="F57" s="22"/>
      <c r="G57" t="s">
        <v>107</v>
      </c>
      <c r="H57">
        <f>SUMIF(MonthlyFee, "&lt;1000")</f>
        <v>41440</v>
      </c>
    </row>
    <row r="58" spans="1:8">
      <c r="A58" s="20">
        <v>200</v>
      </c>
      <c r="B58" s="20" t="s">
        <v>158</v>
      </c>
      <c r="C58" s="20" t="s">
        <v>67</v>
      </c>
      <c r="D58" s="20" t="s">
        <v>74</v>
      </c>
      <c r="E58" s="18">
        <f t="shared" si="0"/>
        <v>0</v>
      </c>
      <c r="F58" s="22"/>
      <c r="G58" t="s">
        <v>108</v>
      </c>
      <c r="H58">
        <f>AVERAGEIF(MonthlyFee, "&lt;1000")</f>
        <v>383.7037037037037</v>
      </c>
    </row>
    <row r="59" spans="1:8">
      <c r="A59" s="20">
        <v>600</v>
      </c>
      <c r="B59" s="20" t="s">
        <v>159</v>
      </c>
      <c r="C59" s="25" t="s">
        <v>68</v>
      </c>
      <c r="D59" s="25">
        <v>3</v>
      </c>
      <c r="E59" s="18">
        <f t="shared" si="0"/>
        <v>0</v>
      </c>
      <c r="F59" s="22"/>
    </row>
    <row r="60" spans="1:8">
      <c r="A60" s="20">
        <v>200</v>
      </c>
      <c r="B60" s="20" t="s">
        <v>158</v>
      </c>
      <c r="C60" s="20" t="s">
        <v>69</v>
      </c>
      <c r="D60" s="20" t="s">
        <v>73</v>
      </c>
      <c r="E60" s="18">
        <f t="shared" si="0"/>
        <v>0</v>
      </c>
      <c r="F60" s="22"/>
      <c r="G60" t="s">
        <v>116</v>
      </c>
    </row>
    <row r="61" spans="1:8">
      <c r="A61" s="20">
        <v>400</v>
      </c>
      <c r="B61" s="20" t="s">
        <v>158</v>
      </c>
      <c r="C61" s="20" t="s">
        <v>70</v>
      </c>
      <c r="D61" s="20" t="s">
        <v>72</v>
      </c>
      <c r="E61" s="18">
        <f t="shared" si="0"/>
        <v>0</v>
      </c>
      <c r="F61" s="22"/>
      <c r="H61">
        <f>COUNTIF(D2:D120,"Newworld")</f>
        <v>24</v>
      </c>
    </row>
    <row r="62" spans="1:8">
      <c r="A62" s="20">
        <v>550</v>
      </c>
      <c r="B62" s="20" t="s">
        <v>159</v>
      </c>
      <c r="C62" s="20" t="s">
        <v>66</v>
      </c>
      <c r="D62" s="20" t="s">
        <v>72</v>
      </c>
      <c r="E62" s="18">
        <f t="shared" si="0"/>
        <v>0</v>
      </c>
      <c r="F62" s="22"/>
      <c r="G62" t="s">
        <v>109</v>
      </c>
    </row>
    <row r="63" spans="1:8">
      <c r="A63" s="20">
        <v>200</v>
      </c>
      <c r="B63" s="20" t="s">
        <v>159</v>
      </c>
      <c r="C63" s="20" t="s">
        <v>67</v>
      </c>
      <c r="D63" s="20" t="s">
        <v>73</v>
      </c>
      <c r="E63" s="18">
        <f t="shared" si="0"/>
        <v>0</v>
      </c>
      <c r="F63" s="22"/>
      <c r="H63">
        <f>COUNTIF(C2:C120, "iPhone")</f>
        <v>24</v>
      </c>
    </row>
    <row r="64" spans="1:8">
      <c r="A64" s="20">
        <v>500</v>
      </c>
      <c r="B64" s="20" t="s">
        <v>159</v>
      </c>
      <c r="C64" s="25" t="s">
        <v>68</v>
      </c>
      <c r="D64" s="25">
        <v>3</v>
      </c>
      <c r="E64" s="18">
        <f t="shared" si="0"/>
        <v>0</v>
      </c>
      <c r="F64" s="22"/>
      <c r="G64" t="s">
        <v>117</v>
      </c>
    </row>
    <row r="65" spans="1:9">
      <c r="A65" s="20">
        <v>1500</v>
      </c>
      <c r="B65" s="20" t="s">
        <v>158</v>
      </c>
      <c r="C65" s="20" t="s">
        <v>69</v>
      </c>
      <c r="D65" s="20" t="s">
        <v>74</v>
      </c>
      <c r="E65" s="18">
        <f t="shared" si="0"/>
        <v>0</v>
      </c>
      <c r="F65" s="22"/>
      <c r="H65">
        <f>COUNTIFS(telecom,"newworld",brand,"iphone")</f>
        <v>12</v>
      </c>
    </row>
    <row r="66" spans="1:9">
      <c r="A66" s="20">
        <v>300</v>
      </c>
      <c r="B66" s="20" t="s">
        <v>158</v>
      </c>
      <c r="C66" s="20" t="s">
        <v>70</v>
      </c>
      <c r="D66" s="20" t="s">
        <v>75</v>
      </c>
      <c r="E66" s="18">
        <f t="shared" si="0"/>
        <v>0</v>
      </c>
      <c r="F66" s="22"/>
      <c r="G66" t="s">
        <v>115</v>
      </c>
    </row>
    <row r="67" spans="1:9">
      <c r="A67" s="20">
        <v>600</v>
      </c>
      <c r="B67" s="20" t="s">
        <v>159</v>
      </c>
      <c r="C67" s="20" t="s">
        <v>66</v>
      </c>
      <c r="D67" s="20" t="s">
        <v>75</v>
      </c>
      <c r="E67" s="18">
        <f t="shared" ref="E67:E120" si="2">IF(  AND(C67="iPhone",D67="Newworld"), 1, 0)</f>
        <v>1</v>
      </c>
      <c r="F67" s="22"/>
      <c r="H67">
        <f>SUMIFS(MonthlyFee, D2:D120,"PCCW")</f>
        <v>11430</v>
      </c>
      <c r="I67">
        <f>SUMIF( D2:D120,"PCCW",MonthlyFee)</f>
        <v>11430</v>
      </c>
    </row>
    <row r="68" spans="1:9">
      <c r="A68" s="20">
        <v>100</v>
      </c>
      <c r="B68" s="20" t="s">
        <v>159</v>
      </c>
      <c r="C68" s="20" t="s">
        <v>67</v>
      </c>
      <c r="D68" s="20" t="s">
        <v>74</v>
      </c>
      <c r="E68" s="18">
        <f t="shared" si="2"/>
        <v>0</v>
      </c>
      <c r="F68" s="22"/>
      <c r="G68" t="s">
        <v>114</v>
      </c>
    </row>
    <row r="69" spans="1:9">
      <c r="A69" s="20">
        <v>1000</v>
      </c>
      <c r="B69" s="20" t="s">
        <v>158</v>
      </c>
      <c r="C69" s="25" t="s">
        <v>68</v>
      </c>
      <c r="D69" s="25">
        <v>3</v>
      </c>
      <c r="E69" s="18">
        <f t="shared" si="2"/>
        <v>0</v>
      </c>
      <c r="F69" s="22"/>
      <c r="H69">
        <f>AVERAGEIF(D2:D120, "PCCW", MonthlyFee)</f>
        <v>476.25</v>
      </c>
    </row>
    <row r="70" spans="1:9">
      <c r="A70" s="20">
        <v>800</v>
      </c>
      <c r="B70" s="20" t="s">
        <v>158</v>
      </c>
      <c r="C70" s="20" t="s">
        <v>69</v>
      </c>
      <c r="D70" s="20" t="s">
        <v>73</v>
      </c>
      <c r="E70" s="18">
        <f t="shared" si="2"/>
        <v>0</v>
      </c>
      <c r="F70" s="22"/>
      <c r="G70" t="s">
        <v>110</v>
      </c>
    </row>
    <row r="71" spans="1:9">
      <c r="A71" s="20">
        <v>300</v>
      </c>
      <c r="B71" s="20" t="s">
        <v>159</v>
      </c>
      <c r="C71" s="20" t="s">
        <v>70</v>
      </c>
      <c r="D71" s="20" t="s">
        <v>72</v>
      </c>
      <c r="E71" s="18">
        <f t="shared" si="2"/>
        <v>0</v>
      </c>
      <c r="F71" s="22"/>
      <c r="H71">
        <f>SUMIFS(MonthlyFee, Sex,"M")</f>
        <v>25780</v>
      </c>
      <c r="I71">
        <f>SUMIF( Sex,"M",MonthlyFee)</f>
        <v>25780</v>
      </c>
    </row>
    <row r="72" spans="1:9">
      <c r="A72" s="20">
        <v>600</v>
      </c>
      <c r="B72" s="20" t="s">
        <v>158</v>
      </c>
      <c r="C72" s="20" t="s">
        <v>66</v>
      </c>
      <c r="D72" s="20" t="s">
        <v>72</v>
      </c>
      <c r="E72" s="18">
        <f t="shared" si="2"/>
        <v>0</v>
      </c>
      <c r="F72" s="22"/>
      <c r="G72" t="s">
        <v>111</v>
      </c>
    </row>
    <row r="73" spans="1:9">
      <c r="A73" s="20">
        <v>400</v>
      </c>
      <c r="B73" s="20" t="s">
        <v>159</v>
      </c>
      <c r="C73" s="20" t="s">
        <v>67</v>
      </c>
      <c r="D73" s="20" t="s">
        <v>73</v>
      </c>
      <c r="E73" s="18">
        <f t="shared" si="2"/>
        <v>0</v>
      </c>
      <c r="F73" s="22"/>
    </row>
    <row r="74" spans="1:9">
      <c r="A74" s="20">
        <v>500</v>
      </c>
      <c r="B74" s="20" t="s">
        <v>159</v>
      </c>
      <c r="C74" s="25" t="s">
        <v>68</v>
      </c>
      <c r="D74" s="25">
        <v>3</v>
      </c>
      <c r="E74" s="18">
        <f t="shared" si="2"/>
        <v>0</v>
      </c>
      <c r="F74" s="22"/>
      <c r="G74" t="s">
        <v>112</v>
      </c>
    </row>
    <row r="75" spans="1:9">
      <c r="A75" s="20">
        <v>150</v>
      </c>
      <c r="B75" s="20" t="s">
        <v>159</v>
      </c>
      <c r="C75" s="20" t="s">
        <v>69</v>
      </c>
      <c r="D75" s="20" t="s">
        <v>74</v>
      </c>
      <c r="E75" s="18">
        <f t="shared" si="2"/>
        <v>0</v>
      </c>
      <c r="F75" s="22"/>
      <c r="I75">
        <f>SUMIF( Sex,"f",MonthlyFee)</f>
        <v>29860</v>
      </c>
    </row>
    <row r="76" spans="1:9">
      <c r="A76" s="20">
        <v>100</v>
      </c>
      <c r="B76" s="20" t="s">
        <v>159</v>
      </c>
      <c r="C76" s="20" t="s">
        <v>70</v>
      </c>
      <c r="D76" s="20" t="s">
        <v>75</v>
      </c>
      <c r="E76" s="18">
        <f t="shared" si="2"/>
        <v>0</v>
      </c>
      <c r="F76" s="22"/>
      <c r="G76" t="s">
        <v>113</v>
      </c>
    </row>
    <row r="77" spans="1:9">
      <c r="A77" s="20">
        <v>500</v>
      </c>
      <c r="B77" s="20" t="s">
        <v>159</v>
      </c>
      <c r="C77" s="20" t="s">
        <v>66</v>
      </c>
      <c r="D77" s="20" t="s">
        <v>75</v>
      </c>
      <c r="E77" s="18">
        <f t="shared" si="2"/>
        <v>1</v>
      </c>
      <c r="F77" s="22"/>
    </row>
    <row r="78" spans="1:9">
      <c r="A78" s="20">
        <v>250</v>
      </c>
      <c r="B78" s="20" t="s">
        <v>159</v>
      </c>
      <c r="C78" s="20" t="s">
        <v>67</v>
      </c>
      <c r="D78" s="20" t="s">
        <v>74</v>
      </c>
      <c r="E78" s="18">
        <f t="shared" si="2"/>
        <v>0</v>
      </c>
      <c r="F78" s="22"/>
      <c r="G78" t="s">
        <v>156</v>
      </c>
    </row>
    <row r="79" spans="1:9">
      <c r="A79" s="20">
        <v>400</v>
      </c>
      <c r="B79" s="20" t="s">
        <v>158</v>
      </c>
      <c r="C79" s="25" t="s">
        <v>68</v>
      </c>
      <c r="D79" s="25">
        <v>3</v>
      </c>
      <c r="E79" s="18">
        <f t="shared" si="2"/>
        <v>0</v>
      </c>
      <c r="F79" s="22"/>
      <c r="G79" t="s">
        <v>142</v>
      </c>
    </row>
    <row r="80" spans="1:9">
      <c r="A80" s="20">
        <v>200</v>
      </c>
      <c r="B80" s="20" t="s">
        <v>159</v>
      </c>
      <c r="C80" s="20" t="s">
        <v>69</v>
      </c>
      <c r="D80" s="20" t="s">
        <v>73</v>
      </c>
      <c r="E80" s="18">
        <f t="shared" si="2"/>
        <v>0</v>
      </c>
      <c r="F80" s="22"/>
      <c r="G80" t="s">
        <v>157</v>
      </c>
    </row>
    <row r="81" spans="1:9">
      <c r="A81" s="20">
        <v>500</v>
      </c>
      <c r="B81" s="20" t="s">
        <v>159</v>
      </c>
      <c r="C81" s="20" t="s">
        <v>70</v>
      </c>
      <c r="D81" s="20" t="s">
        <v>72</v>
      </c>
      <c r="E81" s="18">
        <f t="shared" si="2"/>
        <v>0</v>
      </c>
      <c r="F81" s="22"/>
      <c r="G81" t="s">
        <v>143</v>
      </c>
      <c r="I81">
        <f>SUMIFS(MonthlyFee,telecom,"newworld")</f>
        <v>9480</v>
      </c>
    </row>
    <row r="82" spans="1:9">
      <c r="A82" s="20">
        <v>300</v>
      </c>
      <c r="B82" s="20" t="s">
        <v>159</v>
      </c>
      <c r="C82" s="20" t="s">
        <v>66</v>
      </c>
      <c r="D82" s="20" t="s">
        <v>72</v>
      </c>
      <c r="E82" s="18">
        <f t="shared" si="2"/>
        <v>0</v>
      </c>
      <c r="F82" s="22"/>
      <c r="G82" t="s">
        <v>144</v>
      </c>
      <c r="I82">
        <f>AVERAGEIFS(MonthlyFee,telecom,"newworld")</f>
        <v>395</v>
      </c>
    </row>
    <row r="83" spans="1:9">
      <c r="A83" s="20">
        <v>1000</v>
      </c>
      <c r="B83" s="20" t="s">
        <v>158</v>
      </c>
      <c r="C83" s="20" t="s">
        <v>67</v>
      </c>
      <c r="D83" s="20" t="s">
        <v>73</v>
      </c>
      <c r="E83" s="18">
        <f t="shared" si="2"/>
        <v>0</v>
      </c>
      <c r="F83" s="22"/>
    </row>
    <row r="84" spans="1:9">
      <c r="A84" s="20">
        <v>500</v>
      </c>
      <c r="B84" s="20" t="s">
        <v>159</v>
      </c>
      <c r="C84" s="25" t="s">
        <v>68</v>
      </c>
      <c r="D84" s="25">
        <v>3</v>
      </c>
      <c r="E84" s="18">
        <f t="shared" si="2"/>
        <v>0</v>
      </c>
      <c r="F84" s="22"/>
    </row>
    <row r="85" spans="1:9">
      <c r="A85" s="20">
        <v>500</v>
      </c>
      <c r="B85" s="20" t="s">
        <v>158</v>
      </c>
      <c r="C85" s="20" t="s">
        <v>69</v>
      </c>
      <c r="D85" s="20" t="s">
        <v>74</v>
      </c>
      <c r="E85" s="18">
        <f t="shared" si="2"/>
        <v>0</v>
      </c>
      <c r="F85" s="22"/>
    </row>
    <row r="86" spans="1:9">
      <c r="A86" s="20">
        <v>1200</v>
      </c>
      <c r="B86" s="20" t="s">
        <v>159</v>
      </c>
      <c r="C86" s="20" t="s">
        <v>70</v>
      </c>
      <c r="D86" s="20" t="s">
        <v>75</v>
      </c>
      <c r="E86" s="18">
        <f t="shared" si="2"/>
        <v>0</v>
      </c>
      <c r="F86" s="22"/>
    </row>
    <row r="87" spans="1:9">
      <c r="A87" s="20">
        <v>400</v>
      </c>
      <c r="B87" s="20" t="s">
        <v>158</v>
      </c>
      <c r="C87" s="20" t="s">
        <v>66</v>
      </c>
      <c r="D87" s="20" t="s">
        <v>75</v>
      </c>
      <c r="E87" s="18">
        <f t="shared" si="2"/>
        <v>1</v>
      </c>
      <c r="F87" s="22"/>
    </row>
    <row r="88" spans="1:9">
      <c r="A88" s="20">
        <v>500</v>
      </c>
      <c r="B88" s="20" t="s">
        <v>159</v>
      </c>
      <c r="C88" s="20" t="s">
        <v>67</v>
      </c>
      <c r="D88" s="20" t="s">
        <v>74</v>
      </c>
      <c r="E88" s="18">
        <f t="shared" si="2"/>
        <v>0</v>
      </c>
      <c r="F88" s="22"/>
    </row>
    <row r="89" spans="1:9">
      <c r="A89" s="20">
        <v>200</v>
      </c>
      <c r="B89" s="20" t="s">
        <v>158</v>
      </c>
      <c r="C89" s="25" t="s">
        <v>68</v>
      </c>
      <c r="D89" s="25">
        <v>3</v>
      </c>
      <c r="E89" s="18">
        <f t="shared" si="2"/>
        <v>0</v>
      </c>
      <c r="F89" s="22"/>
    </row>
    <row r="90" spans="1:9">
      <c r="A90" s="20">
        <v>600</v>
      </c>
      <c r="B90" s="20" t="s">
        <v>158</v>
      </c>
      <c r="C90" s="20" t="s">
        <v>69</v>
      </c>
      <c r="D90" s="20" t="s">
        <v>73</v>
      </c>
      <c r="E90" s="18">
        <f t="shared" si="2"/>
        <v>0</v>
      </c>
      <c r="F90" s="22"/>
    </row>
    <row r="91" spans="1:9">
      <c r="A91" s="20">
        <v>300</v>
      </c>
      <c r="B91" s="20" t="s">
        <v>159</v>
      </c>
      <c r="C91" s="20" t="s">
        <v>70</v>
      </c>
      <c r="D91" s="20" t="s">
        <v>72</v>
      </c>
      <c r="E91" s="18">
        <f t="shared" si="2"/>
        <v>0</v>
      </c>
      <c r="F91" s="22"/>
    </row>
    <row r="92" spans="1:9">
      <c r="A92" s="20">
        <v>1000</v>
      </c>
      <c r="B92" s="20" t="s">
        <v>158</v>
      </c>
      <c r="C92" s="20" t="s">
        <v>66</v>
      </c>
      <c r="D92" s="20" t="s">
        <v>72</v>
      </c>
      <c r="E92" s="18">
        <f t="shared" si="2"/>
        <v>0</v>
      </c>
      <c r="F92" s="22"/>
    </row>
    <row r="93" spans="1:9">
      <c r="A93" s="20">
        <v>80</v>
      </c>
      <c r="B93" s="20" t="s">
        <v>158</v>
      </c>
      <c r="C93" s="20" t="s">
        <v>67</v>
      </c>
      <c r="D93" s="20" t="s">
        <v>73</v>
      </c>
      <c r="E93" s="18">
        <f t="shared" si="2"/>
        <v>0</v>
      </c>
      <c r="F93" s="22"/>
    </row>
    <row r="94" spans="1:9">
      <c r="A94" s="20">
        <v>300</v>
      </c>
      <c r="B94" s="20" t="s">
        <v>159</v>
      </c>
      <c r="C94" s="25" t="s">
        <v>68</v>
      </c>
      <c r="D94" s="25">
        <v>3</v>
      </c>
      <c r="E94" s="18">
        <f t="shared" si="2"/>
        <v>0</v>
      </c>
      <c r="F94" s="22"/>
    </row>
    <row r="95" spans="1:9">
      <c r="A95" s="20">
        <v>300</v>
      </c>
      <c r="B95" s="20" t="s">
        <v>159</v>
      </c>
      <c r="C95" s="20" t="s">
        <v>69</v>
      </c>
      <c r="D95" s="20" t="s">
        <v>74</v>
      </c>
      <c r="E95" s="18">
        <f t="shared" si="2"/>
        <v>0</v>
      </c>
      <c r="F95" s="22"/>
    </row>
    <row r="96" spans="1:9">
      <c r="A96" s="20">
        <v>300</v>
      </c>
      <c r="B96" s="20" t="s">
        <v>159</v>
      </c>
      <c r="C96" s="20" t="s">
        <v>70</v>
      </c>
      <c r="D96" s="20" t="s">
        <v>75</v>
      </c>
      <c r="E96" s="18">
        <f t="shared" si="2"/>
        <v>0</v>
      </c>
      <c r="F96" s="22"/>
    </row>
    <row r="97" spans="1:6">
      <c r="A97" s="20">
        <v>250</v>
      </c>
      <c r="B97" s="20" t="s">
        <v>158</v>
      </c>
      <c r="C97" s="20" t="s">
        <v>66</v>
      </c>
      <c r="D97" s="20" t="s">
        <v>75</v>
      </c>
      <c r="E97" s="18">
        <f t="shared" si="2"/>
        <v>1</v>
      </c>
      <c r="F97" s="22"/>
    </row>
    <row r="98" spans="1:6">
      <c r="A98" s="20">
        <v>500</v>
      </c>
      <c r="B98" s="20" t="s">
        <v>159</v>
      </c>
      <c r="C98" s="20" t="s">
        <v>67</v>
      </c>
      <c r="D98" s="20" t="s">
        <v>74</v>
      </c>
      <c r="E98" s="18">
        <f t="shared" si="2"/>
        <v>0</v>
      </c>
      <c r="F98" s="22"/>
    </row>
    <row r="99" spans="1:6">
      <c r="A99" s="20">
        <v>200</v>
      </c>
      <c r="B99" s="20" t="s">
        <v>159</v>
      </c>
      <c r="C99" s="25" t="s">
        <v>68</v>
      </c>
      <c r="D99" s="25">
        <v>3</v>
      </c>
      <c r="E99" s="18">
        <f t="shared" si="2"/>
        <v>0</v>
      </c>
      <c r="F99" s="22"/>
    </row>
    <row r="100" spans="1:6">
      <c r="A100" s="20">
        <v>400</v>
      </c>
      <c r="B100" s="20" t="s">
        <v>159</v>
      </c>
      <c r="C100" s="20" t="s">
        <v>69</v>
      </c>
      <c r="D100" s="20" t="s">
        <v>73</v>
      </c>
      <c r="E100" s="18">
        <f t="shared" si="2"/>
        <v>0</v>
      </c>
      <c r="F100" s="22"/>
    </row>
    <row r="101" spans="1:6">
      <c r="A101" s="20">
        <v>200</v>
      </c>
      <c r="B101" s="20" t="s">
        <v>159</v>
      </c>
      <c r="C101" s="20" t="s">
        <v>70</v>
      </c>
      <c r="D101" s="20" t="s">
        <v>72</v>
      </c>
      <c r="E101" s="18">
        <f t="shared" si="2"/>
        <v>0</v>
      </c>
      <c r="F101" s="22"/>
    </row>
    <row r="102" spans="1:6">
      <c r="A102" s="20">
        <v>600</v>
      </c>
      <c r="B102" s="20" t="s">
        <v>159</v>
      </c>
      <c r="C102" s="20" t="s">
        <v>66</v>
      </c>
      <c r="D102" s="20" t="s">
        <v>72</v>
      </c>
      <c r="E102" s="18">
        <f t="shared" si="2"/>
        <v>0</v>
      </c>
      <c r="F102" s="22"/>
    </row>
    <row r="103" spans="1:6">
      <c r="A103" s="20">
        <v>200</v>
      </c>
      <c r="B103" s="20" t="s">
        <v>158</v>
      </c>
      <c r="C103" s="20" t="s">
        <v>67</v>
      </c>
      <c r="D103" s="20" t="s">
        <v>73</v>
      </c>
      <c r="E103" s="18">
        <f t="shared" si="2"/>
        <v>0</v>
      </c>
      <c r="F103" s="22"/>
    </row>
    <row r="104" spans="1:6">
      <c r="A104" s="20">
        <v>900</v>
      </c>
      <c r="B104" s="20" t="s">
        <v>159</v>
      </c>
      <c r="C104" s="25" t="s">
        <v>68</v>
      </c>
      <c r="D104" s="25">
        <v>3</v>
      </c>
      <c r="E104" s="18">
        <f t="shared" si="2"/>
        <v>0</v>
      </c>
      <c r="F104" s="22"/>
    </row>
    <row r="105" spans="1:6">
      <c r="A105" s="20">
        <v>200</v>
      </c>
      <c r="B105" s="20" t="s">
        <v>159</v>
      </c>
      <c r="C105" s="20" t="s">
        <v>69</v>
      </c>
      <c r="D105" s="20" t="s">
        <v>74</v>
      </c>
      <c r="E105" s="18">
        <f t="shared" si="2"/>
        <v>0</v>
      </c>
      <c r="F105" s="22"/>
    </row>
    <row r="106" spans="1:6">
      <c r="A106" s="20">
        <v>800</v>
      </c>
      <c r="B106" s="20" t="s">
        <v>159</v>
      </c>
      <c r="C106" s="20" t="s">
        <v>70</v>
      </c>
      <c r="D106" s="20" t="s">
        <v>75</v>
      </c>
      <c r="E106" s="18">
        <f t="shared" si="2"/>
        <v>0</v>
      </c>
      <c r="F106" s="22"/>
    </row>
    <row r="107" spans="1:6">
      <c r="A107" s="20">
        <v>200</v>
      </c>
      <c r="B107" s="20" t="s">
        <v>159</v>
      </c>
      <c r="C107" s="20" t="s">
        <v>66</v>
      </c>
      <c r="D107" s="20" t="s">
        <v>75</v>
      </c>
      <c r="E107" s="18">
        <f t="shared" si="2"/>
        <v>1</v>
      </c>
      <c r="F107" s="22"/>
    </row>
    <row r="108" spans="1:6">
      <c r="A108" s="20">
        <v>1500</v>
      </c>
      <c r="B108" s="20" t="s">
        <v>158</v>
      </c>
      <c r="C108" s="20" t="s">
        <v>67</v>
      </c>
      <c r="D108" s="20" t="s">
        <v>74</v>
      </c>
      <c r="E108" s="18">
        <f t="shared" si="2"/>
        <v>0</v>
      </c>
      <c r="F108" s="22"/>
    </row>
    <row r="109" spans="1:6">
      <c r="A109" s="20">
        <v>300</v>
      </c>
      <c r="B109" s="20" t="s">
        <v>158</v>
      </c>
      <c r="C109" s="25" t="s">
        <v>68</v>
      </c>
      <c r="D109" s="25">
        <v>3</v>
      </c>
      <c r="E109" s="18">
        <f t="shared" si="2"/>
        <v>0</v>
      </c>
      <c r="F109" s="22"/>
    </row>
    <row r="110" spans="1:6">
      <c r="A110" s="20">
        <v>200</v>
      </c>
      <c r="B110" s="20" t="s">
        <v>158</v>
      </c>
      <c r="C110" s="20" t="s">
        <v>69</v>
      </c>
      <c r="D110" s="20" t="s">
        <v>73</v>
      </c>
      <c r="E110" s="18">
        <f t="shared" si="2"/>
        <v>0</v>
      </c>
      <c r="F110" s="22"/>
    </row>
    <row r="111" spans="1:6">
      <c r="A111" s="20">
        <v>300</v>
      </c>
      <c r="B111" s="20" t="s">
        <v>159</v>
      </c>
      <c r="C111" s="20" t="s">
        <v>70</v>
      </c>
      <c r="D111" s="20" t="s">
        <v>72</v>
      </c>
      <c r="E111" s="18">
        <f t="shared" si="2"/>
        <v>0</v>
      </c>
      <c r="F111" s="22"/>
    </row>
    <row r="112" spans="1:6">
      <c r="A112" s="20">
        <v>400</v>
      </c>
      <c r="B112" s="20" t="s">
        <v>159</v>
      </c>
      <c r="C112" s="20" t="s">
        <v>66</v>
      </c>
      <c r="D112" s="20" t="s">
        <v>72</v>
      </c>
      <c r="E112" s="18">
        <f t="shared" si="2"/>
        <v>0</v>
      </c>
      <c r="F112" s="22"/>
    </row>
    <row r="113" spans="1:6">
      <c r="A113" s="20">
        <v>200</v>
      </c>
      <c r="B113" s="20" t="s">
        <v>158</v>
      </c>
      <c r="C113" s="20" t="s">
        <v>67</v>
      </c>
      <c r="D113" s="20" t="s">
        <v>73</v>
      </c>
      <c r="E113" s="18">
        <f t="shared" si="2"/>
        <v>0</v>
      </c>
      <c r="F113" s="22"/>
    </row>
    <row r="114" spans="1:6">
      <c r="A114" s="20">
        <v>200</v>
      </c>
      <c r="B114" s="20" t="s">
        <v>158</v>
      </c>
      <c r="C114" s="25" t="s">
        <v>68</v>
      </c>
      <c r="D114" s="25">
        <v>3</v>
      </c>
      <c r="E114" s="18">
        <f t="shared" si="2"/>
        <v>0</v>
      </c>
      <c r="F114" s="22"/>
    </row>
    <row r="115" spans="1:6">
      <c r="A115" s="20">
        <v>750</v>
      </c>
      <c r="B115" s="20" t="s">
        <v>159</v>
      </c>
      <c r="C115" s="20" t="s">
        <v>69</v>
      </c>
      <c r="D115" s="20" t="s">
        <v>74</v>
      </c>
      <c r="E115" s="18">
        <f t="shared" si="2"/>
        <v>0</v>
      </c>
      <c r="F115" s="22"/>
    </row>
    <row r="116" spans="1:6">
      <c r="A116" s="20">
        <v>500</v>
      </c>
      <c r="B116" s="20" t="s">
        <v>159</v>
      </c>
      <c r="C116" s="20" t="s">
        <v>70</v>
      </c>
      <c r="D116" s="20" t="s">
        <v>75</v>
      </c>
      <c r="E116" s="18">
        <f t="shared" si="2"/>
        <v>0</v>
      </c>
      <c r="F116" s="22"/>
    </row>
    <row r="117" spans="1:6">
      <c r="A117" s="20">
        <v>400</v>
      </c>
      <c r="B117" s="20" t="s">
        <v>159</v>
      </c>
      <c r="C117" s="20" t="s">
        <v>66</v>
      </c>
      <c r="D117" s="20" t="s">
        <v>75</v>
      </c>
      <c r="E117" s="18">
        <f t="shared" si="2"/>
        <v>1</v>
      </c>
      <c r="F117" s="22"/>
    </row>
    <row r="118" spans="1:6">
      <c r="A118" s="20">
        <v>300</v>
      </c>
      <c r="B118" s="20" t="s">
        <v>158</v>
      </c>
      <c r="C118" s="20" t="s">
        <v>67</v>
      </c>
      <c r="D118" s="20" t="s">
        <v>74</v>
      </c>
      <c r="E118" s="18">
        <f t="shared" si="2"/>
        <v>0</v>
      </c>
      <c r="F118" s="22"/>
    </row>
    <row r="119" spans="1:6">
      <c r="A119" s="20">
        <v>400</v>
      </c>
      <c r="B119" s="20" t="s">
        <v>159</v>
      </c>
      <c r="C119" s="25" t="s">
        <v>68</v>
      </c>
      <c r="D119" s="25">
        <v>3</v>
      </c>
      <c r="E119" s="18">
        <f t="shared" si="2"/>
        <v>0</v>
      </c>
      <c r="F119" s="22"/>
    </row>
    <row r="120" spans="1:6">
      <c r="A120" s="20">
        <v>500</v>
      </c>
      <c r="B120" s="20" t="s">
        <v>159</v>
      </c>
      <c r="C120" s="20" t="s">
        <v>69</v>
      </c>
      <c r="D120" s="20" t="s">
        <v>73</v>
      </c>
      <c r="E120" s="18">
        <f t="shared" si="2"/>
        <v>0</v>
      </c>
      <c r="F120" s="22"/>
    </row>
    <row r="121" spans="1:6">
      <c r="A121" s="20">
        <f>SUM(MonthlyFee)</f>
        <v>55640</v>
      </c>
      <c r="B121" s="20"/>
      <c r="C121" s="20"/>
      <c r="D121" s="20"/>
      <c r="E121" s="20">
        <f>SUM(E2:E120)</f>
        <v>12</v>
      </c>
      <c r="F121" s="20"/>
    </row>
    <row r="122" spans="1:6">
      <c r="A122" s="20"/>
      <c r="B122" s="20"/>
      <c r="C122" s="20"/>
      <c r="D122" s="20"/>
      <c r="E122" s="20"/>
      <c r="F122" s="20"/>
    </row>
    <row r="123" spans="1:6">
      <c r="A123" s="20"/>
      <c r="B123" s="20"/>
      <c r="C123" s="20"/>
      <c r="D123" s="20"/>
      <c r="E123" s="20"/>
      <c r="F123" s="20"/>
    </row>
    <row r="124" spans="1:6">
      <c r="A124" s="20"/>
      <c r="B124" s="20"/>
      <c r="C124" s="25"/>
      <c r="D124" s="25"/>
      <c r="E124" s="20"/>
      <c r="F124" s="20"/>
    </row>
    <row r="125" spans="1:6">
      <c r="A125" s="20"/>
      <c r="B125" s="20"/>
      <c r="C125" s="20"/>
      <c r="D125" s="20"/>
      <c r="E125" s="20"/>
      <c r="F125" s="20"/>
    </row>
    <row r="126" spans="1:6">
      <c r="A126" s="20"/>
      <c r="B126" s="20"/>
      <c r="C126" s="20"/>
      <c r="D126" s="20"/>
      <c r="E126" s="20"/>
      <c r="F126" s="20"/>
    </row>
    <row r="127" spans="1:6">
      <c r="A127" s="20"/>
      <c r="B127" s="20"/>
      <c r="C127" s="20"/>
      <c r="D127" s="20"/>
      <c r="E127" s="20"/>
      <c r="F127" s="20"/>
    </row>
    <row r="128" spans="1:6">
      <c r="A128" s="20"/>
      <c r="B128" s="20"/>
      <c r="C128" s="20"/>
      <c r="D128" s="20"/>
      <c r="E128" s="20"/>
      <c r="F128" s="20"/>
    </row>
    <row r="129" spans="1:6">
      <c r="A129" s="20"/>
      <c r="B129" s="20"/>
      <c r="C129" s="20"/>
      <c r="D129" s="20"/>
      <c r="E129" s="20"/>
      <c r="F129" s="20"/>
    </row>
    <row r="130" spans="1:6">
      <c r="A130" s="20"/>
      <c r="B130" s="20"/>
      <c r="C130" s="20"/>
      <c r="D130" s="20"/>
      <c r="E130" s="20"/>
      <c r="F130" s="20"/>
    </row>
    <row r="131" spans="1:6">
      <c r="A131" s="20"/>
      <c r="B131" s="20"/>
      <c r="C131" s="20"/>
      <c r="D131" s="20"/>
      <c r="E131" s="20"/>
      <c r="F131" s="20"/>
    </row>
    <row r="132" spans="1:6">
      <c r="A132" s="20"/>
      <c r="B132" s="20"/>
      <c r="C132" s="20"/>
      <c r="D132" s="20"/>
      <c r="E132" s="20"/>
      <c r="F132" s="20"/>
    </row>
    <row r="133" spans="1:6">
      <c r="A133" s="20"/>
      <c r="B133" s="20"/>
      <c r="C133" s="20"/>
      <c r="D133" s="20"/>
      <c r="E133" s="20"/>
      <c r="F133" s="20"/>
    </row>
    <row r="134" spans="1:6">
      <c r="A134" s="20"/>
      <c r="B134" s="20"/>
      <c r="C134" s="20"/>
      <c r="D134" s="20"/>
      <c r="E134" s="20"/>
      <c r="F134" s="20"/>
    </row>
    <row r="135" spans="1:6">
      <c r="A135" s="20"/>
      <c r="B135" s="20"/>
      <c r="C135" s="20"/>
      <c r="D135" s="20"/>
      <c r="E135" s="20"/>
      <c r="F135" s="20"/>
    </row>
    <row r="136" spans="1:6">
      <c r="A136" s="20"/>
      <c r="B136" s="20"/>
      <c r="C136" s="20"/>
      <c r="D136" s="20"/>
      <c r="E136" s="20"/>
      <c r="F136" s="20"/>
    </row>
    <row r="137" spans="1:6">
      <c r="A137" s="20"/>
      <c r="B137" s="20"/>
      <c r="C137" s="20"/>
      <c r="D137" s="20"/>
      <c r="E137" s="20"/>
      <c r="F137" s="20"/>
    </row>
    <row r="138" spans="1:6">
      <c r="A138" s="20"/>
      <c r="B138" s="20"/>
      <c r="C138" s="20"/>
      <c r="D138" s="20"/>
      <c r="E138" s="20"/>
      <c r="F138" s="20"/>
    </row>
    <row r="139" spans="1:6">
      <c r="A139" s="20"/>
      <c r="B139" s="20"/>
      <c r="C139" s="20"/>
      <c r="D139" s="20"/>
      <c r="E139" s="20"/>
      <c r="F139" s="20"/>
    </row>
    <row r="140" spans="1:6">
      <c r="A140" s="20"/>
      <c r="B140" s="20"/>
      <c r="C140" s="20"/>
      <c r="D140" s="20"/>
      <c r="E140" s="20"/>
      <c r="F140" s="20"/>
    </row>
    <row r="141" spans="1:6">
      <c r="A141" s="20"/>
      <c r="B141" s="20"/>
      <c r="C141" s="20"/>
      <c r="D141" s="20"/>
      <c r="E141" s="20"/>
      <c r="F141" s="20"/>
    </row>
    <row r="142" spans="1:6">
      <c r="A142" s="20"/>
      <c r="B142" s="20"/>
      <c r="C142" s="20"/>
      <c r="D142" s="20"/>
      <c r="E142" s="20"/>
      <c r="F142" s="20"/>
    </row>
    <row r="143" spans="1:6">
      <c r="A143" s="20"/>
      <c r="B143" s="20"/>
      <c r="C143" s="20"/>
      <c r="D143" s="20"/>
      <c r="E143" s="20"/>
      <c r="F143" s="20"/>
    </row>
    <row r="144" spans="1:6">
      <c r="A144" s="20"/>
      <c r="B144" s="20"/>
      <c r="C144" s="20"/>
      <c r="D144" s="20"/>
      <c r="E144" s="20"/>
      <c r="F144" s="20"/>
    </row>
    <row r="145" spans="1:6">
      <c r="A145" s="20"/>
      <c r="B145" s="20"/>
      <c r="C145" s="20"/>
      <c r="D145" s="20"/>
      <c r="E145" s="20"/>
      <c r="F145" s="20"/>
    </row>
    <row r="146" spans="1:6">
      <c r="A146" s="20"/>
      <c r="B146" s="20"/>
      <c r="C146" s="20"/>
      <c r="D146" s="20"/>
      <c r="E146" s="20"/>
      <c r="F146" s="20"/>
    </row>
    <row r="147" spans="1:6">
      <c r="A147" s="20"/>
      <c r="B147" s="20"/>
      <c r="C147" s="20"/>
      <c r="D147" s="20"/>
      <c r="E147" s="20"/>
      <c r="F147" s="20"/>
    </row>
    <row r="148" spans="1:6">
      <c r="A148" s="20"/>
      <c r="B148" s="20"/>
      <c r="C148" s="20"/>
      <c r="D148" s="20"/>
      <c r="E148" s="20"/>
      <c r="F148" s="20"/>
    </row>
    <row r="149" spans="1:6">
      <c r="A149" s="20"/>
      <c r="B149" s="20"/>
      <c r="C149" s="20"/>
      <c r="D149" s="20"/>
      <c r="E149" s="20"/>
      <c r="F149" s="20"/>
    </row>
    <row r="150" spans="1:6">
      <c r="A150" s="20"/>
      <c r="B150" s="20"/>
      <c r="C150" s="20"/>
      <c r="D150" s="20"/>
      <c r="E150" s="20"/>
      <c r="F150" s="20"/>
    </row>
    <row r="151" spans="1:6">
      <c r="A151" s="20"/>
      <c r="B151" s="20"/>
      <c r="C151" s="20"/>
      <c r="D151" s="20"/>
      <c r="E151" s="20"/>
      <c r="F151" s="20"/>
    </row>
    <row r="152" spans="1:6">
      <c r="A152" s="20"/>
      <c r="B152" s="20"/>
      <c r="C152" s="20"/>
      <c r="D152" s="20"/>
      <c r="E152" s="20"/>
      <c r="F152" s="20"/>
    </row>
    <row r="153" spans="1:6">
      <c r="A153" s="20"/>
      <c r="B153" s="20"/>
      <c r="C153" s="20"/>
      <c r="D153" s="20"/>
      <c r="E153" s="20"/>
      <c r="F153" s="20"/>
    </row>
    <row r="154" spans="1:6">
      <c r="A154" s="20"/>
      <c r="B154" s="20"/>
      <c r="C154" s="20"/>
      <c r="D154" s="20"/>
      <c r="E154" s="20"/>
      <c r="F154" s="20"/>
    </row>
    <row r="155" spans="1:6">
      <c r="A155" s="20"/>
      <c r="B155" s="20"/>
      <c r="C155" s="20"/>
      <c r="D155" s="20"/>
      <c r="E155" s="20"/>
      <c r="F155" s="20"/>
    </row>
    <row r="156" spans="1:6">
      <c r="A156" s="20"/>
      <c r="B156" s="20"/>
      <c r="C156" s="20"/>
      <c r="D156" s="20"/>
      <c r="E156" s="20"/>
      <c r="F156" s="20"/>
    </row>
    <row r="157" spans="1:6">
      <c r="A157" s="20"/>
      <c r="B157" s="20"/>
      <c r="C157" s="20"/>
      <c r="D157" s="20"/>
      <c r="E157" s="20"/>
      <c r="F157" s="20"/>
    </row>
    <row r="158" spans="1:6">
      <c r="A158" s="20"/>
      <c r="B158" s="20"/>
      <c r="C158" s="20"/>
      <c r="D158" s="20"/>
      <c r="E158" s="20"/>
      <c r="F158" s="20"/>
    </row>
    <row r="159" spans="1:6">
      <c r="A159" s="20"/>
      <c r="B159" s="20"/>
      <c r="C159" s="20"/>
      <c r="D159" s="20"/>
      <c r="E159" s="20"/>
      <c r="F159" s="20"/>
    </row>
    <row r="160" spans="1:6">
      <c r="A160" s="20"/>
      <c r="B160" s="20"/>
      <c r="C160" s="20"/>
      <c r="D160" s="20"/>
      <c r="E160" s="20"/>
      <c r="F160" s="20"/>
    </row>
    <row r="161" spans="1:6">
      <c r="A161" s="20"/>
      <c r="B161" s="20"/>
      <c r="C161" s="20"/>
      <c r="D161" s="20"/>
      <c r="E161" s="20"/>
      <c r="F161" s="20"/>
    </row>
    <row r="162" spans="1:6">
      <c r="A162" s="20"/>
      <c r="B162" s="20"/>
      <c r="C162" s="20"/>
      <c r="D162" s="20"/>
      <c r="E162" s="20"/>
      <c r="F162" s="20"/>
    </row>
    <row r="163" spans="1:6">
      <c r="A163" s="20"/>
      <c r="B163" s="20"/>
      <c r="C163" s="20"/>
      <c r="D163" s="20"/>
      <c r="E163" s="20"/>
      <c r="F163" s="20"/>
    </row>
    <row r="164" spans="1:6">
      <c r="A164" s="20"/>
      <c r="B164" s="20"/>
      <c r="C164" s="20"/>
      <c r="D164" s="20"/>
      <c r="E164" s="20"/>
      <c r="F164" s="20"/>
    </row>
    <row r="165" spans="1:6">
      <c r="A165" s="20"/>
      <c r="B165" s="20"/>
      <c r="C165" s="20"/>
      <c r="D165" s="20"/>
      <c r="E165" s="20"/>
      <c r="F165" s="20"/>
    </row>
    <row r="166" spans="1:6">
      <c r="A166" s="20"/>
      <c r="B166" s="20"/>
      <c r="C166" s="20"/>
      <c r="D166" s="20"/>
      <c r="E166" s="20"/>
      <c r="F166" s="20"/>
    </row>
    <row r="167" spans="1:6">
      <c r="A167" s="20"/>
      <c r="B167" s="20"/>
      <c r="C167" s="20"/>
      <c r="D167" s="20"/>
      <c r="E167" s="20"/>
      <c r="F167" s="20"/>
    </row>
    <row r="168" spans="1:6">
      <c r="A168" s="20"/>
      <c r="B168" s="20"/>
      <c r="C168" s="20"/>
      <c r="D168" s="20"/>
      <c r="E168" s="20"/>
      <c r="F168" s="20"/>
    </row>
    <row r="169" spans="1:6">
      <c r="A169" s="20"/>
      <c r="B169" s="20"/>
      <c r="C169" s="20"/>
      <c r="D169" s="20"/>
      <c r="E169" s="20"/>
      <c r="F169" s="20"/>
    </row>
    <row r="170" spans="1:6">
      <c r="A170" s="20"/>
      <c r="B170" s="20"/>
      <c r="C170" s="20"/>
      <c r="D170" s="20"/>
      <c r="E170" s="20"/>
      <c r="F170" s="20"/>
    </row>
    <row r="171" spans="1:6">
      <c r="A171" s="20"/>
      <c r="B171" s="20"/>
      <c r="C171" s="20"/>
      <c r="D171" s="20"/>
      <c r="E171" s="20"/>
      <c r="F171" s="20"/>
    </row>
    <row r="172" spans="1:6">
      <c r="A172" s="20"/>
      <c r="B172" s="20"/>
      <c r="C172" s="20"/>
      <c r="D172" s="20"/>
      <c r="E172" s="20"/>
      <c r="F172" s="20"/>
    </row>
    <row r="173" spans="1:6">
      <c r="A173" s="20"/>
      <c r="B173" s="20"/>
      <c r="C173" s="20"/>
      <c r="D173" s="20"/>
      <c r="E173" s="20"/>
      <c r="F173" s="20"/>
    </row>
    <row r="174" spans="1:6">
      <c r="A174" s="20"/>
      <c r="B174" s="20"/>
      <c r="C174" s="20"/>
      <c r="D174" s="20"/>
      <c r="E174" s="20"/>
      <c r="F174" s="20"/>
    </row>
    <row r="175" spans="1:6">
      <c r="A175" s="20"/>
      <c r="B175" s="20"/>
      <c r="C175" s="20"/>
      <c r="D175" s="20"/>
      <c r="E175" s="20"/>
      <c r="F175" s="20"/>
    </row>
    <row r="176" spans="1:6">
      <c r="A176" s="20"/>
      <c r="B176" s="20"/>
      <c r="C176" s="20"/>
      <c r="D176" s="20"/>
      <c r="E176" s="20"/>
      <c r="F176" s="20"/>
    </row>
    <row r="177" spans="1:6">
      <c r="A177" s="20"/>
      <c r="B177" s="20"/>
      <c r="C177" s="20"/>
      <c r="D177" s="20"/>
      <c r="E177" s="20"/>
      <c r="F177" s="20"/>
    </row>
    <row r="178" spans="1:6">
      <c r="A178" s="20"/>
      <c r="B178" s="20"/>
      <c r="C178" s="20"/>
      <c r="D178" s="20"/>
      <c r="E178" s="20"/>
      <c r="F178" s="20"/>
    </row>
    <row r="179" spans="1:6">
      <c r="A179" s="20"/>
      <c r="B179" s="20"/>
      <c r="C179" s="20"/>
      <c r="D179" s="20"/>
      <c r="E179" s="20"/>
      <c r="F179" s="20"/>
    </row>
    <row r="180" spans="1:6">
      <c r="A180" s="20"/>
      <c r="B180" s="20"/>
      <c r="C180" s="20"/>
      <c r="D180" s="20"/>
      <c r="E180" s="20"/>
      <c r="F180" s="20"/>
    </row>
    <row r="181" spans="1:6">
      <c r="A181" s="20"/>
      <c r="B181" s="20"/>
      <c r="C181" s="20"/>
      <c r="D181" s="20"/>
      <c r="E181" s="20"/>
      <c r="F181" s="20"/>
    </row>
    <row r="182" spans="1:6">
      <c r="A182" s="20"/>
      <c r="B182" s="20"/>
      <c r="C182" s="20"/>
      <c r="D182" s="20"/>
      <c r="E182" s="20"/>
      <c r="F182" s="20"/>
    </row>
    <row r="183" spans="1:6">
      <c r="A183" s="20"/>
      <c r="B183" s="20"/>
      <c r="C183" s="20"/>
      <c r="D183" s="20"/>
      <c r="E183" s="20"/>
      <c r="F183" s="20"/>
    </row>
    <row r="184" spans="1:6">
      <c r="A184" s="20"/>
      <c r="B184" s="20"/>
      <c r="C184" s="20"/>
      <c r="D184" s="20"/>
      <c r="E184" s="20"/>
      <c r="F184" s="20"/>
    </row>
    <row r="185" spans="1:6">
      <c r="A185" s="20"/>
      <c r="B185" s="20"/>
      <c r="C185" s="20"/>
      <c r="D185" s="20"/>
      <c r="E185" s="20"/>
      <c r="F185" s="20"/>
    </row>
    <row r="186" spans="1:6">
      <c r="A186" s="20"/>
      <c r="B186" s="20"/>
      <c r="C186" s="20"/>
      <c r="D186" s="20"/>
      <c r="E186" s="20"/>
      <c r="F186" s="20"/>
    </row>
    <row r="187" spans="1:6">
      <c r="A187" s="20"/>
      <c r="B187" s="20"/>
      <c r="C187" s="20"/>
      <c r="D187" s="20"/>
      <c r="E187" s="20"/>
      <c r="F187" s="20"/>
    </row>
    <row r="188" spans="1:6">
      <c r="A188" s="20"/>
      <c r="B188" s="20"/>
      <c r="C188" s="20"/>
      <c r="D188" s="20"/>
      <c r="E188" s="20"/>
      <c r="F188" s="20"/>
    </row>
    <row r="189" spans="1:6">
      <c r="A189" s="20"/>
      <c r="B189" s="20"/>
      <c r="C189" s="20"/>
      <c r="D189" s="20"/>
      <c r="E189" s="20"/>
      <c r="F189" s="20"/>
    </row>
    <row r="190" spans="1:6">
      <c r="A190" s="20"/>
      <c r="B190" s="20"/>
      <c r="C190" s="20"/>
      <c r="D190" s="20"/>
      <c r="E190" s="20"/>
      <c r="F190" s="20"/>
    </row>
    <row r="191" spans="1:6">
      <c r="A191" s="20"/>
      <c r="B191" s="20"/>
      <c r="C191" s="20"/>
      <c r="D191" s="20"/>
      <c r="E191" s="20"/>
      <c r="F191" s="20"/>
    </row>
    <row r="192" spans="1:6">
      <c r="A192" s="20"/>
      <c r="B192" s="20"/>
      <c r="C192" s="20"/>
      <c r="D192" s="20"/>
      <c r="E192" s="20"/>
      <c r="F192" s="20"/>
    </row>
  </sheetData>
  <phoneticPr fontId="1" type="noConversion"/>
  <pageMargins left="0.7" right="0.7" top="0.75" bottom="0.75" header="0.3" footer="0.3"/>
  <pageSetup orientation="portrait"/>
  <ignoredErrors>
    <ignoredError sqref="A121" unlockedFormula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ColWidth="8.83203125" defaultRowHeight="15" x14ac:dyDescent="0"/>
  <sheetData>
    <row r="1" spans="1:2">
      <c r="A1" t="s">
        <v>47</v>
      </c>
      <c r="B1">
        <f>SQRT(99)</f>
        <v>9.9498743710661994</v>
      </c>
    </row>
    <row r="2" spans="1:2">
      <c r="A2" t="s">
        <v>48</v>
      </c>
      <c r="B2">
        <f>99^(1/2)</f>
        <v>9.9498743710661994</v>
      </c>
    </row>
    <row r="4" spans="1:2">
      <c r="A4" t="s">
        <v>49</v>
      </c>
      <c r="B4">
        <f>9.94^2</f>
        <v>98.803599999999989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9" sqref="A9"/>
    </sheetView>
  </sheetViews>
  <sheetFormatPr baseColWidth="10" defaultColWidth="8.83203125" defaultRowHeight="15" x14ac:dyDescent="0"/>
  <sheetData>
    <row r="1" spans="1:6">
      <c r="B1" t="str">
        <f t="array" ref="B1:F1">TRANSPOSE(A2:A6)</f>
        <v>a1</v>
      </c>
      <c r="C1" t="str">
        <v>a2</v>
      </c>
      <c r="D1" t="str">
        <v>a3</v>
      </c>
      <c r="E1" t="str">
        <v>a4</v>
      </c>
      <c r="F1" t="str">
        <v>a5</v>
      </c>
    </row>
    <row r="2" spans="1:6">
      <c r="A2" t="s">
        <v>118</v>
      </c>
    </row>
    <row r="3" spans="1:6">
      <c r="A3" t="s">
        <v>119</v>
      </c>
    </row>
    <row r="4" spans="1:6">
      <c r="A4" t="s">
        <v>120</v>
      </c>
      <c r="C4" s="32" t="s">
        <v>123</v>
      </c>
    </row>
    <row r="5" spans="1:6">
      <c r="A5" t="s">
        <v>121</v>
      </c>
    </row>
    <row r="6" spans="1:6">
      <c r="A6" t="s">
        <v>122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9"/>
  <sheetViews>
    <sheetView topLeftCell="A4" workbookViewId="0">
      <selection activeCell="A20" sqref="A20"/>
    </sheetView>
  </sheetViews>
  <sheetFormatPr baseColWidth="10" defaultColWidth="8.83203125" defaultRowHeight="15" x14ac:dyDescent="0"/>
  <cols>
    <col min="1" max="1" width="17.1640625" customWidth="1"/>
    <col min="2" max="2" width="7.6640625" customWidth="1"/>
    <col min="3" max="3" width="6.33203125" customWidth="1"/>
    <col min="4" max="4" width="5.83203125" customWidth="1"/>
    <col min="5" max="5" width="8.1640625" customWidth="1"/>
    <col min="6" max="6" width="11.83203125" customWidth="1"/>
    <col min="7" max="7" width="10.33203125" customWidth="1"/>
  </cols>
  <sheetData>
    <row r="3" spans="1:14">
      <c r="A3" s="26" t="s">
        <v>76</v>
      </c>
      <c r="B3" s="26" t="s">
        <v>65</v>
      </c>
    </row>
    <row r="4" spans="1:14">
      <c r="A4" s="26" t="s">
        <v>71</v>
      </c>
      <c r="B4" t="s">
        <v>70</v>
      </c>
      <c r="C4" t="s">
        <v>66</v>
      </c>
      <c r="D4" t="s">
        <v>67</v>
      </c>
      <c r="E4" t="s">
        <v>69</v>
      </c>
      <c r="F4" t="s">
        <v>68</v>
      </c>
      <c r="G4" t="s">
        <v>77</v>
      </c>
      <c r="J4" s="28" t="s">
        <v>70</v>
      </c>
      <c r="K4" s="28" t="s">
        <v>66</v>
      </c>
      <c r="L4" s="28" t="s">
        <v>67</v>
      </c>
      <c r="M4" s="28" t="s">
        <v>69</v>
      </c>
      <c r="N4" s="28" t="s">
        <v>68</v>
      </c>
    </row>
    <row r="5" spans="1:14">
      <c r="A5" s="27">
        <v>3</v>
      </c>
      <c r="B5" s="2"/>
      <c r="C5" s="2"/>
      <c r="D5" s="2"/>
      <c r="E5" s="2"/>
      <c r="F5" s="2">
        <v>11450</v>
      </c>
      <c r="G5" s="2">
        <v>11450</v>
      </c>
      <c r="I5" s="27">
        <v>3</v>
      </c>
      <c r="J5">
        <f>GETPIVOTDATA("Monthly Fee",$A$3,"Telecom","3","Brand","HTC")</f>
        <v>0</v>
      </c>
      <c r="K5">
        <f>GETPIVOTDATA("Monthly Fee",$A$3,"Telecom","3","Brand","iPhone")</f>
        <v>0</v>
      </c>
      <c r="L5">
        <f>GETPIVOTDATA("Monthly Fee",$A$3,"Telecom","3","Brand","Nokia")</f>
        <v>0</v>
      </c>
      <c r="M5">
        <f>GETPIVOTDATA("Monthly Fee",$A$3,"Telecom","3","Brand","Samsung")</f>
        <v>0</v>
      </c>
      <c r="N5">
        <f>GETPIVOTDATA("Monthly Fee",$A$3,"Telecom","3","Brand","Sony Ericsson")</f>
        <v>11450</v>
      </c>
    </row>
    <row r="6" spans="1:14">
      <c r="A6" s="27" t="s">
        <v>75</v>
      </c>
      <c r="B6" s="2">
        <v>5350</v>
      </c>
      <c r="C6" s="2">
        <v>4130</v>
      </c>
      <c r="D6" s="2"/>
      <c r="E6" s="2"/>
      <c r="F6" s="2"/>
      <c r="G6" s="2">
        <v>9480</v>
      </c>
      <c r="I6" s="27" t="s">
        <v>75</v>
      </c>
      <c r="J6">
        <f>GETPIVOTDATA("Monthly Fee",$A$3,"Telecom","Newworld","Brand","HTC")</f>
        <v>5350</v>
      </c>
      <c r="K6">
        <f>GETPIVOTDATA("Monthly Fee",$A$3,"Telecom","Newworld","Brand","iPhone")</f>
        <v>4130</v>
      </c>
      <c r="L6">
        <f>GETPIVOTDATA("Monthly Fee",$A$3,"Telecom","Newworld","Brand","Nokia")</f>
        <v>0</v>
      </c>
      <c r="M6">
        <f>GETPIVOTDATA("Monthly Fee",$A$3,"Telecom","Newworld","Brand","Samsung")</f>
        <v>0</v>
      </c>
      <c r="N6">
        <f>GETPIVOTDATA("Monthly Fee",$A$3,"Telecom","Newworld","Brand","Sony Ericsson")</f>
        <v>0</v>
      </c>
    </row>
    <row r="7" spans="1:14">
      <c r="A7" s="27" t="s">
        <v>73</v>
      </c>
      <c r="B7" s="2"/>
      <c r="C7" s="2"/>
      <c r="D7" s="2">
        <v>6980</v>
      </c>
      <c r="E7" s="2">
        <v>4450</v>
      </c>
      <c r="F7" s="2"/>
      <c r="G7" s="2">
        <v>11430</v>
      </c>
      <c r="I7" s="27" t="s">
        <v>73</v>
      </c>
      <c r="J7">
        <f>GETPIVOTDATA("Monthly Fee",$A$3,"Telecom","PCCW","Brand","HTC")</f>
        <v>0</v>
      </c>
      <c r="K7">
        <f>GETPIVOTDATA("Monthly Fee",$A$3,"Telecom","PCCW","Brand","iPhone")</f>
        <v>0</v>
      </c>
      <c r="L7">
        <f>GETPIVOTDATA("Monthly Fee",$A$3,"Telecom","PCCW","Brand","Nokia")</f>
        <v>6980</v>
      </c>
      <c r="M7">
        <f>GETPIVOTDATA("Monthly Fee",$A$3,"Telecom","PCCW","Brand","Samsung")</f>
        <v>4450</v>
      </c>
      <c r="N7">
        <f>GETPIVOTDATA("Monthly Fee",$A$3,"Telecom","PCCW","Brand","Sony Ericsson")</f>
        <v>0</v>
      </c>
    </row>
    <row r="8" spans="1:14">
      <c r="A8" s="27" t="s">
        <v>72</v>
      </c>
      <c r="B8" s="2">
        <v>4450</v>
      </c>
      <c r="C8" s="2">
        <v>6450</v>
      </c>
      <c r="D8" s="2"/>
      <c r="E8" s="2"/>
      <c r="F8" s="2"/>
      <c r="G8" s="2">
        <v>10900</v>
      </c>
      <c r="I8" s="27" t="s">
        <v>72</v>
      </c>
      <c r="J8">
        <f>GETPIVOTDATA("Monthly Fee",$A$3,"Telecom","People","Brand","HTC")</f>
        <v>4450</v>
      </c>
      <c r="K8">
        <f>GETPIVOTDATA("Monthly Fee",$A$3,"Telecom","People","Brand","iPhone")</f>
        <v>6450</v>
      </c>
      <c r="L8">
        <f>GETPIVOTDATA("Monthly Fee",$A$3,"Telecom","People","Brand","Nokia")</f>
        <v>0</v>
      </c>
      <c r="M8">
        <f>GETPIVOTDATA("Monthly Fee",$A$3,"Telecom","People","Brand","Samsung")</f>
        <v>0</v>
      </c>
      <c r="N8">
        <f>GETPIVOTDATA("Monthly Fee",$A$3,"Telecom","People","Brand","Sony Ericsson")</f>
        <v>0</v>
      </c>
    </row>
    <row r="9" spans="1:14">
      <c r="A9" s="27" t="s">
        <v>74</v>
      </c>
      <c r="B9" s="2"/>
      <c r="C9" s="2"/>
      <c r="D9" s="2">
        <v>6080</v>
      </c>
      <c r="E9" s="2">
        <v>6300</v>
      </c>
      <c r="F9" s="2"/>
      <c r="G9" s="2">
        <v>12380</v>
      </c>
      <c r="I9" s="27" t="s">
        <v>74</v>
      </c>
    </row>
    <row r="10" spans="1:14">
      <c r="A10" s="27" t="s">
        <v>77</v>
      </c>
      <c r="B10" s="2">
        <v>9800</v>
      </c>
      <c r="C10" s="2">
        <v>10580</v>
      </c>
      <c r="D10" s="2">
        <v>13060</v>
      </c>
      <c r="E10" s="2">
        <v>10750</v>
      </c>
      <c r="F10" s="2">
        <v>11450</v>
      </c>
      <c r="G10" s="2">
        <v>55640</v>
      </c>
    </row>
    <row r="14" spans="1:14">
      <c r="A14" t="s">
        <v>78</v>
      </c>
    </row>
    <row r="15" spans="1:14">
      <c r="A15">
        <v>1</v>
      </c>
      <c r="B15" t="s">
        <v>79</v>
      </c>
    </row>
    <row r="16" spans="1:14">
      <c r="A16">
        <v>2</v>
      </c>
      <c r="B16" t="s">
        <v>80</v>
      </c>
    </row>
    <row r="17" spans="1:1">
      <c r="A17">
        <v>3</v>
      </c>
    </row>
    <row r="19" spans="1:1">
      <c r="A19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errors</vt:lpstr>
      <vt:lpstr>datetime</vt:lpstr>
      <vt:lpstr>condition</vt:lpstr>
      <vt:lpstr>calculation</vt:lpstr>
      <vt:lpstr>math</vt:lpstr>
      <vt:lpstr>transpose</vt:lpstr>
      <vt:lpstr>Pivot table</vt:lpstr>
    </vt:vector>
  </TitlesOfParts>
  <Company>Feva Works IT Education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Feva Works IT Education Centre</dc:creator>
  <cp:lastModifiedBy>Raymond Tsang</cp:lastModifiedBy>
  <dcterms:created xsi:type="dcterms:W3CDTF">2008-08-15T11:17:21Z</dcterms:created>
  <dcterms:modified xsi:type="dcterms:W3CDTF">2014-10-08T09:38:07Z</dcterms:modified>
</cp:coreProperties>
</file>