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13_ncr:1_{AA291418-96D3-459C-AB99-8B744F2D0602}" xr6:coauthVersionLast="47" xr6:coauthVersionMax="47" xr10:uidLastSave="{00000000-0000-0000-0000-000000000000}"/>
  <bookViews>
    <workbookView xWindow="-120" yWindow="-120" windowWidth="20730" windowHeight="11040" tabRatio="891" xr2:uid="{00000000-000D-0000-FFFF-FFFF00000000}"/>
  </bookViews>
  <sheets>
    <sheet name="1. Thông Tin Đầu Vào" sheetId="1" r:id="rId1"/>
    <sheet name="2. Dữ Liệu Tham Chiếu" sheetId="2" r:id="rId2"/>
    <sheet name="3. Tính Toán Sizing" sheetId="3" r:id="rId3"/>
    <sheet name="4. Tổng Kết Chi Phí" sheetId="4" r:id="rId4"/>
    <sheet name="5. Dashboard" sheetId="5" r:id="rId5"/>
    <sheet name="PivotChart-TCO-CAPEX-OPEX" sheetId="6" r:id="rId6"/>
  </sheets>
  <definedNames>
    <definedName name="_xlcn.WorksheetConnection_5.DashboardB2D8" hidden="1">'5. Dashboard'!$B$2:$D$8</definedName>
    <definedName name="RAM" localSheetId="1">'2. Dữ Liệu Tham Chiếu'!$A$10:$A$13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Phạm vi" name="Phạm vi" connection="WorksheetConnection_5. Dashboard!$B$2:$D$8"/>
        </x15:modelTables>
      </x15:dataModel>
    </ext>
  </extLst>
</workbook>
</file>

<file path=xl/calcChain.xml><?xml version="1.0" encoding="utf-8"?>
<calcChain xmlns="http://schemas.openxmlformats.org/spreadsheetml/2006/main">
  <c r="D9" i="3" l="1"/>
  <c r="D7" i="4"/>
  <c r="D2" i="4"/>
  <c r="D27" i="3"/>
  <c r="D28" i="3"/>
  <c r="D15" i="3"/>
  <c r="D4" i="3"/>
  <c r="F4" i="3"/>
  <c r="D2" i="5"/>
  <c r="D33" i="3"/>
  <c r="D4" i="4" s="1"/>
  <c r="D31" i="3"/>
  <c r="D3" i="4" s="1"/>
  <c r="D3" i="3"/>
  <c r="D2" i="3"/>
  <c r="G25" i="1"/>
  <c r="G5" i="1"/>
  <c r="D9" i="4" l="1"/>
  <c r="D10" i="4"/>
  <c r="D5" i="3"/>
  <c r="D6" i="3" s="1"/>
  <c r="D32" i="3"/>
  <c r="D11" i="4" l="1"/>
  <c r="D7" i="3"/>
  <c r="D14" i="3"/>
  <c r="D16" i="3" s="1"/>
  <c r="D17" i="3" s="1"/>
  <c r="D5" i="4" l="1"/>
  <c r="D3" i="5"/>
  <c r="D8" i="3"/>
  <c r="D10" i="3" s="1"/>
  <c r="D11" i="3" s="1"/>
  <c r="D6" i="4" s="1"/>
  <c r="D16" i="4" l="1"/>
  <c r="D17" i="4" s="1"/>
  <c r="D18" i="4" s="1"/>
  <c r="D21" i="3"/>
  <c r="D8" i="4"/>
  <c r="D20" i="3"/>
  <c r="D4" i="5" l="1"/>
  <c r="D23" i="3"/>
  <c r="D9" i="5" s="1"/>
  <c r="D22" i="3"/>
  <c r="D15" i="4"/>
  <c r="D19" i="4" s="1"/>
  <c r="D7" i="5" s="1"/>
  <c r="D12" i="4"/>
  <c r="D24" i="3"/>
  <c r="D10" i="5" s="1"/>
  <c r="D5" i="5"/>
  <c r="D22" i="4" l="1"/>
  <c r="D8" i="5" s="1"/>
  <c r="D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14F3-20DC-42E6-9726-8DC23DA1C88B}" keepAlive="1" name="ThisWorkbookDataModel" description="Mẫu Dữ liệu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995CB0-BB0B-4152-8377-70CE40479EF0}" name="WorksheetConnection_5. Dashboard!$B$2:$D$8" type="102" refreshedVersion="8" minRefreshableVersion="5">
    <extLst>
      <ext xmlns:x15="http://schemas.microsoft.com/office/spreadsheetml/2010/11/main" uri="{DE250136-89BD-433C-8126-D09CA5730AF9}">
        <x15:connection id="Phạm vi" autoDelete="1">
          <x15:rangePr sourceName="_xlcn.WorksheetConnection_5.DashboardB2D8"/>
        </x15:connection>
      </ext>
    </extLst>
  </connection>
</connections>
</file>

<file path=xl/sharedStrings.xml><?xml version="1.0" encoding="utf-8"?>
<sst xmlns="http://schemas.openxmlformats.org/spreadsheetml/2006/main" count="330" uniqueCount="222">
  <si>
    <t>Danh Mục</t>
  </si>
  <si>
    <t>Trường Đầu Vào</t>
  </si>
  <si>
    <t>Đơn Vị</t>
  </si>
  <si>
    <t>Loại Dữ Liệu</t>
  </si>
  <si>
    <t>Mô Tả</t>
  </si>
  <si>
    <t>Ghi Chú</t>
  </si>
  <si>
    <t>Giá Trị Nhập</t>
  </si>
  <si>
    <t>1. Thông tin chung</t>
  </si>
  <si>
    <t>Tên Dự án</t>
  </si>
  <si>
    <t>Text</t>
  </si>
  <si>
    <t>VD: 'vSAN Sizer for VDI Project'</t>
  </si>
  <si>
    <t>vSAN VDI Project</t>
  </si>
  <si>
    <t>Ngày</t>
  </si>
  <si>
    <t>Tự động lấy ngày hiện tại hoặc nhập thủ công</t>
  </si>
  <si>
    <t>Phiên bản Sizer</t>
  </si>
  <si>
    <t>Văn bản</t>
  </si>
  <si>
    <t>VD: 'v1.0'</t>
  </si>
  <si>
    <t>2. Yêu cầu Vmware vSAN</t>
  </si>
  <si>
    <t>Phiên bản vSAN</t>
  </si>
  <si>
    <t>Dropdown</t>
  </si>
  <si>
    <t>vSAN 8.0, vSAN 7.0, vSAN 6.7 (chủ yếu là 8.0 cho yêu cầu này)</t>
  </si>
  <si>
    <t>vSAN 8.0</t>
  </si>
  <si>
    <t>Số lượng ESXi Host ban đầu</t>
  </si>
  <si>
    <t>Số nguyên</t>
  </si>
  <si>
    <t>vSAN yêu cầu tối thiểu 3 host, khuyến nghị 4 host trở lên.</t>
  </si>
  <si>
    <t>Tỷ lệ tăng trưởng hàng năm (%)</t>
  </si>
  <si>
    <t>%</t>
  </si>
  <si>
    <t>Số thập phân</t>
  </si>
  <si>
    <t>Tăng trưởng dự kiến về dung lượng/hiệu năng.</t>
  </si>
  <si>
    <t>3. Yêu cầu về Dung lượng &amp; Cấu hình Phần cứng</t>
  </si>
  <si>
    <t>Model CPU</t>
  </si>
  <si>
    <t>Chọn từ Bảng Cấu hình CPU</t>
  </si>
  <si>
    <t>Intel Xeon Gold 6330</t>
  </si>
  <si>
    <t>Số lượng CPU trên mỗi Host</t>
  </si>
  <si>
    <t>Thường là 2 socket/host</t>
  </si>
  <si>
    <t>RAM trên mỗi Host (GB)</t>
  </si>
  <si>
    <t>GB</t>
  </si>
  <si>
    <t>Tổng RAM cho mỗi host</t>
  </si>
  <si>
    <t>Loại RAM Module (GB)</t>
  </si>
  <si>
    <t>16, 32, 64</t>
  </si>
  <si>
    <t>Tổng dung lượng dữ liệu cần dùng (sau FTT, Dedupe, Comp)</t>
  </si>
  <si>
    <t>TB</t>
  </si>
  <si>
    <t>Dung lượng hữu dụng thực tế mà các VM cần. Quan trọng nhất.</t>
  </si>
  <si>
    <t>Bật Deduplication &amp; Compression</t>
  </si>
  <si>
    <t>Yes/No</t>
  </si>
  <si>
    <t>Tỷ lệ Dedupe &amp; Compression (ví dụ 2:1 -&gt; 0.5)</t>
  </si>
  <si>
    <t>VD: 2:1 = 0.5 (tiết kiệm 50%), 3:1 = 0.66 (tiết kiệm 66%)</t>
  </si>
  <si>
    <t>4. Yêu cầu về FTT &amp; RAID</t>
  </si>
  <si>
    <t>FTT (Failure To Tolerate)</t>
  </si>
  <si>
    <t>Số host/drive có thể hỏng mà không mất dữ liệu.</t>
  </si>
  <si>
    <t>Loại RAID cho Capacity Tier</t>
  </si>
  <si>
    <t>RAID1, RAID5, RAID6</t>
  </si>
  <si>
    <t>RAID1</t>
  </si>
  <si>
    <t>Số lượng ESXi Host ban đầu (tham chiếu)</t>
  </si>
  <si>
    <t>Tham chiếu lại số host để tương thích với công thức gốc.</t>
  </si>
  <si>
    <t>Loại Capacity Device</t>
  </si>
  <si>
    <t>Chọn từ Bảng Cấu hình Capacity Device</t>
  </si>
  <si>
    <t>SAS SSD</t>
  </si>
  <si>
    <t>Loại Cache Device</t>
  </si>
  <si>
    <t>Chọn từ Bảng Cấu hình Cache Device</t>
  </si>
  <si>
    <t>NVMe SSD</t>
  </si>
  <si>
    <t>5. Yêu cầu về Hiệu năng</t>
  </si>
  <si>
    <t>Tổng số IOPS cần thiết</t>
  </si>
  <si>
    <t>IOPS</t>
  </si>
  <si>
    <t>Từ yêu cầu ứng dụng/database.</t>
  </si>
  <si>
    <t>Tổng thông lượng cần thiết</t>
  </si>
  <si>
    <t>MB/s</t>
  </si>
  <si>
    <t>Độ trễ mục tiêu (Target Latency)</t>
  </si>
  <si>
    <t>ms</t>
  </si>
  <si>
    <t>VD: 5ms.</t>
  </si>
  <si>
    <t>Yêu cầu QoS (Quality of Service)</t>
  </si>
  <si>
    <t>Văn bản/Yes/No</t>
  </si>
  <si>
    <t>VD: 'Yes, prioritize VDI desktops'</t>
  </si>
  <si>
    <t>No</t>
  </si>
  <si>
    <t>6. Cấu hình Network</t>
  </si>
  <si>
    <t>Tốc độ Network Adapter (GbE)</t>
  </si>
  <si>
    <t>GbE</t>
  </si>
  <si>
    <t>10, 25, 40, 100</t>
  </si>
  <si>
    <t>Số cổng Network Adapter trên mỗi Host</t>
  </si>
  <si>
    <t>Thường là 2 cổng</t>
  </si>
  <si>
    <t>7. Yêu cầu License</t>
  </si>
  <si>
    <t>Phiên bản License vSAN</t>
  </si>
  <si>
    <t>Standard, Advanced, Enterprise, Enterprise Plus</t>
  </si>
  <si>
    <t>Advanced</t>
  </si>
  <si>
    <t>Phiên bản License vSphere</t>
  </si>
  <si>
    <t>Standard, Enterprise Plus</t>
  </si>
  <si>
    <t>Enterprise Plus</t>
  </si>
  <si>
    <t>A. Bảng Cấu hình CPU</t>
  </si>
  <si>
    <t>CPU Model</t>
  </si>
  <si>
    <t>Cores</t>
  </si>
  <si>
    <t>Threads</t>
  </si>
  <si>
    <t>Base Clock (GHz)</t>
  </si>
  <si>
    <t>vSAN CPU Overhead (%) (VD: 10%)</t>
  </si>
  <si>
    <t>Cost ($)</t>
  </si>
  <si>
    <t>Power (Watts)</t>
  </si>
  <si>
    <t>AMD EPYC 75F3</t>
  </si>
  <si>
    <t>Intel Xeon Gold 5318Y</t>
  </si>
  <si>
    <t>AMD EPYC 74F3</t>
  </si>
  <si>
    <t>B. Bảng Cấu hình RAM</t>
  </si>
  <si>
    <t>RAM Module Size (GB)</t>
  </si>
  <si>
    <t>C. Bảng Cấu hình Cache Device</t>
  </si>
  <si>
    <t>Dung lượng (GB)</t>
  </si>
  <si>
    <t>IOPS (Read)</t>
  </si>
  <si>
    <t>IOPS (Write)</t>
  </si>
  <si>
    <t>Throughput (MB/s)</t>
  </si>
  <si>
    <t>Tuổi thọ (TBW)</t>
  </si>
  <si>
    <t>D. Bảng Cấu hình Capacity Device</t>
  </si>
  <si>
    <t>Dung lượng (TB)</t>
  </si>
  <si>
    <t>SATA SSD</t>
  </si>
  <si>
    <t>HDD</t>
  </si>
  <si>
    <t>E. Bảng Cấu hình Network Adapter</t>
  </si>
  <si>
    <t>Tốc độ (GbE)</t>
  </si>
  <si>
    <t>Số cổng</t>
  </si>
  <si>
    <t>F. Bảng Giá License vSAN</t>
  </si>
  <si>
    <t>Phiên bản License</t>
  </si>
  <si>
    <t>Cost ($/Socket)</t>
  </si>
  <si>
    <t>Standard</t>
  </si>
  <si>
    <t>Enterprise</t>
  </si>
  <si>
    <t>G. Bảng Giá License vSphere</t>
  </si>
  <si>
    <t>H. Bảng Hệ số FTT &amp; RAID</t>
  </si>
  <si>
    <t>FTT</t>
  </si>
  <si>
    <t>RAID Level</t>
  </si>
  <si>
    <t>Storage Multiplier</t>
  </si>
  <si>
    <t>RAID5</t>
  </si>
  <si>
    <t>RAID6</t>
  </si>
  <si>
    <t>I. Bảng Chi phí chung (Cố định/Tính theo %)</t>
  </si>
  <si>
    <t>Mục chi phí</t>
  </si>
  <si>
    <t>Giá trị</t>
  </si>
  <si>
    <t>Đơn vị</t>
  </si>
  <si>
    <t>Mô tả</t>
  </si>
  <si>
    <t>Chi phí cơ bản cho một ESXi Host (chassis, PSU, v.v.)</t>
  </si>
  <si>
    <t>USD</t>
  </si>
  <si>
    <t>Chi phí nền tảng cho mỗi máy chủ, không bao gồm CPU/RAM/Disk/NIC</t>
  </si>
  <si>
    <t>Chi phí bảo trì hàng năm (% Capex phần cứng)</t>
  </si>
  <si>
    <t>Ví dụ: 18% tổng chi phí phần cứng ban đầu</t>
  </si>
  <si>
    <t>Chi phí điện (Giá/kWh)</t>
  </si>
  <si>
    <t>USD/kWh</t>
  </si>
  <si>
    <t>Giá điện trung bình</t>
  </si>
  <si>
    <t>Chi phí làm mát (% chi phí điện)</t>
  </si>
  <si>
    <t>Chi phí làm mát ước tính so với chi phí điện năng tiêu thụ</t>
  </si>
  <si>
    <t>vSAN Metadata Overhead (%)</t>
  </si>
  <si>
    <t>Dung lượng cần thiết cho metadata của vSAN (thường 5-15%)</t>
  </si>
  <si>
    <t>Dung lượng dự phòng (Slack Space %)</t>
  </si>
  <si>
    <t>Dung lượng trống để đảm bảo hoạt động tối ưu và tăng trưởng ngắn hạn</t>
  </si>
  <si>
    <t>Năm khấu hao (TCO)</t>
  </si>
  <si>
    <t>Năm</t>
  </si>
  <si>
    <t>Số năm tính tổng chi phí sở hữu (TCO)</t>
  </si>
  <si>
    <t>A. Sizing Dung lượng (Capacity Sizing)</t>
  </si>
  <si>
    <t>Dung lượng hữu dụng thực tế (Usable Capacity, sau FTT, Dedupe/Comp)</t>
  </si>
  <si>
    <t>Dung lượng thô cần thiết (trước FTT, sau Dedupe/Comp)</t>
  </si>
  <si>
    <t>Hệ số FTT/RAID</t>
  </si>
  <si>
    <t>Dung lượng thô cần thiết (sau FTT)</t>
  </si>
  <si>
    <t>Dung lượng cho vSAN Metadata</t>
  </si>
  <si>
    <t>Tổng Dung lượng thô cần thiết (Total Raw Capacity Required)</t>
  </si>
  <si>
    <t>Dung lượng sau khi thêm dự phòng (Slack Space)</t>
  </si>
  <si>
    <t>Dung lượng Capacity Device mỗi thiết bị (TB)</t>
  </si>
  <si>
    <t>Số lượng Capacity Disks trên mỗi Host</t>
  </si>
  <si>
    <t>Disk</t>
  </si>
  <si>
    <t>Tổng số lượng Capacity Disks</t>
  </si>
  <si>
    <t>B. Sizing Cache (Cache Sizing)</t>
  </si>
  <si>
    <t>Kích thước Cache Tier cần thiết (Rule of Thumb 10%)</t>
  </si>
  <si>
    <t>Dung lượng Cache Device mỗi thiết bị (GB)</t>
  </si>
  <si>
    <t>Số lượng Cache Device trên mỗi Host</t>
  </si>
  <si>
    <t>Device</t>
  </si>
  <si>
    <t>Tổng số lượng Cache Devices</t>
  </si>
  <si>
    <t>C. Sizing Hiệu năng (Performance Sizing - IOPS, Throughput, Latency)</t>
  </si>
  <si>
    <t>IOPS tổng cộng đạt được (Achieved IOPS)</t>
  </si>
  <si>
    <t>Thông lượng tổng cộng đạt được (Achieved Throughput)</t>
  </si>
  <si>
    <t>Latency ước tính (Estimated Latency)</t>
  </si>
  <si>
    <t>Đánh giá khả năng đáp ứng IOPS</t>
  </si>
  <si>
    <t>Đánh giá khả năng đáp ứng Throughput</t>
  </si>
  <si>
    <t>D. Sizing Network</t>
  </si>
  <si>
    <t>Băng thông vSAN cần thiết mỗi Host</t>
  </si>
  <si>
    <t>Tổng Băng thông Network đạt được mỗi Host</t>
  </si>
  <si>
    <t>E. Sizing Compute (CPU &amp; RAM)</t>
  </si>
  <si>
    <t>Total Sockets</t>
  </si>
  <si>
    <t>Socket</t>
  </si>
  <si>
    <t>Total Cores</t>
  </si>
  <si>
    <t>Core</t>
  </si>
  <si>
    <t>Total RAM (GB)</t>
  </si>
  <si>
    <t>A. Chi phí đầu tư (CAPEX)</t>
  </si>
  <si>
    <t>Chi phí ESXi Hosts (Chassis)</t>
  </si>
  <si>
    <t>Chi phí CPU</t>
  </si>
  <si>
    <t>Chi phí RAM</t>
  </si>
  <si>
    <t>Chi phí Cache Disks</t>
  </si>
  <si>
    <t>Chi phí Capacity Disks</t>
  </si>
  <si>
    <t>Chi phí Network Adapters</t>
  </si>
  <si>
    <t>Tổng Chi phí Phần cứng (Total Hardware CAPEX)</t>
  </si>
  <si>
    <t>Chi phí License vSAN</t>
  </si>
  <si>
    <t>Chi phí License vSphere</t>
  </si>
  <si>
    <t>Tổng Chi phí Software (Total Software CAPEX)</t>
  </si>
  <si>
    <t>Tổng CAPEX (Total Capital Expenditure)</t>
  </si>
  <si>
    <t>B. Chi phí hoạt động (OPEX) hàng năm</t>
  </si>
  <si>
    <t>Chi phí bảo trì &amp; hỗ trợ</t>
  </si>
  <si>
    <t>Công suất tiêu thụ tổng cộng (Watts)</t>
  </si>
  <si>
    <t>Watts</t>
  </si>
  <si>
    <t>Chi phí điện hàng năm</t>
  </si>
  <si>
    <t>Chi phí làm mát</t>
  </si>
  <si>
    <t>Tổng OPEX hàng năm (Total Annual Operational Expenditure)</t>
  </si>
  <si>
    <t>C. Tổng chi phí sở hữu (TCO - Total Cost of Ownership)</t>
  </si>
  <si>
    <t>TCO trong X năm</t>
  </si>
  <si>
    <t>A. Các Số Liệu Chính (Key Metrics)</t>
  </si>
  <si>
    <t>Số lượng ESXi Hosts được đề xuất</t>
  </si>
  <si>
    <t>Host</t>
  </si>
  <si>
    <t>Tổng Dung lượng hữu dụng (Usable Capacity)</t>
  </si>
  <si>
    <t>Tổng IOPS đạt được</t>
  </si>
  <si>
    <t>Tổng Throughput đạt được</t>
  </si>
  <si>
    <t>Tổng CAPEX</t>
  </si>
  <si>
    <t>Tổng OPEX hàng năm</t>
  </si>
  <si>
    <t>Kết quả Đánh giá Hiệu năng (IOPS)</t>
  </si>
  <si>
    <t>Kết quả Đánh giá Hiệu năng (Throughput)</t>
  </si>
  <si>
    <t>B. Các Biểu Đồ (Charts) - Placeholder</t>
  </si>
  <si>
    <t>Biểu đồ Pie/Donut: Phân bổ dung lượng sử dụng</t>
  </si>
  <si>
    <t>Biểu đồ Cột: So sánh IOPS &amp; Throughput (Yêu cầu vs. Đạt được)</t>
  </si>
  <si>
    <t>Biểu đồ Pie/Bar: Phân bổ CAPEX</t>
  </si>
  <si>
    <t>Biểu đồ Pie/Bar: Phân bổ OPEX hàng năm</t>
  </si>
  <si>
    <t>Biểu đồ Đường: TCO theo thời gian (ví dụ: 1, 3, 5 năm)</t>
  </si>
  <si>
    <t>Nhãn Hàng</t>
  </si>
  <si>
    <t>Tổng Cuối</t>
  </si>
  <si>
    <t>v1.2</t>
  </si>
  <si>
    <t>Có</t>
  </si>
  <si>
    <t>Tổng của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</si>
</sst>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₫_-;\-* #,##0\ _₫_-;_-* &quot;-&quot;\ _₫_-;_-@_-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5" fillId="0" borderId="1" xfId="0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/>
    <xf numFmtId="0" fontId="4" fillId="0" borderId="0" xfId="0" applyFont="1"/>
  </cellXfs>
  <cellStyles count="1">
    <cellStyle name="Bình thường" xfId="0" builtinId="0"/>
  </cellStyles>
  <dxfs count="1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font>
        <b/>
      </font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  <dxf>
      <numFmt numFmtId="164" formatCode="_-* #,##0\ _₫_-;\-* #,##0\ _₫_-;_-* &quot;-&quot;\ _₫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[vSAN-PD-anh_PivotChart.xlsx]PivotChart-TCO-CAPEX-OPEX!PivotTable1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* #,##0_);_(* \(#,##0\);_(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'PivotChart-TCO-CAPEX-OPEX'!$B$3</c:f>
              <c:strCache>
                <c:ptCount val="1"/>
                <c:pt idx="0">
                  <c:v>Tổng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F-4DEE-878D-0D4F18B05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F-4DEE-878D-0D4F18B05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F-4DEE-878D-0D4F18B053E1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4DB-441C-B3BD-07F560F65A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6F-4DEE-878D-0D4F18B05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F-4DEE-878D-0D4F18B05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6F-4DEE-878D-0D4F18B053E1}"/>
              </c:ext>
            </c:extLst>
          </c:dPt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'PivotChart-TCO-CAPEX-OPEX'!$A$4:$A$16</c:f>
              <c:multiLvlStrCache>
                <c:ptCount val="6"/>
                <c:lvl>
                  <c:pt idx="0">
                    <c:v>USD</c:v>
                  </c:pt>
                  <c:pt idx="1">
                    <c:v>USD</c:v>
                  </c:pt>
                  <c:pt idx="2">
                    <c:v>TB</c:v>
                  </c:pt>
                  <c:pt idx="3">
                    <c:v>IOPS</c:v>
                  </c:pt>
                  <c:pt idx="4">
                    <c:v>USD</c:v>
                  </c:pt>
                  <c:pt idx="5">
                    <c:v>MB/s</c:v>
                  </c:pt>
                </c:lvl>
                <c:lvl>
                  <c:pt idx="0">
                    <c:v>TCO trong X năm</c:v>
                  </c:pt>
                  <c:pt idx="1">
                    <c:v>Tổng CAPEX</c:v>
                  </c:pt>
                  <c:pt idx="2">
                    <c:v>Tổng Dung lượng hữu dụng (Usable Capacity)</c:v>
                  </c:pt>
                  <c:pt idx="3">
                    <c:v>Tổng IOPS đạt được</c:v>
                  </c:pt>
                  <c:pt idx="4">
                    <c:v>Tổng OPEX hàng năm</c:v>
                  </c:pt>
                  <c:pt idx="5">
                    <c:v>Tổng Throughput đạt được</c:v>
                  </c:pt>
                </c:lvl>
              </c:multiLvlStrCache>
            </c:multiLvlStrRef>
          </c:cat>
          <c:val>
            <c:numRef>
              <c:f>'PivotChart-TCO-CAPEX-OPEX'!$B$4:$B$16</c:f>
              <c:numCache>
                <c:formatCode>_-* #,##0\ _₫_-;\-* #,##0\ _₫_-;_-* "-"\ _₫_-;_-@_-</c:formatCode>
                <c:ptCount val="6"/>
                <c:pt idx="0">
                  <c:v>472537.39256249997</c:v>
                </c:pt>
                <c:pt idx="1">
                  <c:v>292017.1875</c:v>
                </c:pt>
                <c:pt idx="2">
                  <c:v>31.999999999999996</c:v>
                </c:pt>
                <c:pt idx="3">
                  <c:v>7714000</c:v>
                </c:pt>
                <c:pt idx="4">
                  <c:v>36104.041012499998</c:v>
                </c:pt>
                <c:pt idx="5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DB-441C-B3BD-07F560F6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</xdr:row>
      <xdr:rowOff>109537</xdr:rowOff>
    </xdr:from>
    <xdr:to>
      <xdr:col>10</xdr:col>
      <xdr:colOff>447674</xdr:colOff>
      <xdr:row>22</xdr:row>
      <xdr:rowOff>66675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FAD5D69-28EE-1049-357C-D2447508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D. Le Toan Thang" refreshedDate="45901.746450694445" backgroundQuery="1" createdVersion="8" refreshedVersion="8" minRefreshableVersion="3" recordCount="0" supportSubquery="1" supportAdvancedDrill="1" xr:uid="{3A970350-618F-4A46-9B12-74755886113A}">
  <cacheSource type="external" connectionId="1"/>
  <cacheFields count="3">
    <cacheField name="[Phạm vi].[Số lượng ESXi Hosts được đề xuất].[Số lượng ESXi Hosts được đề xuất]" caption="Số lượng ESXi Hosts được đề xuất" numFmtId="0" level="1">
      <sharedItems count="6">
        <s v="TCO trong X năm"/>
        <s v="Tổng CAPEX"/>
        <s v="Tổng Dung lượng hữu dụng (Usable Capacity)"/>
        <s v="Tổng IOPS đạt được"/>
        <s v="Tổng OPEX hàng năm"/>
        <s v="Tổng Throughput đạt được"/>
      </sharedItems>
    </cacheField>
    <cacheField name="[Phạm vi].[Host].[Host]" caption="Host" numFmtId="0" hierarchy="1" level="1">
      <sharedItems count="4">
        <s v="USD"/>
        <s v="TB"/>
        <s v="IOPS"/>
        <s v="MB/s"/>
      </sharedItems>
    </cacheField>
    <cacheField name="[Measures].[Tổng của 4]" caption="Tổng của 4" numFmtId="0" hierarchy="5" level="32767"/>
  </cacheFields>
  <cacheHierarchies count="6">
    <cacheHierarchy uniqueName="[Phạm vi].[Số lượng ESXi Hosts được đề xuất]" caption="Số lượng ESXi Hosts được đề xuất" attribute="1" defaultMemberUniqueName="[Phạm vi].[Số lượng ESXi Hosts được đề xuất].[All]" allUniqueName="[Phạm vi].[Số lượng ESXi Hosts được đề xuất].[All]" dimensionUniqueName="[Phạm vi]" displayFolder="" count="2" memberValueDatatype="130" unbalanced="0">
      <fieldsUsage count="2">
        <fieldUsage x="-1"/>
        <fieldUsage x="0"/>
      </fieldsUsage>
    </cacheHierarchy>
    <cacheHierarchy uniqueName="[Phạm vi].[Host]" caption="Host" attribute="1" defaultMemberUniqueName="[Phạm vi].[Host].[All]" allUniqueName="[Phạm vi].[Host].[All]" dimensionUniqueName="[Phạm vi]" displayFolder="" count="2" memberValueDatatype="130" unbalanced="0">
      <fieldsUsage count="2">
        <fieldUsage x="-1"/>
        <fieldUsage x="1"/>
      </fieldsUsage>
    </cacheHierarchy>
    <cacheHierarchy uniqueName="[Phạm vi].[4]" caption="4" attribute="1" defaultMemberUniqueName="[Phạm vi].[4].[All]" allUniqueName="[Phạm vi].[4].[All]" dimensionUniqueName="[Phạm vi]" displayFolder="" count="0" memberValueDatatype="5" unbalanced="0"/>
    <cacheHierarchy uniqueName="[Measures].[__XL_Count Phạm vi]" caption="__XL_Count Phạm vi" measure="1" displayFolder="" measureGroup="Phạm vi" count="0" hidden="1"/>
    <cacheHierarchy uniqueName="[Measures].[__No measures defined]" caption="__No measures defined" measure="1" displayFolder="" count="0" hidden="1"/>
    <cacheHierarchy uniqueName="[Measures].[Tổng của 4]" caption="Tổng của 4" measure="1" displayFolder="" measureGroup="Phạm v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hạm vi" uniqueName="[Phạm vi]" caption="Phạm vi"/>
  </dimensions>
  <measureGroups count="1">
    <measureGroup name="Phạm vi" caption="Phạm vi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59A14-CFAC-4203-97F5-0D2F064DF3F6}" name="PivotTable1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3"/>
    </i>
    <i t="grand">
      <x/>
    </i>
  </rowItems>
  <colItems count="1">
    <i/>
  </colItems>
  <dataFields count="1">
    <dataField name="Tổng của 4" fld="2" baseField="0" baseItem="0"/>
  </dataFields>
  <formats count="14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9">
      <pivotArea collapsedLevelsAreSubtotals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8">
      <pivotArea collapsedLevelsAreSubtotals="1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7">
      <pivotArea grandRow="1" outline="0" collapsedLevelsAreSubtotals="1" fieldPosition="0"/>
    </format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</format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</chart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 Dashboard!$B$2:$D$8">
        <x15:activeTabTopLevelEntity name="[Phạm v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1" workbookViewId="0">
      <selection activeCell="E17" sqref="E17"/>
    </sheetView>
  </sheetViews>
  <sheetFormatPr defaultColWidth="8.85546875" defaultRowHeight="15" x14ac:dyDescent="0.25"/>
  <cols>
    <col min="1" max="1" width="9.85546875" bestFit="1" customWidth="1"/>
    <col min="2" max="2" width="48" bestFit="1" customWidth="1"/>
    <col min="3" max="3" width="7.28515625" bestFit="1" customWidth="1"/>
    <col min="4" max="4" width="15.5703125" bestFit="1" customWidth="1"/>
    <col min="5" max="5" width="57.42578125" bestFit="1" customWidth="1"/>
    <col min="6" max="6" width="8" bestFit="1" customWidth="1"/>
    <col min="7" max="7" width="1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ht="15.75" x14ac:dyDescent="0.25">
      <c r="A3" s="25" t="s">
        <v>7</v>
      </c>
      <c r="B3" s="26"/>
      <c r="C3" s="26"/>
      <c r="D3" s="26"/>
      <c r="E3" s="26"/>
      <c r="F3" s="26"/>
      <c r="G3" s="26"/>
    </row>
    <row r="4" spans="1:7" x14ac:dyDescent="0.25">
      <c r="B4" s="2" t="s">
        <v>8</v>
      </c>
      <c r="C4" s="3"/>
      <c r="D4" s="3" t="s">
        <v>9</v>
      </c>
      <c r="E4" s="4" t="s">
        <v>10</v>
      </c>
      <c r="F4" s="5"/>
      <c r="G4" s="23" t="s">
        <v>11</v>
      </c>
    </row>
    <row r="5" spans="1:7" x14ac:dyDescent="0.25">
      <c r="B5" s="2" t="s">
        <v>12</v>
      </c>
      <c r="C5" s="3"/>
      <c r="D5" s="3" t="s">
        <v>12</v>
      </c>
      <c r="E5" s="4" t="s">
        <v>13</v>
      </c>
      <c r="F5" s="5"/>
      <c r="G5" s="22">
        <f ca="1">TODAY()</f>
        <v>45902</v>
      </c>
    </row>
    <row r="6" spans="1:7" x14ac:dyDescent="0.25">
      <c r="B6" s="2" t="s">
        <v>14</v>
      </c>
      <c r="C6" s="3"/>
      <c r="D6" s="3" t="s">
        <v>15</v>
      </c>
      <c r="E6" s="4" t="s">
        <v>16</v>
      </c>
      <c r="F6" s="5"/>
      <c r="G6" s="23" t="s">
        <v>219</v>
      </c>
    </row>
    <row r="8" spans="1:7" ht="15.75" x14ac:dyDescent="0.25">
      <c r="A8" s="25" t="s">
        <v>17</v>
      </c>
      <c r="B8" s="26"/>
      <c r="C8" s="26"/>
      <c r="D8" s="26"/>
      <c r="E8" s="26"/>
      <c r="F8" s="26"/>
      <c r="G8" s="26"/>
    </row>
    <row r="9" spans="1:7" x14ac:dyDescent="0.25">
      <c r="B9" s="2" t="s">
        <v>18</v>
      </c>
      <c r="C9" s="3"/>
      <c r="D9" s="3" t="s">
        <v>19</v>
      </c>
      <c r="E9" s="4" t="s">
        <v>20</v>
      </c>
      <c r="F9" s="5"/>
      <c r="G9" s="23" t="s">
        <v>21</v>
      </c>
    </row>
    <row r="10" spans="1:7" x14ac:dyDescent="0.25">
      <c r="B10" s="2" t="s">
        <v>22</v>
      </c>
      <c r="C10" s="3"/>
      <c r="D10" s="3" t="s">
        <v>23</v>
      </c>
      <c r="E10" s="4" t="s">
        <v>24</v>
      </c>
      <c r="F10" s="5"/>
      <c r="G10" s="24">
        <v>4</v>
      </c>
    </row>
    <row r="11" spans="1:7" x14ac:dyDescent="0.25">
      <c r="B11" s="2" t="s">
        <v>25</v>
      </c>
      <c r="C11" s="3" t="s">
        <v>26</v>
      </c>
      <c r="D11" s="3" t="s">
        <v>27</v>
      </c>
      <c r="E11" s="4" t="s">
        <v>28</v>
      </c>
      <c r="F11" s="5"/>
      <c r="G11" s="24">
        <v>0.2</v>
      </c>
    </row>
    <row r="13" spans="1:7" ht="15.75" x14ac:dyDescent="0.25">
      <c r="A13" s="25" t="s">
        <v>29</v>
      </c>
      <c r="B13" s="26"/>
      <c r="C13" s="26"/>
      <c r="D13" s="26"/>
      <c r="E13" s="26"/>
      <c r="F13" s="26"/>
      <c r="G13" s="26"/>
    </row>
    <row r="14" spans="1:7" x14ac:dyDescent="0.25">
      <c r="B14" s="2" t="s">
        <v>30</v>
      </c>
      <c r="C14" s="3"/>
      <c r="D14" s="3" t="s">
        <v>19</v>
      </c>
      <c r="E14" s="4" t="s">
        <v>31</v>
      </c>
      <c r="F14" s="5"/>
      <c r="G14" s="23" t="s">
        <v>32</v>
      </c>
    </row>
    <row r="15" spans="1:7" x14ac:dyDescent="0.25">
      <c r="B15" s="2" t="s">
        <v>33</v>
      </c>
      <c r="C15" s="3"/>
      <c r="D15" s="3" t="s">
        <v>23</v>
      </c>
      <c r="E15" s="4" t="s">
        <v>34</v>
      </c>
      <c r="F15" s="5"/>
      <c r="G15" s="24">
        <v>4</v>
      </c>
    </row>
    <row r="16" spans="1:7" x14ac:dyDescent="0.25">
      <c r="B16" s="2" t="s">
        <v>35</v>
      </c>
      <c r="C16" s="3" t="s">
        <v>36</v>
      </c>
      <c r="D16" s="3" t="s">
        <v>23</v>
      </c>
      <c r="E16" s="4" t="s">
        <v>37</v>
      </c>
      <c r="F16" s="5"/>
      <c r="G16" s="24">
        <v>2049</v>
      </c>
    </row>
    <row r="17" spans="1:7" x14ac:dyDescent="0.25">
      <c r="B17" s="2" t="s">
        <v>38</v>
      </c>
      <c r="C17" s="3" t="s">
        <v>36</v>
      </c>
      <c r="D17" s="3" t="s">
        <v>19</v>
      </c>
      <c r="E17" s="4" t="s">
        <v>39</v>
      </c>
      <c r="F17" s="5"/>
      <c r="G17" s="23">
        <v>64</v>
      </c>
    </row>
    <row r="19" spans="1:7" x14ac:dyDescent="0.25">
      <c r="B19" s="2" t="s">
        <v>40</v>
      </c>
      <c r="C19" s="3" t="s">
        <v>41</v>
      </c>
      <c r="D19" s="3" t="s">
        <v>27</v>
      </c>
      <c r="E19" s="4" t="s">
        <v>42</v>
      </c>
      <c r="F19" s="5"/>
      <c r="G19" s="24">
        <v>32</v>
      </c>
    </row>
    <row r="20" spans="1:7" x14ac:dyDescent="0.25">
      <c r="B20" s="2" t="s">
        <v>43</v>
      </c>
      <c r="C20" s="3"/>
      <c r="D20" s="3" t="s">
        <v>9</v>
      </c>
      <c r="E20" s="4" t="s">
        <v>44</v>
      </c>
      <c r="F20" s="5"/>
      <c r="G20" s="23" t="s">
        <v>220</v>
      </c>
    </row>
    <row r="21" spans="1:7" x14ac:dyDescent="0.25">
      <c r="B21" s="2" t="s">
        <v>45</v>
      </c>
      <c r="C21" s="3"/>
      <c r="D21" s="3" t="s">
        <v>27</v>
      </c>
      <c r="E21" s="4" t="s">
        <v>46</v>
      </c>
      <c r="F21" s="5"/>
      <c r="G21" s="24">
        <v>0.5</v>
      </c>
    </row>
    <row r="22" spans="1:7" ht="15.75" x14ac:dyDescent="0.25">
      <c r="A22" s="25" t="s">
        <v>47</v>
      </c>
      <c r="B22" s="26"/>
      <c r="C22" s="26"/>
      <c r="D22" s="26"/>
      <c r="E22" s="26"/>
      <c r="F22" s="26"/>
      <c r="G22" s="26"/>
    </row>
    <row r="23" spans="1:7" x14ac:dyDescent="0.25">
      <c r="B23" s="2" t="s">
        <v>48</v>
      </c>
      <c r="C23" s="3"/>
      <c r="D23" s="3" t="s">
        <v>23</v>
      </c>
      <c r="E23" s="4" t="s">
        <v>49</v>
      </c>
      <c r="F23" s="5"/>
      <c r="G23" s="24">
        <v>1</v>
      </c>
    </row>
    <row r="24" spans="1:7" x14ac:dyDescent="0.25">
      <c r="B24" s="2" t="s">
        <v>50</v>
      </c>
      <c r="C24" s="3"/>
      <c r="D24" s="3" t="s">
        <v>19</v>
      </c>
      <c r="E24" s="4" t="s">
        <v>51</v>
      </c>
      <c r="F24" s="5"/>
      <c r="G24" s="23" t="s">
        <v>123</v>
      </c>
    </row>
    <row r="25" spans="1:7" x14ac:dyDescent="0.25">
      <c r="B25" s="2" t="s">
        <v>53</v>
      </c>
      <c r="C25" s="3"/>
      <c r="D25" s="3" t="s">
        <v>23</v>
      </c>
      <c r="E25" s="4" t="s">
        <v>54</v>
      </c>
      <c r="F25" s="5"/>
      <c r="G25" s="24">
        <f>G10</f>
        <v>4</v>
      </c>
    </row>
    <row r="26" spans="1:7" x14ac:dyDescent="0.25">
      <c r="B26" s="2" t="s">
        <v>55</v>
      </c>
      <c r="C26" s="3"/>
      <c r="D26" s="3" t="s">
        <v>19</v>
      </c>
      <c r="E26" s="4" t="s">
        <v>56</v>
      </c>
      <c r="F26" s="5"/>
      <c r="G26" s="23" t="s">
        <v>57</v>
      </c>
    </row>
    <row r="28" spans="1:7" x14ac:dyDescent="0.25">
      <c r="B28" s="2" t="s">
        <v>58</v>
      </c>
      <c r="C28" s="3"/>
      <c r="D28" s="3" t="s">
        <v>19</v>
      </c>
      <c r="E28" s="4" t="s">
        <v>59</v>
      </c>
      <c r="F28" s="5"/>
      <c r="G28" s="23" t="s">
        <v>60</v>
      </c>
    </row>
    <row r="30" spans="1:7" ht="15.75" x14ac:dyDescent="0.25">
      <c r="A30" s="25" t="s">
        <v>61</v>
      </c>
      <c r="B30" s="26"/>
      <c r="C30" s="26"/>
      <c r="D30" s="26"/>
      <c r="E30" s="26"/>
      <c r="F30" s="26"/>
      <c r="G30" s="26"/>
    </row>
    <row r="31" spans="1:7" x14ac:dyDescent="0.25">
      <c r="B31" s="2" t="s">
        <v>62</v>
      </c>
      <c r="C31" s="3" t="s">
        <v>63</v>
      </c>
      <c r="D31" s="3" t="s">
        <v>23</v>
      </c>
      <c r="E31" s="4" t="s">
        <v>64</v>
      </c>
      <c r="F31" s="5"/>
      <c r="G31" s="24">
        <v>20000</v>
      </c>
    </row>
    <row r="32" spans="1:7" x14ac:dyDescent="0.25">
      <c r="B32" s="2" t="s">
        <v>65</v>
      </c>
      <c r="C32" s="3" t="s">
        <v>66</v>
      </c>
      <c r="D32" s="3" t="s">
        <v>27</v>
      </c>
      <c r="E32" s="4" t="s">
        <v>64</v>
      </c>
      <c r="F32" s="5"/>
      <c r="G32" s="24">
        <v>500</v>
      </c>
    </row>
    <row r="33" spans="1:7" x14ac:dyDescent="0.25">
      <c r="B33" s="2" t="s">
        <v>67</v>
      </c>
      <c r="C33" s="3" t="s">
        <v>68</v>
      </c>
      <c r="D33" s="3" t="s">
        <v>27</v>
      </c>
      <c r="E33" s="4" t="s">
        <v>69</v>
      </c>
      <c r="F33" s="5"/>
      <c r="G33" s="24">
        <v>5</v>
      </c>
    </row>
    <row r="34" spans="1:7" x14ac:dyDescent="0.25">
      <c r="B34" s="2" t="s">
        <v>70</v>
      </c>
      <c r="C34" s="3"/>
      <c r="D34" s="3" t="s">
        <v>71</v>
      </c>
      <c r="E34" s="4" t="s">
        <v>72</v>
      </c>
      <c r="F34" s="5"/>
      <c r="G34" s="23" t="s">
        <v>73</v>
      </c>
    </row>
    <row r="35" spans="1:7" ht="15.75" x14ac:dyDescent="0.25">
      <c r="A35" s="25" t="s">
        <v>74</v>
      </c>
      <c r="B35" s="26"/>
      <c r="C35" s="26"/>
      <c r="D35" s="26"/>
      <c r="E35" s="26"/>
      <c r="F35" s="26"/>
      <c r="G35" s="26"/>
    </row>
    <row r="36" spans="1:7" x14ac:dyDescent="0.25">
      <c r="B36" s="2" t="s">
        <v>75</v>
      </c>
      <c r="C36" s="3" t="s">
        <v>76</v>
      </c>
      <c r="D36" s="3" t="s">
        <v>19</v>
      </c>
      <c r="E36" s="4" t="s">
        <v>77</v>
      </c>
      <c r="F36" s="5"/>
      <c r="G36" s="23">
        <v>10</v>
      </c>
    </row>
    <row r="37" spans="1:7" x14ac:dyDescent="0.25">
      <c r="B37" s="2" t="s">
        <v>78</v>
      </c>
      <c r="C37" s="3"/>
      <c r="D37" s="3" t="s">
        <v>23</v>
      </c>
      <c r="E37" s="4" t="s">
        <v>79</v>
      </c>
      <c r="F37" s="5"/>
      <c r="G37" s="24">
        <v>2</v>
      </c>
    </row>
    <row r="38" spans="1:7" ht="15.75" x14ac:dyDescent="0.25">
      <c r="A38" s="25" t="s">
        <v>80</v>
      </c>
      <c r="B38" s="26"/>
      <c r="C38" s="26"/>
      <c r="D38" s="26"/>
      <c r="E38" s="26"/>
      <c r="F38" s="26"/>
      <c r="G38" s="26"/>
    </row>
    <row r="39" spans="1:7" x14ac:dyDescent="0.25">
      <c r="B39" s="2" t="s">
        <v>81</v>
      </c>
      <c r="C39" s="3"/>
      <c r="D39" s="3" t="s">
        <v>19</v>
      </c>
      <c r="E39" s="4" t="s">
        <v>82</v>
      </c>
      <c r="F39" s="5"/>
      <c r="G39" s="23" t="s">
        <v>86</v>
      </c>
    </row>
    <row r="40" spans="1:7" x14ac:dyDescent="0.25">
      <c r="B40" s="2" t="s">
        <v>84</v>
      </c>
      <c r="C40" s="3"/>
      <c r="D40" s="3" t="s">
        <v>19</v>
      </c>
      <c r="E40" s="4" t="s">
        <v>85</v>
      </c>
      <c r="F40" s="5"/>
      <c r="G40" s="23" t="s">
        <v>86</v>
      </c>
    </row>
  </sheetData>
  <mergeCells count="7">
    <mergeCell ref="A38:G38"/>
    <mergeCell ref="A13:G13"/>
    <mergeCell ref="A8:G8"/>
    <mergeCell ref="A3:G3"/>
    <mergeCell ref="A22:G22"/>
    <mergeCell ref="A35:G35"/>
    <mergeCell ref="A30:G30"/>
  </mergeCells>
  <dataValidations count="3">
    <dataValidation type="list" allowBlank="1" sqref="G9" xr:uid="{00000000-0002-0000-0000-000000000000}">
      <formula1>"vSAN 8.0,vSAN 7.0,vSAN 6.7"</formula1>
    </dataValidation>
    <dataValidation type="list" allowBlank="1" sqref="G20" xr:uid="{00000000-0002-0000-0000-000003000000}">
      <formula1>"Có,Không"</formula1>
    </dataValidation>
    <dataValidation type="list" allowBlank="1" sqref="G24" xr:uid="{00000000-0002-0000-0000-000004000000}">
      <formula1>"RAID1,RAID5,RAID6"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000-000001000000}">
          <x14:formula1>
            <xm:f>'2. Dữ Liệu Tham Chiếu'!$A$3:$A$10</xm:f>
          </x14:formula1>
          <xm:sqref>G14</xm:sqref>
        </x14:dataValidation>
        <x14:dataValidation type="list" allowBlank="1" xr:uid="{00000000-0002-0000-0000-000002000000}">
          <x14:formula1>
            <xm:f>'2. Dữ Liệu Tham Chiếu'!$A$14:$A$20</xm:f>
          </x14:formula1>
          <xm:sqref>G17</xm:sqref>
        </x14:dataValidation>
        <x14:dataValidation type="list" allowBlank="1" xr:uid="{00000000-0002-0000-0000-000005000000}">
          <x14:formula1>
            <xm:f>'2. Dữ Liệu Tham Chiếu'!$A$31:$A$40</xm:f>
          </x14:formula1>
          <xm:sqref>G26</xm:sqref>
        </x14:dataValidation>
        <x14:dataValidation type="list" allowBlank="1" xr:uid="{00000000-0002-0000-0000-000006000000}">
          <x14:formula1>
            <xm:f>'2. Dữ Liệu Tham Chiếu'!$A$23:$A$30</xm:f>
          </x14:formula1>
          <xm:sqref>G28</xm:sqref>
        </x14:dataValidation>
        <x14:dataValidation type="list" allowBlank="1" xr:uid="{00000000-0002-0000-0000-000007000000}">
          <x14:formula1>
            <xm:f>'2. Dữ Liệu Tham Chiếu'!$A$43:$A$50</xm:f>
          </x14:formula1>
          <xm:sqref>G36</xm:sqref>
        </x14:dataValidation>
        <x14:dataValidation type="list" allowBlank="1" xr:uid="{00000000-0002-0000-0000-000008000000}">
          <x14:formula1>
            <xm:f>'2. Dữ Liệu Tham Chiếu'!$A$53:$A$60</xm:f>
          </x14:formula1>
          <xm:sqref>G39</xm:sqref>
        </x14:dataValidation>
        <x14:dataValidation type="list" allowBlank="1" xr:uid="{00000000-0002-0000-0000-000009000000}">
          <x14:formula1>
            <xm:f>'2. Dữ Liệu Tham Chiếu'!$A$62:$A$70</xm:f>
          </x14:formula1>
          <xm:sqref>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zoomScale="85" workbookViewId="0">
      <selection activeCell="A21" sqref="A21"/>
    </sheetView>
  </sheetViews>
  <sheetFormatPr defaultColWidth="8.85546875" defaultRowHeight="15" x14ac:dyDescent="0.25"/>
  <cols>
    <col min="1" max="1" width="48.85546875" bestFit="1" customWidth="1"/>
    <col min="2" max="2" width="13.85546875" bestFit="1" customWidth="1"/>
    <col min="3" max="3" width="15.5703125" bestFit="1" customWidth="1"/>
    <col min="4" max="4" width="68.7109375" bestFit="1" customWidth="1"/>
    <col min="5" max="5" width="28.42578125" bestFit="1" customWidth="1"/>
    <col min="6" max="6" width="12.5703125" bestFit="1" customWidth="1"/>
    <col min="7" max="8" width="12.42578125" bestFit="1" customWidth="1"/>
  </cols>
  <sheetData>
    <row r="1" spans="1:8" ht="15.75" x14ac:dyDescent="0.25">
      <c r="A1" s="6" t="s">
        <v>87</v>
      </c>
    </row>
    <row r="2" spans="1:8" x14ac:dyDescent="0.25">
      <c r="A2" s="7" t="s">
        <v>88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</row>
    <row r="3" spans="1:8" x14ac:dyDescent="0.25">
      <c r="A3" s="3" t="s">
        <v>32</v>
      </c>
      <c r="B3" s="3">
        <v>28</v>
      </c>
      <c r="C3" s="3">
        <v>56</v>
      </c>
      <c r="D3" s="3">
        <v>2.1</v>
      </c>
      <c r="E3" s="3">
        <v>0.1</v>
      </c>
      <c r="F3" s="3">
        <v>3500</v>
      </c>
      <c r="G3" s="3">
        <v>200</v>
      </c>
    </row>
    <row r="4" spans="1:8" x14ac:dyDescent="0.25">
      <c r="A4" s="3" t="s">
        <v>95</v>
      </c>
      <c r="B4" s="3">
        <v>32</v>
      </c>
      <c r="C4" s="3">
        <v>64</v>
      </c>
      <c r="D4" s="3">
        <v>2.95</v>
      </c>
      <c r="E4" s="3">
        <v>0.1</v>
      </c>
      <c r="F4" s="3">
        <v>4000</v>
      </c>
      <c r="G4" s="3">
        <v>280</v>
      </c>
    </row>
    <row r="5" spans="1:8" x14ac:dyDescent="0.25">
      <c r="A5" s="3" t="s">
        <v>96</v>
      </c>
      <c r="B5" s="3">
        <v>24</v>
      </c>
      <c r="C5" s="3">
        <v>48</v>
      </c>
      <c r="D5" s="3">
        <v>2.1</v>
      </c>
      <c r="E5" s="3">
        <v>0.1</v>
      </c>
      <c r="F5" s="3">
        <v>2800</v>
      </c>
      <c r="G5" s="3">
        <v>165</v>
      </c>
    </row>
    <row r="6" spans="1:8" x14ac:dyDescent="0.25">
      <c r="A6" s="3" t="s">
        <v>97</v>
      </c>
      <c r="B6" s="3">
        <v>24</v>
      </c>
      <c r="C6" s="3">
        <v>48</v>
      </c>
      <c r="D6" s="3">
        <v>3.2</v>
      </c>
      <c r="E6" s="3">
        <v>0.1</v>
      </c>
      <c r="F6" s="3">
        <v>3200</v>
      </c>
      <c r="G6" s="3">
        <v>240</v>
      </c>
    </row>
    <row r="8" spans="1:8" ht="15.75" x14ac:dyDescent="0.25">
      <c r="A8" s="6" t="s">
        <v>98</v>
      </c>
    </row>
    <row r="9" spans="1:8" x14ac:dyDescent="0.25">
      <c r="A9" s="7" t="s">
        <v>99</v>
      </c>
      <c r="B9" s="7" t="s">
        <v>93</v>
      </c>
      <c r="C9" s="7" t="s">
        <v>94</v>
      </c>
    </row>
    <row r="10" spans="1:8" x14ac:dyDescent="0.25">
      <c r="A10" s="3">
        <v>16</v>
      </c>
      <c r="B10" s="3">
        <v>100</v>
      </c>
      <c r="C10" s="3">
        <v>5</v>
      </c>
    </row>
    <row r="11" spans="1:8" x14ac:dyDescent="0.25">
      <c r="A11" s="3">
        <v>32</v>
      </c>
      <c r="B11" s="3">
        <v>180</v>
      </c>
      <c r="C11" s="3">
        <v>8</v>
      </c>
    </row>
    <row r="12" spans="1:8" x14ac:dyDescent="0.25">
      <c r="A12" s="3">
        <v>64</v>
      </c>
      <c r="B12" s="3">
        <v>300</v>
      </c>
      <c r="C12" s="3">
        <v>12</v>
      </c>
    </row>
    <row r="13" spans="1:8" x14ac:dyDescent="0.25">
      <c r="A13" s="3">
        <v>128</v>
      </c>
      <c r="B13" s="3">
        <v>550</v>
      </c>
      <c r="C13" s="3">
        <v>18</v>
      </c>
    </row>
    <row r="15" spans="1:8" ht="15.75" x14ac:dyDescent="0.25">
      <c r="A15" s="6" t="s">
        <v>100</v>
      </c>
    </row>
    <row r="16" spans="1:8" x14ac:dyDescent="0.25">
      <c r="A16" s="7" t="s">
        <v>58</v>
      </c>
      <c r="B16" s="7" t="s">
        <v>101</v>
      </c>
      <c r="C16" s="7" t="s">
        <v>102</v>
      </c>
      <c r="D16" s="7" t="s">
        <v>103</v>
      </c>
      <c r="E16" s="7" t="s">
        <v>104</v>
      </c>
      <c r="F16" s="7" t="s">
        <v>105</v>
      </c>
      <c r="G16" s="7" t="s">
        <v>93</v>
      </c>
      <c r="H16" s="7" t="s">
        <v>94</v>
      </c>
    </row>
    <row r="17" spans="1:8" x14ac:dyDescent="0.25">
      <c r="A17" s="8" t="s">
        <v>60</v>
      </c>
      <c r="B17" s="8">
        <v>800</v>
      </c>
      <c r="C17" s="8">
        <v>300000</v>
      </c>
      <c r="D17" s="8">
        <v>150000</v>
      </c>
      <c r="E17" s="8">
        <v>2500</v>
      </c>
      <c r="F17" s="8">
        <v>3000</v>
      </c>
      <c r="G17" s="8">
        <v>800</v>
      </c>
      <c r="H17" s="8">
        <v>15</v>
      </c>
    </row>
    <row r="18" spans="1:8" x14ac:dyDescent="0.25">
      <c r="A18" s="8" t="s">
        <v>60</v>
      </c>
      <c r="B18" s="8">
        <v>1600</v>
      </c>
      <c r="C18" s="8">
        <v>500000</v>
      </c>
      <c r="D18" s="8">
        <v>250000</v>
      </c>
      <c r="E18" s="8">
        <v>4000</v>
      </c>
      <c r="F18" s="8">
        <v>6000</v>
      </c>
      <c r="G18" s="8">
        <v>1500</v>
      </c>
      <c r="H18" s="8">
        <v>20</v>
      </c>
    </row>
    <row r="19" spans="1:8" x14ac:dyDescent="0.25">
      <c r="A19" s="8" t="s">
        <v>57</v>
      </c>
      <c r="B19" s="8">
        <v>400</v>
      </c>
      <c r="C19" s="8">
        <v>70000</v>
      </c>
      <c r="D19" s="8">
        <v>30000</v>
      </c>
      <c r="E19" s="8">
        <v>700</v>
      </c>
      <c r="F19" s="8">
        <v>1500</v>
      </c>
      <c r="G19" s="8">
        <v>300</v>
      </c>
      <c r="H19" s="8">
        <v>10</v>
      </c>
    </row>
    <row r="20" spans="1:8" x14ac:dyDescent="0.25">
      <c r="A20" s="8" t="s">
        <v>57</v>
      </c>
      <c r="B20" s="8">
        <v>800</v>
      </c>
      <c r="C20" s="8">
        <v>120000</v>
      </c>
      <c r="D20" s="8">
        <v>60000</v>
      </c>
      <c r="E20" s="8">
        <v>1200</v>
      </c>
      <c r="F20" s="8">
        <v>3000</v>
      </c>
      <c r="G20" s="8">
        <v>500</v>
      </c>
      <c r="H20" s="3">
        <v>12</v>
      </c>
    </row>
    <row r="22" spans="1:8" ht="15.75" x14ac:dyDescent="0.25">
      <c r="A22" s="6" t="s">
        <v>106</v>
      </c>
    </row>
    <row r="23" spans="1:8" x14ac:dyDescent="0.25">
      <c r="A23" s="7" t="s">
        <v>55</v>
      </c>
      <c r="B23" s="7" t="s">
        <v>107</v>
      </c>
      <c r="C23" s="7" t="s">
        <v>102</v>
      </c>
      <c r="D23" s="7" t="s">
        <v>103</v>
      </c>
      <c r="E23" s="7" t="s">
        <v>104</v>
      </c>
      <c r="F23" s="7" t="s">
        <v>93</v>
      </c>
      <c r="G23" s="7" t="s">
        <v>94</v>
      </c>
    </row>
    <row r="24" spans="1:8" x14ac:dyDescent="0.25">
      <c r="A24" s="3" t="s">
        <v>57</v>
      </c>
      <c r="B24" s="3">
        <v>1.92</v>
      </c>
      <c r="C24" s="3">
        <v>5000</v>
      </c>
      <c r="D24" s="3">
        <v>2000</v>
      </c>
      <c r="E24" s="3">
        <v>500</v>
      </c>
      <c r="F24" s="3">
        <v>300</v>
      </c>
      <c r="G24" s="3">
        <v>10</v>
      </c>
    </row>
    <row r="25" spans="1:8" x14ac:dyDescent="0.25">
      <c r="A25" s="3" t="s">
        <v>57</v>
      </c>
      <c r="B25" s="3">
        <v>3.84</v>
      </c>
      <c r="C25" s="3">
        <v>7000</v>
      </c>
      <c r="D25" s="3">
        <v>3000</v>
      </c>
      <c r="E25" s="3">
        <v>700</v>
      </c>
      <c r="F25" s="3">
        <v>500</v>
      </c>
      <c r="G25" s="3">
        <v>12</v>
      </c>
    </row>
    <row r="26" spans="1:8" x14ac:dyDescent="0.25">
      <c r="A26" s="3" t="s">
        <v>108</v>
      </c>
      <c r="B26" s="3">
        <v>7.68</v>
      </c>
      <c r="C26" s="3">
        <v>6000</v>
      </c>
      <c r="D26" s="3">
        <v>2500</v>
      </c>
      <c r="E26" s="3">
        <v>600</v>
      </c>
      <c r="F26" s="3">
        <v>700</v>
      </c>
      <c r="G26" s="3">
        <v>15</v>
      </c>
    </row>
    <row r="27" spans="1:8" x14ac:dyDescent="0.25">
      <c r="A27" s="3" t="s">
        <v>109</v>
      </c>
      <c r="B27" s="3">
        <v>10</v>
      </c>
      <c r="C27" s="3">
        <v>150</v>
      </c>
      <c r="D27" s="3">
        <v>80</v>
      </c>
      <c r="E27" s="3">
        <v>180</v>
      </c>
      <c r="F27" s="3">
        <v>200</v>
      </c>
      <c r="G27" s="3">
        <v>8</v>
      </c>
    </row>
    <row r="28" spans="1:8" x14ac:dyDescent="0.25">
      <c r="A28" s="3" t="s">
        <v>109</v>
      </c>
      <c r="B28" s="3">
        <v>12</v>
      </c>
      <c r="C28" s="3">
        <v>180</v>
      </c>
      <c r="D28" s="3">
        <v>100</v>
      </c>
      <c r="E28" s="3">
        <v>200</v>
      </c>
      <c r="F28" s="3">
        <v>250</v>
      </c>
      <c r="G28" s="3">
        <v>9</v>
      </c>
    </row>
    <row r="30" spans="1:8" ht="15.75" x14ac:dyDescent="0.25">
      <c r="A30" s="6" t="s">
        <v>110</v>
      </c>
    </row>
    <row r="31" spans="1:8" x14ac:dyDescent="0.25">
      <c r="A31" s="7" t="s">
        <v>111</v>
      </c>
      <c r="B31" s="7" t="s">
        <v>112</v>
      </c>
      <c r="C31" s="7" t="s">
        <v>93</v>
      </c>
      <c r="D31" s="7" t="s">
        <v>94</v>
      </c>
    </row>
    <row r="32" spans="1:8" x14ac:dyDescent="0.25">
      <c r="A32" s="3">
        <v>10</v>
      </c>
      <c r="B32" s="3">
        <v>2</v>
      </c>
      <c r="C32" s="3">
        <v>300</v>
      </c>
      <c r="D32" s="3">
        <v>10</v>
      </c>
    </row>
    <row r="33" spans="1:4" x14ac:dyDescent="0.25">
      <c r="A33" s="3">
        <v>25</v>
      </c>
      <c r="B33" s="3">
        <v>2</v>
      </c>
      <c r="C33" s="3">
        <v>500</v>
      </c>
      <c r="D33" s="3">
        <v>15</v>
      </c>
    </row>
    <row r="34" spans="1:4" x14ac:dyDescent="0.25">
      <c r="A34" s="3">
        <v>40</v>
      </c>
      <c r="B34" s="3">
        <v>2</v>
      </c>
      <c r="C34" s="3">
        <v>800</v>
      </c>
      <c r="D34" s="3">
        <v>20</v>
      </c>
    </row>
    <row r="35" spans="1:4" x14ac:dyDescent="0.25">
      <c r="A35" s="3">
        <v>100</v>
      </c>
      <c r="B35" s="3">
        <v>2</v>
      </c>
      <c r="C35" s="3">
        <v>1500</v>
      </c>
      <c r="D35" s="3">
        <v>30</v>
      </c>
    </row>
    <row r="37" spans="1:4" ht="15.75" x14ac:dyDescent="0.25">
      <c r="A37" s="6" t="s">
        <v>113</v>
      </c>
    </row>
    <row r="38" spans="1:4" x14ac:dyDescent="0.25">
      <c r="A38" s="7" t="s">
        <v>114</v>
      </c>
      <c r="B38" s="7" t="s">
        <v>115</v>
      </c>
    </row>
    <row r="39" spans="1:4" x14ac:dyDescent="0.25">
      <c r="A39" s="3" t="s">
        <v>116</v>
      </c>
      <c r="B39" s="3">
        <v>1500</v>
      </c>
    </row>
    <row r="40" spans="1:4" x14ac:dyDescent="0.25">
      <c r="A40" s="3" t="s">
        <v>83</v>
      </c>
      <c r="B40" s="3">
        <v>2500</v>
      </c>
    </row>
    <row r="41" spans="1:4" x14ac:dyDescent="0.25">
      <c r="A41" s="3" t="s">
        <v>117</v>
      </c>
      <c r="B41" s="3">
        <v>4000</v>
      </c>
    </row>
    <row r="42" spans="1:4" x14ac:dyDescent="0.25">
      <c r="A42" s="3" t="s">
        <v>86</v>
      </c>
      <c r="B42" s="3">
        <v>6000</v>
      </c>
    </row>
    <row r="44" spans="1:4" ht="15.75" x14ac:dyDescent="0.25">
      <c r="A44" s="6" t="s">
        <v>118</v>
      </c>
    </row>
    <row r="45" spans="1:4" x14ac:dyDescent="0.25">
      <c r="A45" s="7" t="s">
        <v>114</v>
      </c>
      <c r="B45" s="7" t="s">
        <v>115</v>
      </c>
    </row>
    <row r="46" spans="1:4" x14ac:dyDescent="0.25">
      <c r="A46" s="3" t="s">
        <v>116</v>
      </c>
      <c r="B46" s="3">
        <v>800</v>
      </c>
    </row>
    <row r="47" spans="1:4" x14ac:dyDescent="0.25">
      <c r="A47" s="3" t="s">
        <v>86</v>
      </c>
      <c r="B47" s="3">
        <v>2000</v>
      </c>
    </row>
    <row r="49" spans="1:4" ht="15.75" x14ac:dyDescent="0.25">
      <c r="A49" s="6" t="s">
        <v>119</v>
      </c>
    </row>
    <row r="50" spans="1:4" x14ac:dyDescent="0.25">
      <c r="A50" s="7" t="s">
        <v>120</v>
      </c>
      <c r="B50" s="7" t="s">
        <v>121</v>
      </c>
      <c r="C50" s="7" t="s">
        <v>122</v>
      </c>
    </row>
    <row r="51" spans="1:4" x14ac:dyDescent="0.25">
      <c r="A51" s="3">
        <v>1</v>
      </c>
      <c r="B51" s="3" t="s">
        <v>52</v>
      </c>
      <c r="C51" s="3">
        <v>2</v>
      </c>
    </row>
    <row r="52" spans="1:4" x14ac:dyDescent="0.25">
      <c r="A52" s="3">
        <v>1</v>
      </c>
      <c r="B52" s="3" t="s">
        <v>123</v>
      </c>
      <c r="C52" s="3">
        <v>1.33</v>
      </c>
    </row>
    <row r="53" spans="1:4" x14ac:dyDescent="0.25">
      <c r="A53" s="3">
        <v>2</v>
      </c>
      <c r="B53" s="3" t="s">
        <v>52</v>
      </c>
      <c r="C53" s="3">
        <v>3</v>
      </c>
    </row>
    <row r="54" spans="1:4" x14ac:dyDescent="0.25">
      <c r="A54" s="3">
        <v>2</v>
      </c>
      <c r="B54" s="3" t="s">
        <v>124</v>
      </c>
      <c r="C54" s="3">
        <v>1.5</v>
      </c>
    </row>
    <row r="55" spans="1:4" x14ac:dyDescent="0.25">
      <c r="A55" s="3">
        <v>3</v>
      </c>
      <c r="B55" s="3" t="s">
        <v>52</v>
      </c>
      <c r="C55" s="3">
        <v>4</v>
      </c>
    </row>
    <row r="57" spans="1:4" ht="15.75" x14ac:dyDescent="0.25">
      <c r="A57" s="6" t="s">
        <v>125</v>
      </c>
    </row>
    <row r="58" spans="1:4" x14ac:dyDescent="0.25">
      <c r="A58" s="7" t="s">
        <v>126</v>
      </c>
      <c r="B58" s="7" t="s">
        <v>127</v>
      </c>
      <c r="C58" s="7" t="s">
        <v>128</v>
      </c>
      <c r="D58" s="7" t="s">
        <v>129</v>
      </c>
    </row>
    <row r="59" spans="1:4" x14ac:dyDescent="0.25">
      <c r="A59" s="4" t="s">
        <v>130</v>
      </c>
      <c r="B59" s="3">
        <v>1500</v>
      </c>
      <c r="C59" s="3" t="s">
        <v>131</v>
      </c>
      <c r="D59" s="3" t="s">
        <v>132</v>
      </c>
    </row>
    <row r="60" spans="1:4" x14ac:dyDescent="0.25">
      <c r="A60" s="4" t="s">
        <v>133</v>
      </c>
      <c r="B60" s="3">
        <v>0.18</v>
      </c>
      <c r="C60" s="3" t="s">
        <v>26</v>
      </c>
      <c r="D60" s="3" t="s">
        <v>134</v>
      </c>
    </row>
    <row r="61" spans="1:4" x14ac:dyDescent="0.25">
      <c r="A61" s="4" t="s">
        <v>135</v>
      </c>
      <c r="B61" s="3">
        <v>0.15</v>
      </c>
      <c r="C61" s="3" t="s">
        <v>136</v>
      </c>
      <c r="D61" s="3" t="s">
        <v>137</v>
      </c>
    </row>
    <row r="62" spans="1:4" x14ac:dyDescent="0.25">
      <c r="A62" s="4" t="s">
        <v>138</v>
      </c>
      <c r="B62" s="3">
        <v>0.3</v>
      </c>
      <c r="C62" s="3" t="s">
        <v>26</v>
      </c>
      <c r="D62" s="3" t="s">
        <v>139</v>
      </c>
    </row>
    <row r="63" spans="1:4" x14ac:dyDescent="0.25">
      <c r="A63" s="4" t="s">
        <v>140</v>
      </c>
      <c r="B63" s="3">
        <v>0.1</v>
      </c>
      <c r="C63" s="3" t="s">
        <v>26</v>
      </c>
      <c r="D63" s="3" t="s">
        <v>141</v>
      </c>
    </row>
    <row r="64" spans="1:4" x14ac:dyDescent="0.25">
      <c r="A64" s="4" t="s">
        <v>142</v>
      </c>
      <c r="B64" s="3">
        <v>0.25</v>
      </c>
      <c r="C64" s="3" t="s">
        <v>26</v>
      </c>
      <c r="D64" s="3" t="s">
        <v>143</v>
      </c>
    </row>
    <row r="65" spans="1:4" x14ac:dyDescent="0.25">
      <c r="A65" s="4" t="s">
        <v>144</v>
      </c>
      <c r="B65" s="3">
        <v>5</v>
      </c>
      <c r="C65" s="3" t="s">
        <v>145</v>
      </c>
      <c r="D65" s="3" t="s">
        <v>146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25" workbookViewId="0">
      <selection activeCell="A21" sqref="A21"/>
    </sheetView>
  </sheetViews>
  <sheetFormatPr defaultColWidth="8.85546875" defaultRowHeight="15" x14ac:dyDescent="0.25"/>
  <cols>
    <col min="1" max="1" width="35" customWidth="1"/>
    <col min="2" max="2" width="58" bestFit="1" customWidth="1"/>
    <col min="3" max="3" width="7" bestFit="1" customWidth="1"/>
    <col min="4" max="4" width="22.28515625" bestFit="1" customWidth="1"/>
    <col min="6" max="6" width="7.28515625" bestFit="1" customWidth="1"/>
  </cols>
  <sheetData>
    <row r="1" spans="1:6" ht="15.75" x14ac:dyDescent="0.25">
      <c r="A1" s="27" t="s">
        <v>147</v>
      </c>
      <c r="B1" s="26"/>
      <c r="C1" s="26"/>
    </row>
    <row r="2" spans="1:6" x14ac:dyDescent="0.25">
      <c r="B2" s="9" t="s">
        <v>148</v>
      </c>
      <c r="C2" s="10" t="s">
        <v>41</v>
      </c>
      <c r="D2" s="3">
        <f>IF('1. Thông Tin Đầu Vào'!G20="Có",'1. Thông Tin Đầu Vào'!G19/(1-'1. Thông Tin Đầu Vào'!G21),'1. Thông Tin Đầu Vào'!G19)</f>
        <v>64</v>
      </c>
    </row>
    <row r="3" spans="1:6" x14ac:dyDescent="0.25">
      <c r="B3" s="9" t="s">
        <v>149</v>
      </c>
      <c r="C3" s="10" t="s">
        <v>41</v>
      </c>
      <c r="D3" s="3">
        <f>IF('1. Thông Tin Đầu Vào'!G20="Có",'1. Thông Tin Đầu Vào'!G19/(1-'1. Thông Tin Đầu Vào'!G21),'1. Thông Tin Đầu Vào'!G19)</f>
        <v>64</v>
      </c>
    </row>
    <row r="4" spans="1:6" x14ac:dyDescent="0.25">
      <c r="B4" s="9" t="s">
        <v>150</v>
      </c>
      <c r="C4" s="10"/>
      <c r="D4" s="3">
        <f>VLOOKUP('1. Thông Tin Đầu Vào'!G24,'2. Dữ Liệu Tham Chiếu'!B51:C55,2,TRUE)</f>
        <v>3</v>
      </c>
      <c r="F4" t="str">
        <f>'1. Thông Tin Đầu Vào'!G23&amp;'1. Thông Tin Đầu Vào'!G24</f>
        <v>1RAID5</v>
      </c>
    </row>
    <row r="5" spans="1:6" x14ac:dyDescent="0.25">
      <c r="B5" s="9" t="s">
        <v>151</v>
      </c>
      <c r="C5" s="10" t="s">
        <v>41</v>
      </c>
      <c r="D5" s="3">
        <f>D3*D4</f>
        <v>192</v>
      </c>
    </row>
    <row r="6" spans="1:6" x14ac:dyDescent="0.25">
      <c r="B6" s="9" t="s">
        <v>152</v>
      </c>
      <c r="C6" s="10" t="s">
        <v>41</v>
      </c>
      <c r="D6" s="3">
        <f>D5*VLOOKUP("vSAN Metadata Overhead (%)",'2. Dữ Liệu Tham Chiếu'!$A$59:$D$65,2,FALSE)</f>
        <v>19.200000000000003</v>
      </c>
    </row>
    <row r="7" spans="1:6" x14ac:dyDescent="0.25">
      <c r="B7" s="9" t="s">
        <v>153</v>
      </c>
      <c r="C7" s="10" t="s">
        <v>41</v>
      </c>
      <c r="D7" s="3">
        <f>D5+D6</f>
        <v>211.2</v>
      </c>
    </row>
    <row r="8" spans="1:6" x14ac:dyDescent="0.25">
      <c r="B8" s="9" t="s">
        <v>154</v>
      </c>
      <c r="C8" s="10" t="s">
        <v>41</v>
      </c>
      <c r="D8" s="3">
        <f>D7*(1+VLOOKUP("Dung lượng dự phòng (Slack Space %)",'2. Dữ Liệu Tham Chiếu'!$A$59:$D$65,2,FALSE))</f>
        <v>264</v>
      </c>
    </row>
    <row r="9" spans="1:6" x14ac:dyDescent="0.25">
      <c r="B9" s="9" t="s">
        <v>155</v>
      </c>
      <c r="C9" s="10" t="s">
        <v>41</v>
      </c>
      <c r="D9" s="3">
        <f>VLOOKUP('1. Thông Tin Đầu Vào'!G26,'2. Dữ Liệu Tham Chiếu'!$A$24:$G$28,2,FALSE)</f>
        <v>1.92</v>
      </c>
    </row>
    <row r="10" spans="1:6" x14ac:dyDescent="0.25">
      <c r="B10" s="9" t="s">
        <v>156</v>
      </c>
      <c r="C10" s="10" t="s">
        <v>157</v>
      </c>
      <c r="D10" s="3">
        <f>ROUNDUP((D8/'1. Thông Tin Đầu Vào'!G10)/D9,0)</f>
        <v>35</v>
      </c>
    </row>
    <row r="11" spans="1:6" x14ac:dyDescent="0.25">
      <c r="B11" s="9" t="s">
        <v>158</v>
      </c>
      <c r="C11" s="10" t="s">
        <v>157</v>
      </c>
      <c r="D11" s="3">
        <f>D10*'1. Thông Tin Đầu Vào'!G10</f>
        <v>140</v>
      </c>
    </row>
    <row r="13" spans="1:6" ht="15.75" x14ac:dyDescent="0.25">
      <c r="A13" s="27" t="s">
        <v>159</v>
      </c>
      <c r="B13" s="26"/>
      <c r="C13" s="26"/>
    </row>
    <row r="14" spans="1:6" x14ac:dyDescent="0.25">
      <c r="B14" s="9" t="s">
        <v>160</v>
      </c>
      <c r="C14" s="10" t="s">
        <v>41</v>
      </c>
      <c r="D14" s="3">
        <f>D5*0.1</f>
        <v>19.200000000000003</v>
      </c>
    </row>
    <row r="15" spans="1:6" x14ac:dyDescent="0.25">
      <c r="B15" s="9" t="s">
        <v>161</v>
      </c>
      <c r="C15" s="10" t="s">
        <v>36</v>
      </c>
      <c r="D15" s="3">
        <f>VLOOKUP('1. Thông Tin Đầu Vào'!G28,'2. Dữ Liệu Tham Chiếu'!$A$17:$H$20,2,FALSE)</f>
        <v>800</v>
      </c>
    </row>
    <row r="16" spans="1:6" x14ac:dyDescent="0.25">
      <c r="B16" s="9" t="s">
        <v>162</v>
      </c>
      <c r="C16" s="10" t="s">
        <v>163</v>
      </c>
      <c r="D16" s="3">
        <f>ROUNDUP((D14*1024/'1. Thông Tin Đầu Vào'!G10)/D15,0)</f>
        <v>7</v>
      </c>
    </row>
    <row r="17" spans="1:4" x14ac:dyDescent="0.25">
      <c r="B17" s="9" t="s">
        <v>164</v>
      </c>
      <c r="C17" s="10" t="s">
        <v>163</v>
      </c>
      <c r="D17" s="3">
        <f>D16*'1. Thông Tin Đầu Vào'!G10</f>
        <v>28</v>
      </c>
    </row>
    <row r="19" spans="1:4" ht="15.75" x14ac:dyDescent="0.25">
      <c r="A19" s="27" t="s">
        <v>165</v>
      </c>
      <c r="B19" s="26"/>
      <c r="C19" s="26"/>
    </row>
    <row r="20" spans="1:4" x14ac:dyDescent="0.25">
      <c r="B20" s="9" t="s">
        <v>166</v>
      </c>
      <c r="C20" s="10" t="s">
        <v>63</v>
      </c>
      <c r="D20" s="3">
        <f>SUMPRODUCT(VLOOKUP('1. Thông Tin Đầu Vào'!G28,'2. Dữ Liệu Tham Chiếu'!$A$17:$H$20,{3,4},FALSE),{0.7,0.3})*D17+SUMPRODUCT(VLOOKUP('1. Thông Tin Đầu Vào'!G26,'2. Dữ Liệu Tham Chiếu'!$A$24:$G$28,{3,4},FALSE),{0.7,0.3})*D11</f>
        <v>7714000</v>
      </c>
    </row>
    <row r="21" spans="1:4" x14ac:dyDescent="0.25">
      <c r="B21" s="9" t="s">
        <v>167</v>
      </c>
      <c r="C21" s="10" t="s">
        <v>66</v>
      </c>
      <c r="D21" s="3">
        <f>VLOOKUP('1. Thông Tin Đầu Vào'!G28,'2. Dữ Liệu Tham Chiếu'!$A$17:$H$20,5,FALSE)*D17+VLOOKUP('1. Thông Tin Đầu Vào'!G26,'2. Dữ Liệu Tham Chiếu'!$A$24:$G$28,5,FALSE)*D11</f>
        <v>140000</v>
      </c>
    </row>
    <row r="22" spans="1:4" x14ac:dyDescent="0.25">
      <c r="B22" s="9" t="s">
        <v>168</v>
      </c>
      <c r="C22" s="10" t="s">
        <v>68</v>
      </c>
      <c r="D22" s="3">
        <f>IF(D20&gt;='1. Thông Tin Đầu Vào'!G31,'1. Thông Tin Đầu Vào'!G33*('1. Thông Tin Đầu Vào'!G31/D20),'1. Thông Tin Đầu Vào'!G33)</f>
        <v>1.2963443090484833E-2</v>
      </c>
    </row>
    <row r="23" spans="1:4" x14ac:dyDescent="0.25">
      <c r="B23" s="9" t="s">
        <v>169</v>
      </c>
      <c r="C23" s="10"/>
      <c r="D23" s="3" t="str">
        <f>IF(D20&gt;='1. Thông Tin Đầu Vào'!G31,"Đạt yêu cầu IOPS","Không đạt yêu cầu IOPS")</f>
        <v>Đạt yêu cầu IOPS</v>
      </c>
    </row>
    <row r="24" spans="1:4" x14ac:dyDescent="0.25">
      <c r="B24" s="9" t="s">
        <v>170</v>
      </c>
      <c r="C24" s="10"/>
      <c r="D24" s="3" t="str">
        <f>IF(D21&gt;='1. Thông Tin Đầu Vào'!G32,"Đạt yêu cầu Throughput","Không đạt yêu cầu Throughput")</f>
        <v>Đạt yêu cầu Throughput</v>
      </c>
    </row>
    <row r="26" spans="1:4" ht="15.75" x14ac:dyDescent="0.25">
      <c r="A26" s="27" t="s">
        <v>171</v>
      </c>
      <c r="B26" s="26"/>
      <c r="C26" s="26"/>
    </row>
    <row r="27" spans="1:4" x14ac:dyDescent="0.25">
      <c r="B27" s="9" t="s">
        <v>172</v>
      </c>
      <c r="C27" s="10" t="s">
        <v>76</v>
      </c>
      <c r="D27" s="3">
        <f>'1. Thông Tin Đầu Vào'!G36/'1. Thông Tin Đầu Vào'!G10</f>
        <v>2.5</v>
      </c>
    </row>
    <row r="28" spans="1:4" x14ac:dyDescent="0.25">
      <c r="B28" s="9" t="s">
        <v>173</v>
      </c>
      <c r="C28" s="10" t="s">
        <v>76</v>
      </c>
      <c r="D28" s="3">
        <f>VLOOKUP('1. Thông Tin Đầu Vào'!G36,'2. Dữ Liệu Tham Chiếu'!$A$32:$D$35,1,FALSE)*'1. Thông Tin Đầu Vào'!G37</f>
        <v>20</v>
      </c>
    </row>
    <row r="30" spans="1:4" ht="15.75" x14ac:dyDescent="0.25">
      <c r="A30" s="27" t="s">
        <v>174</v>
      </c>
      <c r="B30" s="26"/>
      <c r="C30" s="26"/>
    </row>
    <row r="31" spans="1:4" x14ac:dyDescent="0.25">
      <c r="B31" s="9" t="s">
        <v>175</v>
      </c>
      <c r="C31" s="10" t="s">
        <v>176</v>
      </c>
      <c r="D31" s="3">
        <f>'1. Thông Tin Đầu Vào'!G10*'1. Thông Tin Đầu Vào'!G15</f>
        <v>16</v>
      </c>
    </row>
    <row r="32" spans="1:4" x14ac:dyDescent="0.25">
      <c r="B32" s="9" t="s">
        <v>177</v>
      </c>
      <c r="C32" s="10" t="s">
        <v>178</v>
      </c>
      <c r="D32" s="3">
        <f>D31*VLOOKUP('1. Thông Tin Đầu Vào'!G14,'2. Dữ Liệu Tham Chiếu'!$A$3:$G$6,2,FALSE)</f>
        <v>448</v>
      </c>
    </row>
    <row r="33" spans="2:4" x14ac:dyDescent="0.25">
      <c r="B33" s="9" t="s">
        <v>179</v>
      </c>
      <c r="C33" s="10" t="s">
        <v>36</v>
      </c>
      <c r="D33" s="3">
        <f>'1. Thông Tin Đầu Vào'!G10*'1. Thông Tin Đầu Vào'!G16</f>
        <v>8196</v>
      </c>
    </row>
  </sheetData>
  <mergeCells count="5">
    <mergeCell ref="A19:C19"/>
    <mergeCell ref="A13:C13"/>
    <mergeCell ref="A1:C1"/>
    <mergeCell ref="A30:C30"/>
    <mergeCell ref="A26:C2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A21" sqref="A21"/>
    </sheetView>
  </sheetViews>
  <sheetFormatPr defaultColWidth="8.85546875" defaultRowHeight="15" x14ac:dyDescent="0.25"/>
  <cols>
    <col min="1" max="1" width="35" customWidth="1"/>
    <col min="2" max="2" width="49.5703125" bestFit="1" customWidth="1"/>
    <col min="3" max="3" width="6.140625" bestFit="1" customWidth="1"/>
    <col min="4" max="4" width="12.28515625" bestFit="1" customWidth="1"/>
  </cols>
  <sheetData>
    <row r="1" spans="1:4" ht="15.75" x14ac:dyDescent="0.25">
      <c r="A1" s="27" t="s">
        <v>180</v>
      </c>
      <c r="B1" s="26"/>
      <c r="C1" s="26"/>
    </row>
    <row r="2" spans="1:4" x14ac:dyDescent="0.25">
      <c r="B2" s="9" t="s">
        <v>181</v>
      </c>
      <c r="C2" s="10" t="s">
        <v>131</v>
      </c>
      <c r="D2" s="15">
        <f>'1. Thông Tin Đầu Vào'!G10*VLOOKUP("Chi phí cơ bản cho một ESXi Host (chassis, PSU, v.v.)",'2. Dữ Liệu Tham Chiếu'!$A$59:$D$65,2,FALSE)</f>
        <v>6000</v>
      </c>
    </row>
    <row r="3" spans="1:4" x14ac:dyDescent="0.25">
      <c r="B3" s="9" t="s">
        <v>182</v>
      </c>
      <c r="C3" s="10" t="s">
        <v>131</v>
      </c>
      <c r="D3" s="15">
        <f>'3. Tính Toán Sizing'!D31*VLOOKUP('1. Thông Tin Đầu Vào'!G14,'2. Dữ Liệu Tham Chiếu'!$A$3:$G$6,6,FALSE)</f>
        <v>56000</v>
      </c>
    </row>
    <row r="4" spans="1:4" x14ac:dyDescent="0.25">
      <c r="B4" s="9" t="s">
        <v>183</v>
      </c>
      <c r="C4" s="10" t="s">
        <v>131</v>
      </c>
      <c r="D4" s="15">
        <f>'3. Tính Toán Sizing'!D33/('1. Thông Tin Đầu Vào'!G17)*VLOOKUP('1. Thông Tin Đầu Vào'!G17,'2. Dữ Liệu Tham Chiếu'!$A$10:$C$13,2,FALSE)</f>
        <v>38418.75</v>
      </c>
    </row>
    <row r="5" spans="1:4" x14ac:dyDescent="0.25">
      <c r="B5" s="9" t="s">
        <v>184</v>
      </c>
      <c r="C5" s="10" t="s">
        <v>131</v>
      </c>
      <c r="D5" s="15">
        <f>'3. Tính Toán Sizing'!D17*VLOOKUP('1. Thông Tin Đầu Vào'!G28,'2. Dữ Liệu Tham Chiếu'!$A$17:$H$20,7,FALSE)</f>
        <v>22400</v>
      </c>
    </row>
    <row r="6" spans="1:4" x14ac:dyDescent="0.25">
      <c r="B6" s="9" t="s">
        <v>185</v>
      </c>
      <c r="C6" s="10" t="s">
        <v>131</v>
      </c>
      <c r="D6" s="15">
        <f>'3. Tính Toán Sizing'!D11*VLOOKUP('1. Thông Tin Đầu Vào'!G26,'2. Dữ Liệu Tham Chiếu'!$A$24:$G$28,6,FALSE)</f>
        <v>42000</v>
      </c>
    </row>
    <row r="7" spans="1:4" x14ac:dyDescent="0.25">
      <c r="B7" s="9" t="s">
        <v>186</v>
      </c>
      <c r="C7" s="10" t="s">
        <v>131</v>
      </c>
      <c r="D7" s="15">
        <f>'1. Thông Tin Đầu Vào'!G10*'1. Thông Tin Đầu Vào'!G37*VLOOKUP('1. Thông Tin Đầu Vào'!G36,'2. Dữ Liệu Tham Chiếu'!$A$32:$D$35,3,FALSE)</f>
        <v>2400</v>
      </c>
    </row>
    <row r="8" spans="1:4" x14ac:dyDescent="0.25">
      <c r="B8" s="9" t="s">
        <v>187</v>
      </c>
      <c r="C8" s="10" t="s">
        <v>131</v>
      </c>
      <c r="D8" s="15">
        <f>SUM(D2:D7)</f>
        <v>167218.75</v>
      </c>
    </row>
    <row r="9" spans="1:4" x14ac:dyDescent="0.25">
      <c r="B9" s="9" t="s">
        <v>188</v>
      </c>
      <c r="C9" s="10" t="s">
        <v>131</v>
      </c>
      <c r="D9" s="15">
        <f>'3. Tính Toán Sizing'!D31*VLOOKUP('1. Thông Tin Đầu Vào'!G39,'2. Dữ Liệu Tham Chiếu'!$A$39:$B$42,2,FALSE)</f>
        <v>96000</v>
      </c>
    </row>
    <row r="10" spans="1:4" x14ac:dyDescent="0.25">
      <c r="B10" s="9" t="s">
        <v>189</v>
      </c>
      <c r="C10" s="10" t="s">
        <v>131</v>
      </c>
      <c r="D10" s="15">
        <f>'3. Tính Toán Sizing'!D31*VLOOKUP('1. Thông Tin Đầu Vào'!G40,'2. Dữ Liệu Tham Chiếu'!$A$46:$B$47,2,FALSE)</f>
        <v>32000</v>
      </c>
    </row>
    <row r="11" spans="1:4" x14ac:dyDescent="0.25">
      <c r="B11" s="9" t="s">
        <v>190</v>
      </c>
      <c r="C11" s="10" t="s">
        <v>131</v>
      </c>
      <c r="D11" s="15">
        <f>SUM(D9:D10)</f>
        <v>128000</v>
      </c>
    </row>
    <row r="12" spans="1:4" x14ac:dyDescent="0.25">
      <c r="B12" s="9" t="s">
        <v>191</v>
      </c>
      <c r="C12" s="10" t="s">
        <v>131</v>
      </c>
      <c r="D12" s="16">
        <f>D8+D11</f>
        <v>295218.75</v>
      </c>
    </row>
    <row r="14" spans="1:4" ht="15.75" x14ac:dyDescent="0.25">
      <c r="A14" s="27" t="s">
        <v>192</v>
      </c>
      <c r="B14" s="26"/>
      <c r="C14" s="26"/>
    </row>
    <row r="15" spans="1:4" x14ac:dyDescent="0.25">
      <c r="B15" s="9" t="s">
        <v>193</v>
      </c>
      <c r="C15" s="10" t="s">
        <v>131</v>
      </c>
      <c r="D15" s="17">
        <f>D8*VLOOKUP("Chi phí bảo trì hàng năm (% Capex phần cứng)",'2. Dữ Liệu Tham Chiếu'!$A$59:$D$65,2,FALSE)</f>
        <v>30099.375</v>
      </c>
    </row>
    <row r="16" spans="1:4" x14ac:dyDescent="0.25">
      <c r="B16" s="9" t="s">
        <v>194</v>
      </c>
      <c r="C16" s="10" t="s">
        <v>195</v>
      </c>
      <c r="D16" s="17">
        <f>'1. Thông Tin Đầu Vào'!G10*VLOOKUP('1. Thông Tin Đầu Vào'!G14,'2. Dữ Liệu Tham Chiếu'!$A$3:$G$6,7,FALSE)+('3. Tính Toán Sizing'!D33/'1. Thông Tin Đầu Vào'!G17)*VLOOKUP('1. Thông Tin Đầu Vào'!G17,'2. Dữ Liệu Tham Chiếu'!$A$10:$C$13,3,FALSE)+'3. Tính Toán Sizing'!D17*VLOOKUP('1. Thông Tin Đầu Vào'!G28,'2. Dữ Liệu Tham Chiếu'!$A$17:$H$20,8,FALSE)+'3. Tính Toán Sizing'!D11*VLOOKUP('1. Thông Tin Đầu Vào'!G26,'2. Dữ Liệu Tham Chiếu'!$A$24:$G$28,7,FALSE)+'1. Thông Tin Đầu Vào'!G10*'1. Thông Tin Đầu Vào'!G37*VLOOKUP('1. Thông Tin Đầu Vào'!G36,'2. Dữ Liệu Tham Chiếu'!$A$32:$D$35,4,FALSE)</f>
        <v>4236.75</v>
      </c>
    </row>
    <row r="17" spans="1:4" x14ac:dyDescent="0.25">
      <c r="B17" s="9" t="s">
        <v>196</v>
      </c>
      <c r="C17" s="10" t="s">
        <v>131</v>
      </c>
      <c r="D17" s="17">
        <f>(D16/1000)*24*365*VLOOKUP("Chi phí điện (Giá/kWh)",'2. Dữ Liệu Tham Chiếu'!$A$59:$D$65,2,FALSE)</f>
        <v>5567.0894999999991</v>
      </c>
    </row>
    <row r="18" spans="1:4" x14ac:dyDescent="0.25">
      <c r="B18" s="9" t="s">
        <v>197</v>
      </c>
      <c r="C18" s="10" t="s">
        <v>131</v>
      </c>
      <c r="D18" s="17">
        <f>D17*VLOOKUP("Chi phí làm mát (% chi phí điện)",'2. Dữ Liệu Tham Chiếu'!$A$59:$D$65,2,FALSE)</f>
        <v>1670.1268499999996</v>
      </c>
    </row>
    <row r="19" spans="1:4" x14ac:dyDescent="0.25">
      <c r="B19" s="9" t="s">
        <v>198</v>
      </c>
      <c r="C19" s="10" t="s">
        <v>131</v>
      </c>
      <c r="D19" s="18">
        <f>SUM(D15,D17,D18)</f>
        <v>37336.591350000002</v>
      </c>
    </row>
    <row r="21" spans="1:4" ht="15.75" x14ac:dyDescent="0.25">
      <c r="A21" s="27" t="s">
        <v>199</v>
      </c>
      <c r="B21" s="26"/>
      <c r="C21" s="26"/>
    </row>
    <row r="22" spans="1:4" x14ac:dyDescent="0.25">
      <c r="B22" s="9" t="s">
        <v>200</v>
      </c>
      <c r="C22" s="10" t="s">
        <v>131</v>
      </c>
      <c r="D22" s="18">
        <f>D12+(D19*VLOOKUP("Năm khấu hao (TCO)",'2. Dữ Liệu Tham Chiếu'!$A$59:$D$65,2,FALSE))</f>
        <v>481901.70675000001</v>
      </c>
    </row>
  </sheetData>
  <mergeCells count="3">
    <mergeCell ref="A1:C1"/>
    <mergeCell ref="A14:C14"/>
    <mergeCell ref="A21:C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A21" sqref="A21"/>
    </sheetView>
  </sheetViews>
  <sheetFormatPr defaultColWidth="8.85546875" defaultRowHeight="15" x14ac:dyDescent="0.25"/>
  <cols>
    <col min="1" max="1" width="35" customWidth="1"/>
    <col min="2" max="2" width="60" customWidth="1"/>
    <col min="3" max="3" width="15" customWidth="1"/>
    <col min="4" max="4" width="25" customWidth="1"/>
  </cols>
  <sheetData>
    <row r="1" spans="1:4" ht="18.75" x14ac:dyDescent="0.3">
      <c r="A1" s="28" t="s">
        <v>201</v>
      </c>
      <c r="B1" s="26"/>
      <c r="C1" s="26"/>
    </row>
    <row r="2" spans="1:4" x14ac:dyDescent="0.25">
      <c r="B2" s="9" t="s">
        <v>202</v>
      </c>
      <c r="C2" s="10" t="s">
        <v>203</v>
      </c>
      <c r="D2" s="14">
        <f>'1. Thông Tin Đầu Vào'!G10</f>
        <v>4</v>
      </c>
    </row>
    <row r="3" spans="1:4" x14ac:dyDescent="0.25">
      <c r="B3" s="9" t="s">
        <v>204</v>
      </c>
      <c r="C3" s="10" t="s">
        <v>41</v>
      </c>
      <c r="D3" s="14">
        <f>IF('1. Thông Tin Đầu Vào'!G20="Có",(('3. Tính Toán Sizing'!D7/(1+VLOOKUP("vSAN Metadata Overhead (%)",'2. Dữ Liệu Tham Chiếu'!A$59:D$65,2,FALSE)))/'3. Tính Toán Sizing'!D4)*(1-'1. Thông Tin Đầu Vào'!G21),'3. Tính Toán Sizing'!D2)</f>
        <v>31.999999999999996</v>
      </c>
    </row>
    <row r="4" spans="1:4" x14ac:dyDescent="0.25">
      <c r="B4" s="9" t="s">
        <v>205</v>
      </c>
      <c r="C4" s="10" t="s">
        <v>63</v>
      </c>
      <c r="D4" s="14">
        <f>'3. Tính Toán Sizing'!D20</f>
        <v>7714000</v>
      </c>
    </row>
    <row r="5" spans="1:4" x14ac:dyDescent="0.25">
      <c r="B5" s="9" t="s">
        <v>206</v>
      </c>
      <c r="C5" s="10" t="s">
        <v>66</v>
      </c>
      <c r="D5" s="14">
        <f>'3. Tính Toán Sizing'!D21</f>
        <v>140000</v>
      </c>
    </row>
    <row r="6" spans="1:4" x14ac:dyDescent="0.25">
      <c r="B6" s="9" t="s">
        <v>207</v>
      </c>
      <c r="C6" s="10" t="s">
        <v>131</v>
      </c>
      <c r="D6" s="14">
        <f>'4. Tổng Kết Chi Phí'!D12</f>
        <v>295218.75</v>
      </c>
    </row>
    <row r="7" spans="1:4" x14ac:dyDescent="0.25">
      <c r="B7" s="9" t="s">
        <v>208</v>
      </c>
      <c r="C7" s="10" t="s">
        <v>131</v>
      </c>
      <c r="D7" s="14">
        <f>'4. Tổng Kết Chi Phí'!D19</f>
        <v>37336.591350000002</v>
      </c>
    </row>
    <row r="8" spans="1:4" x14ac:dyDescent="0.25">
      <c r="B8" s="9" t="s">
        <v>200</v>
      </c>
      <c r="C8" s="10" t="s">
        <v>131</v>
      </c>
      <c r="D8" s="14">
        <f>'4. Tổng Kết Chi Phí'!D22</f>
        <v>481901.70675000001</v>
      </c>
    </row>
    <row r="9" spans="1:4" x14ac:dyDescent="0.25">
      <c r="B9" s="9" t="s">
        <v>209</v>
      </c>
      <c r="C9" s="10"/>
      <c r="D9" s="3" t="str">
        <f>'3. Tính Toán Sizing'!D23</f>
        <v>Đạt yêu cầu IOPS</v>
      </c>
    </row>
    <row r="10" spans="1:4" x14ac:dyDescent="0.25">
      <c r="B10" s="9" t="s">
        <v>210</v>
      </c>
      <c r="C10" s="10"/>
      <c r="D10" s="3" t="str">
        <f>'3. Tính Toán Sizing'!D24</f>
        <v>Đạt yêu cầu Throughput</v>
      </c>
    </row>
    <row r="12" spans="1:4" ht="18.75" x14ac:dyDescent="0.3">
      <c r="A12" s="28" t="s">
        <v>211</v>
      </c>
      <c r="B12" s="26"/>
      <c r="C12" s="26"/>
    </row>
    <row r="13" spans="1:4" x14ac:dyDescent="0.25">
      <c r="B13" s="9" t="s">
        <v>212</v>
      </c>
      <c r="C13" s="10"/>
      <c r="D13" s="3"/>
    </row>
    <row r="14" spans="1:4" x14ac:dyDescent="0.25">
      <c r="B14" s="9" t="s">
        <v>213</v>
      </c>
      <c r="C14" s="10"/>
      <c r="D14" s="3"/>
    </row>
    <row r="15" spans="1:4" x14ac:dyDescent="0.25">
      <c r="B15" s="9" t="s">
        <v>214</v>
      </c>
      <c r="C15" s="10"/>
      <c r="D15" s="3"/>
    </row>
    <row r="16" spans="1:4" x14ac:dyDescent="0.25">
      <c r="B16" s="9" t="s">
        <v>215</v>
      </c>
      <c r="C16" s="10"/>
      <c r="D16" s="3"/>
    </row>
    <row r="17" spans="2:4" x14ac:dyDescent="0.25">
      <c r="B17" s="9" t="s">
        <v>216</v>
      </c>
      <c r="C17" s="10"/>
      <c r="D17" s="3"/>
    </row>
  </sheetData>
  <mergeCells count="2">
    <mergeCell ref="A1:C1"/>
    <mergeCell ref="A12:C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83C-73C0-422D-8FD2-D2520297D260}">
  <dimension ref="A3:B16"/>
  <sheetViews>
    <sheetView workbookViewId="0">
      <selection activeCell="A21" sqref="A21"/>
    </sheetView>
  </sheetViews>
  <sheetFormatPr defaultRowHeight="15" x14ac:dyDescent="0.25"/>
  <cols>
    <col min="1" max="1" width="44.140625" bestFit="1" customWidth="1"/>
    <col min="2" max="2" width="12" bestFit="1" customWidth="1"/>
  </cols>
  <sheetData>
    <row r="3" spans="1:2" x14ac:dyDescent="0.25">
      <c r="A3" s="11" t="s">
        <v>217</v>
      </c>
      <c r="B3" t="s">
        <v>221</v>
      </c>
    </row>
    <row r="4" spans="1:2" x14ac:dyDescent="0.25">
      <c r="A4" s="12" t="s">
        <v>200</v>
      </c>
    </row>
    <row r="5" spans="1:2" x14ac:dyDescent="0.25">
      <c r="A5" s="13" t="s">
        <v>131</v>
      </c>
      <c r="B5" s="21">
        <v>472537.39256249997</v>
      </c>
    </row>
    <row r="6" spans="1:2" x14ac:dyDescent="0.25">
      <c r="A6" s="12" t="s">
        <v>207</v>
      </c>
    </row>
    <row r="7" spans="1:2" x14ac:dyDescent="0.25">
      <c r="A7" s="13" t="s">
        <v>131</v>
      </c>
      <c r="B7" s="20">
        <v>292017.1875</v>
      </c>
    </row>
    <row r="8" spans="1:2" x14ac:dyDescent="0.25">
      <c r="A8" s="12" t="s">
        <v>204</v>
      </c>
    </row>
    <row r="9" spans="1:2" x14ac:dyDescent="0.25">
      <c r="A9" s="13" t="s">
        <v>41</v>
      </c>
      <c r="B9" s="20">
        <v>31.999999999999996</v>
      </c>
    </row>
    <row r="10" spans="1:2" x14ac:dyDescent="0.25">
      <c r="A10" s="12" t="s">
        <v>205</v>
      </c>
    </row>
    <row r="11" spans="1:2" x14ac:dyDescent="0.25">
      <c r="A11" s="13" t="s">
        <v>63</v>
      </c>
      <c r="B11" s="20">
        <v>7714000</v>
      </c>
    </row>
    <row r="12" spans="1:2" x14ac:dyDescent="0.25">
      <c r="A12" s="12" t="s">
        <v>208</v>
      </c>
    </row>
    <row r="13" spans="1:2" x14ac:dyDescent="0.25">
      <c r="A13" s="13" t="s">
        <v>131</v>
      </c>
      <c r="B13" s="20">
        <v>36104.041012499998</v>
      </c>
    </row>
    <row r="14" spans="1:2" x14ac:dyDescent="0.25">
      <c r="A14" s="12" t="s">
        <v>206</v>
      </c>
    </row>
    <row r="15" spans="1:2" x14ac:dyDescent="0.25">
      <c r="A15" s="13" t="s">
        <v>66</v>
      </c>
      <c r="B15" s="20">
        <v>140000</v>
      </c>
    </row>
    <row r="16" spans="1:2" x14ac:dyDescent="0.25">
      <c r="A16" s="12" t="s">
        <v>218</v>
      </c>
      <c r="B16" s="19">
        <v>8654690.6210750006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J A h W 1 4 8 l 8 2 l A A A A 9 w A A A B I A H A B D b 2 5 m a W c v U G F j a 2 F n Z S 5 4 b W w g o h g A K K A U A A A A A A A A A A A A A A A A A A A A A A A A A A A A h Y 9 L D o I w G I S v Q r q n L z U a 8 l M W b s W Y m B C 3 T a 3 Q C M X Q 8 r i b C 4 / k F c Q o 6 s 7 l f P M t Z u 7 X G y R D V Q a d b p y p b Y w Y p i j Q V t V H Y / M Y t f 4 U r l A i Y C f V W e Y 6 G G X r o s E d Y 1 R 4 f 4 k I 6 f s e 9 z N c N z n h l D J y S D d 7 V e h K o o 9 s / s u h s c 5 L q z Q S k L 3 G C I 7 Z f I E Z 5 U t M g U w U U m O / B h 8 H P 9 s f C O u 2 9 G 2 j R W f C b A t k i k D e J 8 Q D U E s D B B Q A A g A I A I C Q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k C F b K I p H u A 4 A A A A R A A A A E w A c A E Z v c m 1 1 b G F z L 1 N l Y 3 R p b 2 4 x L m 0 g o h g A K K A U A A A A A A A A A A A A A A A A A A A A A A A A A A A A K 0 5 N L s n M z 1 M I h t C G 1 g B Q S w E C L Q A U A A I A C A C A k C F b X j y X z a U A A A D 3 A A A A E g A A A A A A A A A A A A A A A A A A A A A A Q 2 9 u Z m l n L 1 B h Y 2 t h Z 2 U u e G 1 s U E s B A i 0 A F A A C A A g A g J A h W w / K 6 a u k A A A A 6 Q A A A B M A A A A A A A A A A A A A A A A A 8 Q A A A F t D b 2 5 0 Z W 5 0 X 1 R 5 c G V z X S 5 4 b W x Q S w E C L Q A U A A I A C A C A k C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J p R m F P s Q E i V t D 3 i G 5 N J p g A A A A A C A A A A A A A Q Z g A A A A E A A C A A A A D D i L Q s 8 2 A L K r Z i F N 9 V j 1 L 7 x k e 6 o j W k b n W K a s F j S D 4 7 4 Q A A A A A O g A A A A A I A A C A A A A D a C i t z 6 z q / t V Z q 7 v p a U 4 w H h Z 9 y o p F S V B 9 a 8 K y C w u 8 b v F A A A A D B G i F h M + n i c / K x w 9 W Z w 2 q j Y 9 + t + 3 a L 7 m C L X E 8 6 a 0 K A L N x C y / V U K N s / 3 f o H l 1 Y Q R N A z 7 U K d 2 B f Q K m o L C p a B J B S K h / p T w r 5 B C w k 0 z x h Z j K 6 2 2 0 A A A A A m h p c R D 6 6 x W m y X F R k Y 1 f E m D v X 8 E n E B D S C X 0 F k j Q V m X V z c L 1 8 Y W a G r + / 4 B 2 z h y b C X Q V I E z M K c s L J k S 9 h Q R N q c 7 y < / D a t a M a s h u p > 
</file>

<file path=customXml/itemProps1.xml><?xml version="1.0" encoding="utf-8"?>
<ds:datastoreItem xmlns:ds="http://schemas.openxmlformats.org/officeDocument/2006/customXml" ds:itemID="{E7AE1C6B-EE5C-4D20-9DAD-2B6DC8DEE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6</vt:i4>
      </vt:variant>
      <vt:variant>
        <vt:lpstr>Phạm vi Có tên</vt:lpstr>
      </vt:variant>
      <vt:variant>
        <vt:i4>1</vt:i4>
      </vt:variant>
    </vt:vector>
  </HeadingPairs>
  <TitlesOfParts>
    <vt:vector size="7" baseType="lpstr">
      <vt:lpstr>1. Thông Tin Đầu Vào</vt:lpstr>
      <vt:lpstr>2. Dữ Liệu Tham Chiếu</vt:lpstr>
      <vt:lpstr>3. Tính Toán Sizing</vt:lpstr>
      <vt:lpstr>4. Tổng Kết Chi Phí</vt:lpstr>
      <vt:lpstr>5. Dashboard</vt:lpstr>
      <vt:lpstr>PivotChart-TCO-CAPEX-OPEX</vt:lpstr>
      <vt:lpstr>'2. Dữ Liệu Tham Chiếu'!RAM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vSAN Planning vs Deployment V8.X</dc:title>
  <dc:creator>openpyxl;Học viên: Nhựt Anh;Hiệu đính: PhD. Lê Toàn Thắng</dc:creator>
  <cp:keywords>vSAN Sizer via Excel</cp:keywords>
  <cp:lastModifiedBy>PhD. Le Toan Thang</cp:lastModifiedBy>
  <dcterms:created xsi:type="dcterms:W3CDTF">2025-08-27T08:07:06Z</dcterms:created>
  <dcterms:modified xsi:type="dcterms:W3CDTF">2025-09-02T06:37:02Z</dcterms:modified>
  <cp:category>Python AI and openpyxl</cp:category>
</cp:coreProperties>
</file>