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ianSolheim\excel-live-update\"/>
    </mc:Choice>
  </mc:AlternateContent>
  <xr:revisionPtr revIDLastSave="0" documentId="13_ncr:1_{C127B02B-FDD0-4979-8EEB-FD8450D7FF76}" xr6:coauthVersionLast="47" xr6:coauthVersionMax="47" xr10:uidLastSave="{00000000-0000-0000-0000-000000000000}"/>
  <bookViews>
    <workbookView xWindow="25200" yWindow="600" windowWidth="25440" windowHeight="15150" xr2:uid="{FF8D607B-7CFA-4C11-85DF-FC64F1A67AFD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97" i="1"/>
  <c r="B97" i="1"/>
  <c r="F81" i="1"/>
  <c r="B81" i="1"/>
  <c r="G68" i="1"/>
  <c r="B63" i="1"/>
  <c r="C48" i="1"/>
  <c r="C47" i="1"/>
  <c r="B47" i="1"/>
  <c r="D47" i="1" s="1"/>
  <c r="D46" i="1"/>
  <c r="C46" i="1" s="1"/>
  <c r="B46" i="1"/>
  <c r="D40" i="1"/>
  <c r="D39" i="1"/>
  <c r="C34" i="1"/>
  <c r="B34" i="1"/>
  <c r="D22" i="1"/>
  <c r="B21" i="1"/>
  <c r="D21" i="1" s="1"/>
  <c r="C18" i="1"/>
  <c r="B18" i="1"/>
  <c r="F15" i="1"/>
  <c r="E15" i="1"/>
  <c r="G15" i="1" s="1"/>
  <c r="H15" i="1" s="1"/>
  <c r="D15" i="1"/>
  <c r="C15" i="1"/>
  <c r="B15" i="1"/>
  <c r="K14" i="1"/>
  <c r="G14" i="1"/>
  <c r="H14" i="1" s="1"/>
  <c r="C29" i="1" s="1"/>
  <c r="K13" i="1"/>
  <c r="G13" i="1"/>
  <c r="H13" i="1" s="1"/>
  <c r="B29" i="1" s="1"/>
  <c r="D10" i="1"/>
  <c r="G65" i="1" s="1"/>
  <c r="C9" i="1"/>
  <c r="B8" i="1"/>
  <c r="B9" i="1" s="1"/>
  <c r="B10" i="1" s="1"/>
  <c r="G81" i="1" s="1"/>
  <c r="C7" i="1"/>
  <c r="C10" i="1" s="1"/>
  <c r="G97" i="1" s="1"/>
  <c r="B7" i="1"/>
  <c r="D6" i="1"/>
  <c r="C4" i="1"/>
  <c r="C5" i="1" s="1"/>
  <c r="B4" i="1"/>
  <c r="B5" i="1" s="1"/>
  <c r="E3" i="1"/>
  <c r="E2" i="1" s="1"/>
  <c r="D2" i="1"/>
  <c r="H81" i="1" l="1"/>
  <c r="G83" i="1"/>
  <c r="G82" i="1"/>
  <c r="G67" i="1"/>
  <c r="G66" i="1"/>
  <c r="G69" i="1" s="1"/>
  <c r="G99" i="1"/>
  <c r="G98" i="1"/>
  <c r="H97" i="1"/>
  <c r="C51" i="1"/>
  <c r="B53" i="1"/>
  <c r="C42" i="1"/>
  <c r="C41" i="1" s="1"/>
  <c r="B42" i="1"/>
  <c r="B44" i="1" s="1"/>
  <c r="C50" i="1"/>
  <c r="C49" i="1"/>
  <c r="C53" i="1"/>
  <c r="B98" i="1"/>
  <c r="D18" i="1"/>
  <c r="B23" i="1"/>
  <c r="D23" i="1" s="1"/>
  <c r="D50" i="1"/>
  <c r="J81" i="1"/>
  <c r="I81" i="1" s="1"/>
  <c r="B19" i="1"/>
  <c r="B48" i="1"/>
  <c r="G78" i="1"/>
  <c r="C20" i="1"/>
  <c r="C54" i="1"/>
  <c r="G71" i="1"/>
  <c r="G72" i="1" s="1"/>
  <c r="B82" i="1"/>
  <c r="C99" i="1"/>
  <c r="D4" i="1"/>
  <c r="D5" i="1" s="1"/>
  <c r="D8" i="1"/>
  <c r="D34" i="1"/>
  <c r="B65" i="1"/>
  <c r="J97" i="1"/>
  <c r="I97" i="1" s="1"/>
  <c r="B50" i="1"/>
  <c r="C52" i="1" l="1"/>
  <c r="C94" i="1"/>
  <c r="K15" i="1"/>
  <c r="D29" i="1"/>
  <c r="G100" i="1"/>
  <c r="G107" i="1"/>
  <c r="G110" i="1"/>
  <c r="D53" i="1"/>
  <c r="B54" i="1"/>
  <c r="D54" i="1" s="1"/>
  <c r="B51" i="1"/>
  <c r="D51" i="1" s="1"/>
  <c r="B24" i="1"/>
  <c r="D19" i="1"/>
  <c r="C43" i="1"/>
  <c r="C106" i="1"/>
  <c r="C107" i="1" s="1"/>
  <c r="C67" i="1"/>
  <c r="B41" i="1"/>
  <c r="D42" i="1"/>
  <c r="D20" i="1"/>
  <c r="C24" i="1"/>
  <c r="C97" i="1"/>
  <c r="G76" i="1"/>
  <c r="G70" i="1"/>
  <c r="C110" i="1"/>
  <c r="B66" i="1"/>
  <c r="B49" i="1"/>
  <c r="C55" i="1"/>
  <c r="C56" i="1" s="1"/>
  <c r="C44" i="1"/>
  <c r="B55" i="1" l="1"/>
  <c r="B56" i="1" s="1"/>
  <c r="D55" i="1"/>
  <c r="D56" i="1" s="1"/>
  <c r="D24" i="1"/>
  <c r="D25" i="1" s="1"/>
  <c r="D26" i="1" s="1"/>
  <c r="B68" i="1" s="1"/>
  <c r="B52" i="1"/>
  <c r="C100" i="1"/>
  <c r="G108" i="1"/>
  <c r="G102" i="1"/>
  <c r="G94" i="1"/>
  <c r="G84" i="1"/>
  <c r="D49" i="1"/>
  <c r="G91" i="1"/>
  <c r="G101" i="1"/>
  <c r="G103" i="1"/>
  <c r="B99" i="1"/>
  <c r="C25" i="1"/>
  <c r="C26" i="1" s="1"/>
  <c r="B100" i="1" s="1"/>
  <c r="C90" i="1"/>
  <c r="C91" i="1" s="1"/>
  <c r="D41" i="1"/>
  <c r="B43" i="1"/>
  <c r="D43" i="1" s="1"/>
  <c r="C68" i="1" s="1"/>
  <c r="C81" i="1"/>
  <c r="B83" i="1"/>
  <c r="B25" i="1"/>
  <c r="B90" i="1" s="1"/>
  <c r="C98" i="1"/>
  <c r="D97" i="1"/>
  <c r="E97" i="1"/>
  <c r="K97" i="1" s="1"/>
  <c r="L97" i="1" s="1"/>
  <c r="B67" i="1" l="1"/>
  <c r="E67" i="1" s="1"/>
  <c r="B106" i="1"/>
  <c r="B107" i="1" s="1"/>
  <c r="D100" i="1"/>
  <c r="B101" i="1"/>
  <c r="E100" i="1"/>
  <c r="G106" i="1"/>
  <c r="B91" i="1"/>
  <c r="E90" i="1"/>
  <c r="D90" i="1"/>
  <c r="D68" i="1"/>
  <c r="B69" i="1"/>
  <c r="E68" i="1"/>
  <c r="G74" i="1"/>
  <c r="J15" i="1"/>
  <c r="D30" i="1" s="1"/>
  <c r="I15" i="1"/>
  <c r="C82" i="1"/>
  <c r="D81" i="1"/>
  <c r="E81" i="1"/>
  <c r="K81" i="1" s="1"/>
  <c r="L81" i="1" s="1"/>
  <c r="G87" i="1"/>
  <c r="G88" i="1" s="1"/>
  <c r="G85" i="1"/>
  <c r="G86" i="1"/>
  <c r="G92" i="1"/>
  <c r="E98" i="1"/>
  <c r="D98" i="1"/>
  <c r="J14" i="1"/>
  <c r="C30" i="1" s="1"/>
  <c r="C101" i="1"/>
  <c r="I14" i="1"/>
  <c r="B74" i="1"/>
  <c r="B78" i="1" s="1"/>
  <c r="D52" i="1"/>
  <c r="G75" i="1"/>
  <c r="C83" i="1"/>
  <c r="E83" i="1" s="1"/>
  <c r="C84" i="1"/>
  <c r="B26" i="1"/>
  <c r="B84" i="1" s="1"/>
  <c r="B92" i="1" s="1"/>
  <c r="E99" i="1"/>
  <c r="D99" i="1"/>
  <c r="C74" i="1"/>
  <c r="C65" i="1"/>
  <c r="C108" i="1"/>
  <c r="C102" i="1" s="1"/>
  <c r="C103" i="1" s="1"/>
  <c r="C104" i="1" s="1"/>
  <c r="G104" i="1"/>
  <c r="D67" i="1" l="1"/>
  <c r="B108" i="1"/>
  <c r="D108" i="1" s="1"/>
  <c r="D106" i="1"/>
  <c r="C27" i="1"/>
  <c r="G90" i="1"/>
  <c r="K90" i="1" s="1"/>
  <c r="L90" i="1" s="1"/>
  <c r="E106" i="1"/>
  <c r="K106" i="1" s="1"/>
  <c r="L106" i="1" s="1"/>
  <c r="B110" i="1"/>
  <c r="D110" i="1" s="1"/>
  <c r="D83" i="1"/>
  <c r="B86" i="1"/>
  <c r="K83" i="1"/>
  <c r="L83" i="1" s="1"/>
  <c r="F83" i="1"/>
  <c r="H83" i="1" s="1"/>
  <c r="J83" i="1" s="1"/>
  <c r="I83" i="1" s="1"/>
  <c r="C76" i="1"/>
  <c r="C70" i="1" s="1"/>
  <c r="C71" i="1" s="1"/>
  <c r="C72" i="1" s="1"/>
  <c r="C66" i="1"/>
  <c r="E65" i="1"/>
  <c r="D65" i="1"/>
  <c r="C75" i="1"/>
  <c r="C78" i="1"/>
  <c r="D78" i="1" s="1"/>
  <c r="D44" i="1"/>
  <c r="C85" i="1"/>
  <c r="J13" i="1"/>
  <c r="B30" i="1" s="1"/>
  <c r="I13" i="1"/>
  <c r="K68" i="1"/>
  <c r="F68" i="1"/>
  <c r="D107" i="1"/>
  <c r="E107" i="1"/>
  <c r="F98" i="1"/>
  <c r="H98" i="1" s="1"/>
  <c r="J98" i="1" s="1"/>
  <c r="I98" i="1" s="1"/>
  <c r="K98" i="1"/>
  <c r="L98" i="1" s="1"/>
  <c r="E82" i="1"/>
  <c r="D82" i="1"/>
  <c r="B85" i="1"/>
  <c r="E84" i="1"/>
  <c r="D84" i="1"/>
  <c r="B27" i="1"/>
  <c r="B94" i="1"/>
  <c r="B75" i="1"/>
  <c r="E74" i="1"/>
  <c r="D74" i="1"/>
  <c r="B76" i="1"/>
  <c r="C92" i="1"/>
  <c r="C86" i="1" s="1"/>
  <c r="C87" i="1" s="1"/>
  <c r="C88" i="1" s="1"/>
  <c r="F90" i="1"/>
  <c r="K100" i="1"/>
  <c r="E101" i="1"/>
  <c r="C31" i="1" s="1"/>
  <c r="C32" i="1" s="1"/>
  <c r="F100" i="1"/>
  <c r="F99" i="1"/>
  <c r="H99" i="1" s="1"/>
  <c r="J99" i="1" s="1"/>
  <c r="I99" i="1" s="1"/>
  <c r="K99" i="1"/>
  <c r="L99" i="1" s="1"/>
  <c r="F67" i="1"/>
  <c r="H67" i="1" s="1"/>
  <c r="J67" i="1" s="1"/>
  <c r="I67" i="1" s="1"/>
  <c r="K67" i="1"/>
  <c r="L67" i="1" s="1"/>
  <c r="D27" i="1"/>
  <c r="E91" i="1"/>
  <c r="D91" i="1"/>
  <c r="D101" i="1"/>
  <c r="B102" i="1" l="1"/>
  <c r="E102" i="1" s="1"/>
  <c r="E108" i="1"/>
  <c r="F108" i="1" s="1"/>
  <c r="H108" i="1" s="1"/>
  <c r="J108" i="1" s="1"/>
  <c r="I108" i="1" s="1"/>
  <c r="F106" i="1"/>
  <c r="H106" i="1" s="1"/>
  <c r="J106" i="1" s="1"/>
  <c r="I106" i="1" s="1"/>
  <c r="H90" i="1"/>
  <c r="J90" i="1" s="1"/>
  <c r="I90" i="1" s="1"/>
  <c r="E110" i="1"/>
  <c r="K110" i="1" s="1"/>
  <c r="L110" i="1" s="1"/>
  <c r="D66" i="1"/>
  <c r="D69" i="1" s="1"/>
  <c r="E66" i="1"/>
  <c r="C69" i="1"/>
  <c r="E75" i="1"/>
  <c r="D75" i="1"/>
  <c r="D92" i="1"/>
  <c r="F101" i="1"/>
  <c r="H100" i="1"/>
  <c r="D85" i="1"/>
  <c r="L100" i="1"/>
  <c r="K101" i="1"/>
  <c r="E85" i="1"/>
  <c r="B31" i="1" s="1"/>
  <c r="B32" i="1" s="1"/>
  <c r="F84" i="1"/>
  <c r="K84" i="1"/>
  <c r="E92" i="1"/>
  <c r="E76" i="1"/>
  <c r="D76" i="1"/>
  <c r="B70" i="1"/>
  <c r="E78" i="1"/>
  <c r="F91" i="1"/>
  <c r="H91" i="1" s="1"/>
  <c r="J91" i="1" s="1"/>
  <c r="I91" i="1" s="1"/>
  <c r="K91" i="1"/>
  <c r="L91" i="1" s="1"/>
  <c r="L68" i="1"/>
  <c r="F82" i="1"/>
  <c r="H82" i="1" s="1"/>
  <c r="J82" i="1" s="1"/>
  <c r="I82" i="1" s="1"/>
  <c r="K82" i="1"/>
  <c r="L82" i="1" s="1"/>
  <c r="E94" i="1"/>
  <c r="D94" i="1"/>
  <c r="H68" i="1"/>
  <c r="K74" i="1"/>
  <c r="L74" i="1" s="1"/>
  <c r="F74" i="1"/>
  <c r="H74" i="1" s="1"/>
  <c r="J74" i="1" s="1"/>
  <c r="I74" i="1" s="1"/>
  <c r="F107" i="1"/>
  <c r="H107" i="1" s="1"/>
  <c r="J107" i="1" s="1"/>
  <c r="I107" i="1" s="1"/>
  <c r="K107" i="1"/>
  <c r="L107" i="1" s="1"/>
  <c r="K65" i="1"/>
  <c r="L65" i="1" s="1"/>
  <c r="F65" i="1"/>
  <c r="H65" i="1" s="1"/>
  <c r="J65" i="1" s="1"/>
  <c r="I65" i="1" s="1"/>
  <c r="B87" i="1"/>
  <c r="E86" i="1"/>
  <c r="D86" i="1"/>
  <c r="K108" i="1" l="1"/>
  <c r="L108" i="1" s="1"/>
  <c r="D102" i="1"/>
  <c r="B103" i="1"/>
  <c r="B104" i="1" s="1"/>
  <c r="F110" i="1"/>
  <c r="H110" i="1" s="1"/>
  <c r="J110" i="1" s="1"/>
  <c r="I110" i="1" s="1"/>
  <c r="F102" i="1"/>
  <c r="H102" i="1" s="1"/>
  <c r="J102" i="1" s="1"/>
  <c r="I102" i="1" s="1"/>
  <c r="K102" i="1"/>
  <c r="L102" i="1" s="1"/>
  <c r="E103" i="1"/>
  <c r="D103" i="1"/>
  <c r="D104" i="1" s="1"/>
  <c r="B71" i="1"/>
  <c r="E70" i="1"/>
  <c r="D70" i="1"/>
  <c r="K85" i="1"/>
  <c r="L84" i="1"/>
  <c r="F75" i="1"/>
  <c r="H75" i="1" s="1"/>
  <c r="J75" i="1" s="1"/>
  <c r="I75" i="1" s="1"/>
  <c r="K75" i="1"/>
  <c r="L75" i="1" s="1"/>
  <c r="F85" i="1"/>
  <c r="H84" i="1"/>
  <c r="J68" i="1"/>
  <c r="F76" i="1"/>
  <c r="H76" i="1" s="1"/>
  <c r="J76" i="1" s="1"/>
  <c r="I76" i="1" s="1"/>
  <c r="K76" i="1"/>
  <c r="L76" i="1" s="1"/>
  <c r="L101" i="1"/>
  <c r="K92" i="1"/>
  <c r="L92" i="1" s="1"/>
  <c r="F92" i="1"/>
  <c r="H92" i="1" s="1"/>
  <c r="J92" i="1" s="1"/>
  <c r="I92" i="1" s="1"/>
  <c r="F66" i="1"/>
  <c r="K66" i="1"/>
  <c r="E69" i="1"/>
  <c r="D31" i="1" s="1"/>
  <c r="D32" i="1" s="1"/>
  <c r="H101" i="1"/>
  <c r="J100" i="1"/>
  <c r="F86" i="1"/>
  <c r="H86" i="1" s="1"/>
  <c r="J86" i="1" s="1"/>
  <c r="I86" i="1" s="1"/>
  <c r="K86" i="1"/>
  <c r="L86" i="1" s="1"/>
  <c r="K78" i="1"/>
  <c r="L78" i="1" s="1"/>
  <c r="F78" i="1"/>
  <c r="H78" i="1" s="1"/>
  <c r="J78" i="1" s="1"/>
  <c r="I78" i="1" s="1"/>
  <c r="E87" i="1"/>
  <c r="D87" i="1"/>
  <c r="D88" i="1" s="1"/>
  <c r="B88" i="1"/>
  <c r="F94" i="1"/>
  <c r="H94" i="1" s="1"/>
  <c r="J94" i="1" s="1"/>
  <c r="I94" i="1" s="1"/>
  <c r="K94" i="1"/>
  <c r="L94" i="1" s="1"/>
  <c r="I68" i="1" l="1"/>
  <c r="E71" i="1"/>
  <c r="D71" i="1"/>
  <c r="D72" i="1" s="1"/>
  <c r="B72" i="1"/>
  <c r="F87" i="1"/>
  <c r="K87" i="1"/>
  <c r="E88" i="1"/>
  <c r="F70" i="1"/>
  <c r="H70" i="1" s="1"/>
  <c r="J70" i="1" s="1"/>
  <c r="I70" i="1" s="1"/>
  <c r="K70" i="1"/>
  <c r="L70" i="1" s="1"/>
  <c r="L66" i="1"/>
  <c r="L69" i="1" s="1"/>
  <c r="K69" i="1"/>
  <c r="H66" i="1"/>
  <c r="F69" i="1"/>
  <c r="L85" i="1"/>
  <c r="H85" i="1"/>
  <c r="J84" i="1"/>
  <c r="K103" i="1"/>
  <c r="F103" i="1"/>
  <c r="E104" i="1"/>
  <c r="I100" i="1"/>
  <c r="J101" i="1"/>
  <c r="H87" i="1" l="1"/>
  <c r="F88" i="1"/>
  <c r="H103" i="1"/>
  <c r="F104" i="1"/>
  <c r="J66" i="1"/>
  <c r="H69" i="1"/>
  <c r="L103" i="1"/>
  <c r="L104" i="1" s="1"/>
  <c r="K104" i="1"/>
  <c r="J85" i="1"/>
  <c r="I84" i="1"/>
  <c r="K71" i="1"/>
  <c r="F71" i="1"/>
  <c r="E72" i="1"/>
  <c r="I101" i="1"/>
  <c r="L87" i="1"/>
  <c r="L88" i="1" s="1"/>
  <c r="K88" i="1"/>
  <c r="H71" i="1" l="1"/>
  <c r="F72" i="1"/>
  <c r="I66" i="1"/>
  <c r="I69" i="1" s="1"/>
  <c r="J69" i="1"/>
  <c r="L71" i="1"/>
  <c r="L72" i="1" s="1"/>
  <c r="K72" i="1"/>
  <c r="I85" i="1"/>
  <c r="H104" i="1"/>
  <c r="J103" i="1"/>
  <c r="J87" i="1"/>
  <c r="H88" i="1"/>
  <c r="I87" i="1" l="1"/>
  <c r="I88" i="1" s="1"/>
  <c r="J88" i="1"/>
  <c r="I103" i="1"/>
  <c r="I104" i="1" s="1"/>
  <c r="J104" i="1"/>
  <c r="H72" i="1"/>
  <c r="J71" i="1"/>
  <c r="I71" i="1" l="1"/>
  <c r="I72" i="1" s="1"/>
  <c r="J72" i="1"/>
</calcChain>
</file>

<file path=xl/sharedStrings.xml><?xml version="1.0" encoding="utf-8"?>
<sst xmlns="http://schemas.openxmlformats.org/spreadsheetml/2006/main" count="147" uniqueCount="88">
  <si>
    <t>Budsjett - 2024</t>
  </si>
  <si>
    <t>Prosjekt</t>
  </si>
  <si>
    <t>Ettermarked</t>
  </si>
  <si>
    <t>Solheim og Larsen Klima AS</t>
  </si>
  <si>
    <t>Ant.Arb.dager</t>
  </si>
  <si>
    <t>Budsjett Salgsinntekter (3000-3999) - 2024</t>
  </si>
  <si>
    <t>Bruttomargin Variable Kostnader % (DG)</t>
  </si>
  <si>
    <t>Budsjett Dir.Innkjøp (4000-4999) - 2024</t>
  </si>
  <si>
    <t>Kalkyle Budsjett Bruttofortjeneste (DG)</t>
  </si>
  <si>
    <t>Avd. fordeling faste kostnader %</t>
  </si>
  <si>
    <t>Budsjett Personalkostnader - 2024</t>
  </si>
  <si>
    <t>Avd. fordeling Driftkostnaderkostnader %</t>
  </si>
  <si>
    <t>Budsjett Driftkostnader - 2024</t>
  </si>
  <si>
    <t>Kalkyle Budsjett Pers./Driftkostnader - 2024</t>
  </si>
  <si>
    <t xml:space="preserve">LEVERINGSGRAD </t>
  </si>
  <si>
    <t>RAPPORTUTSKRIFT FRA CORDEL</t>
  </si>
  <si>
    <t>Inntekter Periode</t>
  </si>
  <si>
    <t>Fakturert Periode</t>
  </si>
  <si>
    <t>Gjenstår å fakturere</t>
  </si>
  <si>
    <t>Direkte Innkjøp Periode</t>
  </si>
  <si>
    <t>Direkte Innkjøp Gjenstår</t>
  </si>
  <si>
    <t>DIREKTE INNKJØP I PERIODEN</t>
  </si>
  <si>
    <t xml:space="preserve"> KORRIGERT FOR MARKEDSSTØTTE</t>
  </si>
  <si>
    <t>FAKTURERT/LEVERT</t>
  </si>
  <si>
    <t>PROSJEKT</t>
  </si>
  <si>
    <t>ETTERMARKED</t>
  </si>
  <si>
    <t>SOLHEIM OG LARSEN KLIMA AS</t>
  </si>
  <si>
    <t xml:space="preserve">PERIODESTATUS </t>
  </si>
  <si>
    <t>Salgsinntekter (3000-3999) Periodestatus - 2024</t>
  </si>
  <si>
    <t>Fakturert Salgsinntekt 2024 ført til inntekt 2023 - Variabelt forskudd</t>
  </si>
  <si>
    <t>Fakturert Salgsinntekt 2024 ført til inntekt 2023 - Opptjent, Ikke fakturert times prosjekter</t>
  </si>
  <si>
    <t>Tilvirkningskontrakter, Innestående beløp - Balanse overført fra 2023</t>
  </si>
  <si>
    <t>Tilvirkningskontrakter, Innesående beløp - 2024</t>
  </si>
  <si>
    <t>Tilvirkningskontrakter, Periodisert Innesående beløp løpende gj. 2024</t>
  </si>
  <si>
    <t>Fakturert Salgsinntekt (3000) Periodestatus - 2024 (01.01.2024 - I DAG)</t>
  </si>
  <si>
    <t>Opptjent, ikke fakturert Salgsinntekt - Periodisert løpende gj.  2024 ført til inntekt I DAG</t>
  </si>
  <si>
    <t>Akkumulert Salgsinntekt (3000-3999) Periodestatus - 2024 (01.01.2024 - I DAG)</t>
  </si>
  <si>
    <t>Salgsinntekter (3000-3999) Prognose - 2024</t>
  </si>
  <si>
    <t>AVVIK FAKTURERT/LEVERT I DAG</t>
  </si>
  <si>
    <t>AVVIK FAKTURERT/LEVERT I DAG - KORRIGERT FOR MARKEDSSTØTTE</t>
  </si>
  <si>
    <t xml:space="preserve">AVVIK FAKTURERT/LEVERT BUDSJETT </t>
  </si>
  <si>
    <t>Varekostnader Dir.Innkjøp (4000-4999) Periodestatus - 2024</t>
  </si>
  <si>
    <t>Periodisering Varekostnader 2023 til Varekostnader 2024</t>
  </si>
  <si>
    <t>Periodisering Varekostnader 2024 til Varekostnader 2023</t>
  </si>
  <si>
    <t>Periodisering Varekostnader 2024 til Varekostnad 2025</t>
  </si>
  <si>
    <t>Periodisering Varekostnader 2025 til Varekostnad 2024</t>
  </si>
  <si>
    <t>Dir.Innkjøp Camfil</t>
  </si>
  <si>
    <t>Dir.Innkjøp Ventistål</t>
  </si>
  <si>
    <t>Korreksjon dir.innkjøp Periode - 2024</t>
  </si>
  <si>
    <t>Korreksjon dir.innkjøp prognose - 2024</t>
  </si>
  <si>
    <t>Varekostnader Dir.Innkjøp (4000-4999) Prognose - 2024</t>
  </si>
  <si>
    <t>Periodestatus Personalkostnader - 2024</t>
  </si>
  <si>
    <t>EKSTRAORDINARE BONUSFANFARE</t>
  </si>
  <si>
    <t>Periodestatus Driftskostnader - 2024</t>
  </si>
  <si>
    <t>Periodestatus Pers./Driftkostnader - 2024</t>
  </si>
  <si>
    <t>Avvik Personalkostnader - 2024</t>
  </si>
  <si>
    <t>Avvik Driftskostnader - 2024</t>
  </si>
  <si>
    <t>Pers./Driftkostnader Avvik Periode - 2024</t>
  </si>
  <si>
    <t>Personalkostnad Prognose - 2024</t>
  </si>
  <si>
    <t>Driftskostnad Prognose - 2024</t>
  </si>
  <si>
    <t>Pers./Driftskostnader Prognose - 2024</t>
  </si>
  <si>
    <t>Prognose Budsjettavvik - Pers./Driftskostnader</t>
  </si>
  <si>
    <t>Salgsinntekt</t>
  </si>
  <si>
    <t xml:space="preserve"> Materiell/Tjenester</t>
  </si>
  <si>
    <t>Avanse %</t>
  </si>
  <si>
    <t>Bruttomargin</t>
  </si>
  <si>
    <t>DG</t>
  </si>
  <si>
    <t>Pers./Drift Kost</t>
  </si>
  <si>
    <t>Nullpunktomsetning</t>
  </si>
  <si>
    <t>Omset..&lt;&gt; 0.pkt.</t>
  </si>
  <si>
    <t>Risikomargin</t>
  </si>
  <si>
    <t>Resultatmargin</t>
  </si>
  <si>
    <t>Resultat %</t>
  </si>
  <si>
    <t>Kalkyle Resultatbudsjett 2024</t>
  </si>
  <si>
    <t>Kalkyle Resultatbudsjett 2024 Periode (01.01.2024 - I dag)</t>
  </si>
  <si>
    <t>Fakturert Salgsinntekt - Variabelt forskudd ført til inntekt 2023</t>
  </si>
  <si>
    <t>Periodestatus 2024 (01.01.2024 - I dag) - Periodisert og Korrigert for Markedsstøtte</t>
  </si>
  <si>
    <t>Avvik Kalkyle Resultatbudsjett 2024/Periodestatus (01.01.2024 - I dag)</t>
  </si>
  <si>
    <t>ReKalkyle Resultatbudsjett 2024</t>
  </si>
  <si>
    <t>ReKalkyle Resultatbudsjett 2024 Periode (01.01.2024 - I dag)</t>
  </si>
  <si>
    <t>Avvik Rekalkylke Resultatbudsjett 2024/Periodestatus (01.01.2024 - I dag)</t>
  </si>
  <si>
    <t>Opparbeidet ordrereserve - Fakturert 2024 Periode (01.01.2024 - I dag)</t>
  </si>
  <si>
    <t>Prognose Opparbeidet ordrereserve for 2024 (I dag - 31.12.2024)</t>
  </si>
  <si>
    <t>Kalkyle Korrigert Prognoseavvik for restperiode (I dag - 31.12.24)</t>
  </si>
  <si>
    <t>Prognose Periodestatus for 2024 (01.01.2024 - 31.12.2024)</t>
  </si>
  <si>
    <t>0 Pkt./Enh</t>
  </si>
  <si>
    <t xml:space="preserve">ETTERMARKED </t>
  </si>
  <si>
    <t>Dekningspunkt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</si>
</sst>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r&quot;\ * #,##0.00_-;\-&quot;kr&quot;\ * #,##0.00_-;_-&quot;kr&quot;\ * &quot;-&quot;??_-;_-@_-"/>
    <numFmt numFmtId="164" formatCode="0.0\ %"/>
    <numFmt numFmtId="165" formatCode="0.0"/>
    <numFmt numFmtId="166" formatCode="_-&quot;kr&quot;\ * #,##0_-;\-&quot;kr&quot;\ * #,##0_-;_-&quot;kr&quot;\ * &quot;-&quot;??_-;_-@_-"/>
    <numFmt numFmtId="167" formatCode="_-&quot;kr&quot;\ * #,##0.000_-;\-&quot;kr&quot;\ * #,##0.000_-;_-&quot;kr&quot;\ * &quot;-&quot;??_-;_-@_-"/>
    <numFmt numFmtId="168" formatCode="0.000\ 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44" fontId="0" fillId="3" borderId="1" xfId="2" applyNumberFormat="1" applyFont="1" applyFill="1" applyBorder="1" applyAlignment="1">
      <alignment horizontal="center"/>
    </xf>
    <xf numFmtId="44" fontId="2" fillId="0" borderId="1" xfId="0" applyNumberFormat="1" applyFont="1" applyBorder="1"/>
    <xf numFmtId="0" fontId="0" fillId="0" borderId="2" xfId="0" applyBorder="1"/>
    <xf numFmtId="44" fontId="0" fillId="4" borderId="0" xfId="2" applyNumberFormat="1" applyFont="1" applyFill="1" applyBorder="1" applyAlignment="1">
      <alignment horizontal="center"/>
    </xf>
    <xf numFmtId="0" fontId="0" fillId="0" borderId="1" xfId="0" applyBorder="1"/>
    <xf numFmtId="164" fontId="0" fillId="3" borderId="1" xfId="2" applyNumberFormat="1" applyFont="1" applyFill="1" applyBorder="1"/>
    <xf numFmtId="164" fontId="0" fillId="0" borderId="1" xfId="2" applyNumberFormat="1" applyFont="1" applyBorder="1"/>
    <xf numFmtId="44" fontId="2" fillId="0" borderId="1" xfId="2" applyNumberFormat="1" applyFont="1" applyBorder="1"/>
    <xf numFmtId="44" fontId="2" fillId="0" borderId="0" xfId="2" applyNumberFormat="1" applyFont="1"/>
    <xf numFmtId="9" fontId="3" fillId="3" borderId="1" xfId="2" applyFont="1" applyFill="1" applyBorder="1" applyAlignment="1">
      <alignment horizontal="right"/>
    </xf>
    <xf numFmtId="9" fontId="2" fillId="4" borderId="1" xfId="0" applyNumberFormat="1" applyFont="1" applyFill="1" applyBorder="1"/>
    <xf numFmtId="9" fontId="2" fillId="0" borderId="0" xfId="2" applyFont="1"/>
    <xf numFmtId="44" fontId="3" fillId="3" borderId="1" xfId="0" applyNumberFormat="1" applyFont="1" applyFill="1" applyBorder="1"/>
    <xf numFmtId="9" fontId="1" fillId="3" borderId="1" xfId="2" applyFont="1" applyFill="1" applyBorder="1"/>
    <xf numFmtId="9" fontId="0" fillId="3" borderId="1" xfId="2" applyFont="1" applyFill="1" applyBorder="1"/>
    <xf numFmtId="9" fontId="3" fillId="4" borderId="1" xfId="2" applyFont="1" applyFill="1" applyBorder="1"/>
    <xf numFmtId="0" fontId="2" fillId="0" borderId="0" xfId="0" applyFont="1"/>
    <xf numFmtId="44" fontId="2" fillId="0" borderId="0" xfId="0" applyNumberFormat="1" applyFont="1"/>
    <xf numFmtId="44" fontId="0" fillId="0" borderId="0" xfId="0" applyNumberFormat="1"/>
    <xf numFmtId="0" fontId="2" fillId="3" borderId="1" xfId="0" applyFont="1" applyFill="1" applyBorder="1"/>
    <xf numFmtId="44" fontId="2" fillId="3" borderId="1" xfId="0" applyNumberFormat="1" applyFont="1" applyFill="1" applyBorder="1"/>
    <xf numFmtId="4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6" xfId="0" applyNumberFormat="1" applyFont="1" applyFill="1" applyBorder="1"/>
    <xf numFmtId="0" fontId="0" fillId="2" borderId="9" xfId="0" applyFill="1" applyBorder="1" applyAlignment="1">
      <alignment horizont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  <xf numFmtId="164" fontId="0" fillId="0" borderId="10" xfId="2" applyNumberFormat="1" applyFont="1" applyBorder="1" applyAlignment="1">
      <alignment horizontal="center"/>
    </xf>
    <xf numFmtId="44" fontId="0" fillId="0" borderId="10" xfId="0" applyNumberFormat="1" applyBorder="1"/>
    <xf numFmtId="164" fontId="0" fillId="0" borderId="1" xfId="2" applyNumberFormat="1" applyFon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wrapText="1"/>
    </xf>
    <xf numFmtId="0" fontId="2" fillId="2" borderId="1" xfId="0" applyFont="1" applyFill="1" applyBorder="1"/>
    <xf numFmtId="44" fontId="2" fillId="2" borderId="1" xfId="0" applyNumberFormat="1" applyFont="1" applyFill="1" applyBorder="1"/>
    <xf numFmtId="164" fontId="0" fillId="2" borderId="6" xfId="2" applyNumberFormat="1" applyFont="1" applyFill="1" applyBorder="1" applyAlignment="1">
      <alignment horizontal="center"/>
    </xf>
    <xf numFmtId="44" fontId="0" fillId="2" borderId="2" xfId="0" applyNumberFormat="1" applyFill="1" applyBorder="1"/>
    <xf numFmtId="44" fontId="2" fillId="4" borderId="0" xfId="0" applyNumberFormat="1" applyFont="1" applyFill="1"/>
    <xf numFmtId="44" fontId="0" fillId="4" borderId="0" xfId="0" applyNumberFormat="1" applyFill="1"/>
    <xf numFmtId="9" fontId="0" fillId="0" borderId="0" xfId="2" applyFont="1"/>
    <xf numFmtId="0" fontId="2" fillId="0" borderId="6" xfId="0" applyFont="1" applyBorder="1"/>
    <xf numFmtId="164" fontId="2" fillId="0" borderId="0" xfId="2" applyNumberFormat="1" applyFont="1"/>
    <xf numFmtId="44" fontId="2" fillId="0" borderId="0" xfId="2" applyNumberFormat="1" applyFont="1" applyFill="1" applyBorder="1"/>
    <xf numFmtId="44" fontId="0" fillId="3" borderId="1" xfId="0" applyNumberFormat="1" applyFill="1" applyBorder="1"/>
    <xf numFmtId="44" fontId="0" fillId="3" borderId="1" xfId="2" applyNumberFormat="1" applyFont="1" applyFill="1" applyBorder="1"/>
    <xf numFmtId="44" fontId="0" fillId="4" borderId="0" xfId="2" applyNumberFormat="1" applyFont="1" applyFill="1" applyBorder="1"/>
    <xf numFmtId="164" fontId="0" fillId="0" borderId="0" xfId="2" applyNumberFormat="1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2" fillId="4" borderId="1" xfId="0" applyNumberFormat="1" applyFont="1" applyFill="1" applyBorder="1"/>
    <xf numFmtId="44" fontId="2" fillId="2" borderId="1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4" fillId="4" borderId="6" xfId="0" applyNumberFormat="1" applyFont="1" applyFill="1" applyBorder="1"/>
    <xf numFmtId="44" fontId="2" fillId="0" borderId="10" xfId="0" applyNumberFormat="1" applyFont="1" applyBorder="1"/>
    <xf numFmtId="44" fontId="0" fillId="0" borderId="2" xfId="0" applyNumberFormat="1" applyBorder="1" applyAlignment="1">
      <alignment horizontal="center"/>
    </xf>
    <xf numFmtId="44" fontId="4" fillId="4" borderId="11" xfId="0" applyNumberFormat="1" applyFont="1" applyFill="1" applyBorder="1"/>
    <xf numFmtId="44" fontId="2" fillId="0" borderId="10" xfId="1" applyFont="1" applyBorder="1"/>
    <xf numFmtId="44" fontId="2" fillId="0" borderId="12" xfId="0" applyNumberFormat="1" applyFont="1" applyBorder="1"/>
    <xf numFmtId="44" fontId="2" fillId="4" borderId="12" xfId="2" applyNumberFormat="1" applyFont="1" applyFill="1" applyBorder="1" applyAlignment="1">
      <alignment vertical="center"/>
    </xf>
    <xf numFmtId="44" fontId="2" fillId="4" borderId="12" xfId="2" applyNumberFormat="1" applyFont="1" applyFill="1" applyBorder="1"/>
    <xf numFmtId="164" fontId="2" fillId="4" borderId="10" xfId="2" applyNumberFormat="1" applyFont="1" applyFill="1" applyBorder="1"/>
    <xf numFmtId="0" fontId="0" fillId="2" borderId="1" xfId="0" applyFill="1" applyBorder="1"/>
    <xf numFmtId="44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4" fontId="0" fillId="3" borderId="0" xfId="0" applyNumberFormat="1" applyFill="1"/>
    <xf numFmtId="44" fontId="0" fillId="4" borderId="1" xfId="2" applyNumberFormat="1" applyFont="1" applyFill="1" applyBorder="1"/>
    <xf numFmtId="44" fontId="0" fillId="3" borderId="1" xfId="1" applyFont="1" applyFill="1" applyBorder="1"/>
    <xf numFmtId="44" fontId="0" fillId="4" borderId="1" xfId="1" applyFont="1" applyFill="1" applyBorder="1"/>
    <xf numFmtId="44" fontId="0" fillId="4" borderId="0" xfId="1" applyFont="1" applyFill="1" applyBorder="1"/>
    <xf numFmtId="44" fontId="0" fillId="3" borderId="12" xfId="1" applyFont="1" applyFill="1" applyBorder="1"/>
    <xf numFmtId="165" fontId="0" fillId="0" borderId="0" xfId="0" applyNumberFormat="1" applyAlignment="1">
      <alignment horizontal="center"/>
    </xf>
    <xf numFmtId="165" fontId="0" fillId="0" borderId="0" xfId="0" applyNumberFormat="1"/>
    <xf numFmtId="44" fontId="0" fillId="4" borderId="1" xfId="0" applyNumberFormat="1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44" fontId="0" fillId="0" borderId="1" xfId="2" applyNumberFormat="1" applyFont="1" applyBorder="1"/>
    <xf numFmtId="44" fontId="0" fillId="0" borderId="0" xfId="2" applyNumberFormat="1" applyFont="1" applyBorder="1"/>
    <xf numFmtId="2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4" fontId="0" fillId="0" borderId="0" xfId="0" applyNumberFormat="1"/>
    <xf numFmtId="14" fontId="5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4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4" fontId="6" fillId="5" borderId="1" xfId="0" applyNumberFormat="1" applyFont="1" applyFill="1" applyBorder="1" applyAlignment="1">
      <alignment horizontal="left"/>
    </xf>
    <xf numFmtId="44" fontId="7" fillId="0" borderId="1" xfId="0" applyNumberFormat="1" applyFont="1" applyBorder="1" applyAlignment="1">
      <alignment vertical="center"/>
    </xf>
    <xf numFmtId="9" fontId="7" fillId="0" borderId="6" xfId="2" applyFont="1" applyBorder="1" applyAlignment="1">
      <alignment horizontal="center" vertical="center"/>
    </xf>
    <xf numFmtId="44" fontId="7" fillId="7" borderId="3" xfId="0" applyNumberFormat="1" applyFont="1" applyFill="1" applyBorder="1" applyAlignment="1">
      <alignment vertical="center"/>
    </xf>
    <xf numFmtId="164" fontId="8" fillId="7" borderId="12" xfId="2" applyNumberFormat="1" applyFont="1" applyFill="1" applyBorder="1" applyAlignment="1">
      <alignment horizontal="center" vertical="center"/>
    </xf>
    <xf numFmtId="44" fontId="7" fillId="0" borderId="1" xfId="2" applyNumberFormat="1" applyFont="1" applyBorder="1" applyAlignment="1">
      <alignment vertical="center"/>
    </xf>
    <xf numFmtId="10" fontId="8" fillId="0" borderId="1" xfId="2" applyNumberFormat="1" applyFont="1" applyBorder="1" applyAlignment="1">
      <alignment horizontal="center" vertical="center"/>
    </xf>
    <xf numFmtId="44" fontId="7" fillId="4" borderId="3" xfId="0" applyNumberFormat="1" applyFont="1" applyFill="1" applyBorder="1" applyAlignment="1">
      <alignment vertical="center"/>
    </xf>
    <xf numFmtId="164" fontId="8" fillId="4" borderId="12" xfId="2" applyNumberFormat="1" applyFont="1" applyFill="1" applyBorder="1" applyAlignment="1">
      <alignment horizontal="center" vertical="center"/>
    </xf>
    <xf numFmtId="44" fontId="9" fillId="5" borderId="1" xfId="0" applyNumberFormat="1" applyFont="1" applyFill="1" applyBorder="1" applyAlignment="1">
      <alignment horizontal="left"/>
    </xf>
    <xf numFmtId="44" fontId="9" fillId="5" borderId="1" xfId="2" applyNumberFormat="1" applyFont="1" applyFill="1" applyBorder="1" applyAlignment="1">
      <alignment horizontal="center"/>
    </xf>
    <xf numFmtId="44" fontId="8" fillId="0" borderId="1" xfId="0" applyNumberFormat="1" applyFont="1" applyBorder="1" applyAlignment="1">
      <alignment vertical="center"/>
    </xf>
    <xf numFmtId="9" fontId="8" fillId="0" borderId="6" xfId="2" applyFont="1" applyBorder="1" applyAlignment="1">
      <alignment horizontal="center" vertical="center"/>
    </xf>
    <xf numFmtId="44" fontId="2" fillId="7" borderId="3" xfId="1" applyFont="1" applyFill="1" applyBorder="1"/>
    <xf numFmtId="164" fontId="2" fillId="0" borderId="1" xfId="2" applyNumberFormat="1" applyFont="1" applyBorder="1" applyAlignment="1">
      <alignment horizontal="center"/>
    </xf>
    <xf numFmtId="44" fontId="8" fillId="0" borderId="1" xfId="2" applyNumberFormat="1" applyFont="1" applyBorder="1" applyAlignment="1">
      <alignment vertical="center"/>
    </xf>
    <xf numFmtId="164" fontId="9" fillId="0" borderId="1" xfId="2" applyNumberFormat="1" applyFont="1" applyFill="1" applyBorder="1" applyAlignment="1">
      <alignment horizontal="center"/>
    </xf>
    <xf numFmtId="0" fontId="0" fillId="6" borderId="1" xfId="0" applyFill="1" applyBorder="1"/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4" fontId="9" fillId="5" borderId="1" xfId="0" applyNumberFormat="1" applyFont="1" applyFill="1" applyBorder="1" applyAlignment="1">
      <alignment horizontal="center" vertical="top"/>
    </xf>
    <xf numFmtId="44" fontId="9" fillId="4" borderId="1" xfId="0" applyNumberFormat="1" applyFont="1" applyFill="1" applyBorder="1"/>
    <xf numFmtId="9" fontId="8" fillId="0" borderId="1" xfId="2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44" fontId="6" fillId="8" borderId="1" xfId="0" applyNumberFormat="1" applyFont="1" applyFill="1" applyBorder="1"/>
    <xf numFmtId="9" fontId="0" fillId="0" borderId="6" xfId="2" applyFont="1" applyBorder="1" applyAlignment="1">
      <alignment horizontal="center"/>
    </xf>
    <xf numFmtId="44" fontId="0" fillId="0" borderId="6" xfId="0" applyNumberFormat="1" applyBorder="1"/>
    <xf numFmtId="44" fontId="7" fillId="0" borderId="1" xfId="0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44" fontId="6" fillId="0" borderId="1" xfId="0" applyNumberFormat="1" applyFont="1" applyBorder="1"/>
    <xf numFmtId="164" fontId="6" fillId="0" borderId="1" xfId="2" applyNumberFormat="1" applyFont="1" applyFill="1" applyBorder="1" applyAlignment="1">
      <alignment horizontal="center"/>
    </xf>
    <xf numFmtId="44" fontId="7" fillId="0" borderId="6" xfId="0" applyNumberFormat="1" applyFont="1" applyBorder="1" applyAlignment="1">
      <alignment vertical="center"/>
    </xf>
    <xf numFmtId="44" fontId="6" fillId="8" borderId="1" xfId="0" applyNumberFormat="1" applyFont="1" applyFill="1" applyBorder="1" applyAlignment="1">
      <alignment horizontal="left"/>
    </xf>
    <xf numFmtId="44" fontId="9" fillId="5" borderId="1" xfId="0" applyNumberFormat="1" applyFont="1" applyFill="1" applyBorder="1" applyAlignment="1">
      <alignment horizontal="center"/>
    </xf>
    <xf numFmtId="44" fontId="9" fillId="0" borderId="1" xfId="1" applyFont="1" applyFill="1" applyBorder="1"/>
    <xf numFmtId="10" fontId="0" fillId="0" borderId="0" xfId="2" applyNumberFormat="1" applyFon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6" fillId="9" borderId="1" xfId="0" applyFont="1" applyFill="1" applyBorder="1" applyAlignment="1">
      <alignment horizontal="center"/>
    </xf>
    <xf numFmtId="44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44" fontId="6" fillId="9" borderId="1" xfId="0" applyNumberFormat="1" applyFont="1" applyFill="1" applyBorder="1" applyAlignment="1">
      <alignment horizontal="left"/>
    </xf>
    <xf numFmtId="44" fontId="0" fillId="0" borderId="1" xfId="0" applyNumberFormat="1" applyBorder="1" applyAlignment="1">
      <alignment vertical="center"/>
    </xf>
    <xf numFmtId="44" fontId="9" fillId="9" borderId="1" xfId="0" applyNumberFormat="1" applyFont="1" applyFill="1" applyBorder="1" applyAlignment="1">
      <alignment horizontal="left"/>
    </xf>
    <xf numFmtId="44" fontId="9" fillId="9" borderId="1" xfId="2" applyNumberFormat="1" applyFont="1" applyFill="1" applyBorder="1" applyAlignment="1">
      <alignment horizontal="center"/>
    </xf>
    <xf numFmtId="44" fontId="9" fillId="0" borderId="1" xfId="0" applyNumberFormat="1" applyFont="1" applyBorder="1"/>
    <xf numFmtId="44" fontId="2" fillId="0" borderId="1" xfId="0" applyNumberFormat="1" applyFont="1" applyBorder="1" applyAlignment="1">
      <alignment vertical="center"/>
    </xf>
    <xf numFmtId="0" fontId="0" fillId="10" borderId="1" xfId="0" applyFill="1" applyBorder="1"/>
    <xf numFmtId="9" fontId="0" fillId="0" borderId="1" xfId="0" applyNumberForma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 vertical="top"/>
    </xf>
    <xf numFmtId="44" fontId="6" fillId="4" borderId="1" xfId="0" applyNumberFormat="1" applyFont="1" applyFill="1" applyBorder="1"/>
    <xf numFmtId="9" fontId="7" fillId="4" borderId="1" xfId="2" applyFont="1" applyFill="1" applyBorder="1" applyAlignment="1">
      <alignment horizontal="center" vertical="center"/>
    </xf>
    <xf numFmtId="44" fontId="7" fillId="4" borderId="1" xfId="0" applyNumberFormat="1" applyFont="1" applyFill="1" applyBorder="1" applyAlignment="1">
      <alignment vertical="center"/>
    </xf>
    <xf numFmtId="164" fontId="9" fillId="4" borderId="1" xfId="2" applyNumberFormat="1" applyFont="1" applyFill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44" fontId="0" fillId="4" borderId="1" xfId="0" applyNumberFormat="1" applyFill="1" applyBorder="1" applyAlignment="1">
      <alignment vertical="center"/>
    </xf>
    <xf numFmtId="164" fontId="8" fillId="4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/>
    </xf>
    <xf numFmtId="168" fontId="8" fillId="0" borderId="1" xfId="2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44" fontId="6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44" fontId="6" fillId="11" borderId="1" xfId="0" applyNumberFormat="1" applyFont="1" applyFill="1" applyBorder="1" applyAlignment="1">
      <alignment horizontal="left"/>
    </xf>
    <xf numFmtId="44" fontId="6" fillId="0" borderId="1" xfId="1" applyFont="1" applyFill="1" applyBorder="1"/>
    <xf numFmtId="44" fontId="9" fillId="11" borderId="1" xfId="0" applyNumberFormat="1" applyFont="1" applyFill="1" applyBorder="1" applyAlignment="1">
      <alignment horizontal="left"/>
    </xf>
    <xf numFmtId="44" fontId="9" fillId="11" borderId="1" xfId="2" applyNumberFormat="1" applyFont="1" applyFill="1" applyBorder="1" applyAlignment="1">
      <alignment horizontal="center"/>
    </xf>
    <xf numFmtId="0" fontId="0" fillId="12" borderId="1" xfId="0" applyFill="1" applyBorder="1"/>
    <xf numFmtId="44" fontId="9" fillId="13" borderId="1" xfId="0" applyNumberFormat="1" applyFont="1" applyFill="1" applyBorder="1" applyAlignment="1">
      <alignment horizontal="center" vertical="top"/>
    </xf>
    <xf numFmtId="9" fontId="8" fillId="4" borderId="1" xfId="2" applyFont="1" applyFill="1" applyBorder="1" applyAlignment="1">
      <alignment horizontal="center" vertical="center"/>
    </xf>
    <xf numFmtId="44" fontId="8" fillId="4" borderId="1" xfId="0" applyNumberFormat="1" applyFont="1" applyFill="1" applyBorder="1" applyAlignment="1">
      <alignment vertical="center"/>
    </xf>
    <xf numFmtId="164" fontId="2" fillId="4" borderId="1" xfId="2" applyNumberFormat="1" applyFont="1" applyFill="1" applyBorder="1" applyAlignment="1">
      <alignment horizontal="center"/>
    </xf>
    <xf numFmtId="44" fontId="2" fillId="4" borderId="1" xfId="0" applyNumberFormat="1" applyFont="1" applyFill="1" applyBorder="1" applyAlignment="1">
      <alignment vertical="center"/>
    </xf>
    <xf numFmtId="44" fontId="6" fillId="13" borderId="1" xfId="0" applyNumberFormat="1" applyFont="1" applyFill="1" applyBorder="1" applyAlignment="1">
      <alignment horizontal="left"/>
    </xf>
    <xf numFmtId="44" fontId="6" fillId="0" borderId="1" xfId="0" applyNumberFormat="1" applyFont="1" applyBorder="1" applyAlignment="1">
      <alignment horizontal="left"/>
    </xf>
    <xf numFmtId="44" fontId="7" fillId="0" borderId="1" xfId="0" applyNumberFormat="1" applyFont="1" applyBorder="1" applyAlignment="1">
      <alignment horizontal="left" vertical="center"/>
    </xf>
    <xf numFmtId="44" fontId="0" fillId="0" borderId="1" xfId="0" applyNumberFormat="1" applyBorder="1" applyAlignment="1">
      <alignment horizontal="left" vertical="center"/>
    </xf>
    <xf numFmtId="9" fontId="7" fillId="0" borderId="1" xfId="2" applyFont="1" applyBorder="1" applyAlignment="1">
      <alignment horizontal="left" vertical="center"/>
    </xf>
    <xf numFmtId="44" fontId="9" fillId="11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3">
    <cellStyle name="Normal" xfId="0" builtinId="0"/>
    <cellStyle name="Prosent" xfId="2" builtinId="5"/>
    <cellStyle name="Valuta" xfId="1" builtinId="4"/>
  </cellStyles>
  <dxfs count="136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lklima-my.sharepoint.com/personal/stian_slk_no/Documents/SLK%20AS/BUDSJETT%20SERVICE/Budsjett-Bruttomargin_test.xlsx" TargetMode="External"/><Relationship Id="rId1" Type="http://schemas.openxmlformats.org/officeDocument/2006/relationships/externalLinkPath" Target="https://slklima-my.sharepoint.com/personal/stian_slk_no/Documents/SLK%20AS/BUDSJETT%20SERVICE/Budsjett-Bruttomargi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K montasje på rammeavtale eks"/>
      <sheetName val="Ark1"/>
      <sheetName val="ROY"/>
      <sheetName val="SOLHEIM OG LARSEN KLIMA AS"/>
      <sheetName val="Ark3"/>
      <sheetName val="Ark2"/>
      <sheetName val="14.08.2024"/>
      <sheetName val="Jørgen"/>
      <sheetName val="I DAG"/>
      <sheetName val="Ark5"/>
      <sheetName val="Ark4"/>
      <sheetName val="03.06.2024"/>
      <sheetName val="1.Kvartal"/>
      <sheetName val="2.Kvartal"/>
      <sheetName val="3.Kvartal"/>
      <sheetName val="4.Kvartal"/>
      <sheetName val="10.05.2024"/>
      <sheetName val="01.05.2024"/>
      <sheetName val="22.04.2024"/>
      <sheetName val="13.03.2024"/>
      <sheetName val="04.03.2024"/>
      <sheetName val="28.02.2024"/>
      <sheetName val="13.02.2024"/>
      <sheetName val="03.02.2024"/>
      <sheetName val="Ark6"/>
      <sheetName val="Ark7"/>
    </sheetNames>
    <sheetDataSet>
      <sheetData sheetId="0"/>
      <sheetData sheetId="1"/>
      <sheetData sheetId="2"/>
      <sheetData sheetId="3">
        <row r="19">
          <cell r="L19">
            <v>5930019.3599999994</v>
          </cell>
        </row>
        <row r="21">
          <cell r="L21">
            <v>1992180.9960000003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EF70-66A6-4BB6-8AB5-AAB78F5B3D1D}">
  <dimension ref="A1:L110"/>
  <sheetViews>
    <sheetView tabSelected="1" workbookViewId="0">
      <selection activeCell="E6" sqref="E6"/>
    </sheetView>
  </sheetViews>
  <sheetFormatPr baseColWidth="10" defaultRowHeight="15" x14ac:dyDescent="0.25"/>
  <cols>
    <col min="1" max="1" width="80.5703125" bestFit="1" customWidth="1"/>
    <col min="2" max="2" width="18.28515625" bestFit="1" customWidth="1"/>
    <col min="3" max="3" width="19" bestFit="1" customWidth="1"/>
    <col min="4" max="4" width="27.42578125" bestFit="1" customWidth="1"/>
    <col min="5" max="5" width="24" bestFit="1" customWidth="1"/>
    <col min="6" max="6" width="24.7109375" bestFit="1" customWidth="1"/>
    <col min="7" max="7" width="16.140625" bestFit="1" customWidth="1"/>
    <col min="8" max="8" width="19.42578125" bestFit="1" customWidth="1"/>
    <col min="9" max="9" width="15.42578125" bestFit="1" customWidth="1"/>
    <col min="10" max="10" width="17.140625" bestFit="1" customWidth="1"/>
    <col min="11" max="11" width="17.85546875" bestFit="1" customWidth="1"/>
    <col min="12" max="12" width="10.2851562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5"/>
      <c r="H1" s="6"/>
      <c r="I1" s="7"/>
      <c r="L1" s="7"/>
    </row>
    <row r="2" spans="1:12" x14ac:dyDescent="0.25">
      <c r="A2" s="8" t="s">
        <v>5</v>
      </c>
      <c r="B2" s="9">
        <v>75000000</v>
      </c>
      <c r="C2" s="9">
        <v>90000000</v>
      </c>
      <c r="D2" s="10">
        <f>SUM(B2:C2)</f>
        <v>165000000</v>
      </c>
      <c r="E2" s="11">
        <f ca="1">IF(NETWORKDAYS(DATE(2024,1,1),TODAY())&lt;E3,NETWORKDAYS(DATE(2024,1,1),TODAY()),E3)</f>
        <v>215</v>
      </c>
      <c r="F2" s="12"/>
      <c r="I2" s="7"/>
      <c r="L2" s="7"/>
    </row>
    <row r="3" spans="1:12" x14ac:dyDescent="0.25">
      <c r="A3" s="13" t="s">
        <v>6</v>
      </c>
      <c r="B3" s="14">
        <v>0.316</v>
      </c>
      <c r="C3" s="14">
        <v>0.39</v>
      </c>
      <c r="D3" s="15">
        <f>D5/D2</f>
        <v>0.35636363636363638</v>
      </c>
      <c r="E3" s="11">
        <f>NETWORKDAYS(DATE(2024,1,1),DATE(2024,12,31))</f>
        <v>262</v>
      </c>
      <c r="I3" s="7"/>
      <c r="L3" s="7"/>
    </row>
    <row r="4" spans="1:12" x14ac:dyDescent="0.25">
      <c r="A4" s="8" t="s">
        <v>7</v>
      </c>
      <c r="B4" s="16">
        <f>B2-(B2*B3)</f>
        <v>51300000</v>
      </c>
      <c r="C4" s="16">
        <f>C2-(C2*C3)</f>
        <v>54900000</v>
      </c>
      <c r="D4" s="10">
        <f>SUM(B4:C4)</f>
        <v>106200000</v>
      </c>
      <c r="E4" s="17"/>
      <c r="I4" s="7"/>
    </row>
    <row r="5" spans="1:12" x14ac:dyDescent="0.25">
      <c r="A5" s="8" t="s">
        <v>8</v>
      </c>
      <c r="B5" s="16">
        <f>B2-B4</f>
        <v>23700000</v>
      </c>
      <c r="C5" s="16">
        <f>C2-C4</f>
        <v>35100000</v>
      </c>
      <c r="D5" s="16">
        <f>D2-D4</f>
        <v>58800000</v>
      </c>
      <c r="E5" s="17"/>
      <c r="I5" s="7"/>
      <c r="L5" s="7"/>
    </row>
    <row r="6" spans="1:12" x14ac:dyDescent="0.25">
      <c r="A6" s="13" t="s">
        <v>9</v>
      </c>
      <c r="B6" s="18">
        <v>0.37</v>
      </c>
      <c r="C6" s="18">
        <v>0.63</v>
      </c>
      <c r="D6" s="19">
        <f>SUM(B6:C6)</f>
        <v>1</v>
      </c>
      <c r="E6" s="20"/>
      <c r="I6" s="7"/>
      <c r="L6" s="7"/>
    </row>
    <row r="7" spans="1:12" x14ac:dyDescent="0.25">
      <c r="A7" s="8" t="s">
        <v>10</v>
      </c>
      <c r="B7" s="10">
        <f>(D7*B6)</f>
        <v>16120303.93</v>
      </c>
      <c r="C7" s="10">
        <f>(D7*C6)</f>
        <v>27448085.07</v>
      </c>
      <c r="D7" s="21">
        <v>43568389</v>
      </c>
      <c r="E7" s="17"/>
      <c r="I7" s="7"/>
      <c r="L7" s="7"/>
    </row>
    <row r="8" spans="1:12" x14ac:dyDescent="0.25">
      <c r="A8" s="13" t="s">
        <v>11</v>
      </c>
      <c r="B8" s="22">
        <f>100%-C8</f>
        <v>0.38800000000000001</v>
      </c>
      <c r="C8" s="23">
        <v>0.61199999999999999</v>
      </c>
      <c r="D8" s="24">
        <f>B8+C8</f>
        <v>1</v>
      </c>
      <c r="E8" s="17"/>
      <c r="I8" s="7"/>
      <c r="L8" s="7"/>
    </row>
    <row r="9" spans="1:12" x14ac:dyDescent="0.25">
      <c r="A9" s="8" t="s">
        <v>12</v>
      </c>
      <c r="B9" s="10">
        <f>D9*B8</f>
        <v>5978675.7039999999</v>
      </c>
      <c r="C9" s="10">
        <f>D9*C8</f>
        <v>9430282.2960000001</v>
      </c>
      <c r="D9" s="21">
        <v>15408958</v>
      </c>
      <c r="E9" s="17"/>
      <c r="I9" s="7"/>
      <c r="L9" s="7"/>
    </row>
    <row r="10" spans="1:12" x14ac:dyDescent="0.25">
      <c r="A10" s="8" t="s">
        <v>13</v>
      </c>
      <c r="B10" s="10">
        <f>B7+B9</f>
        <v>22098979.634</v>
      </c>
      <c r="C10" s="10">
        <f>C7+C9</f>
        <v>36878367.365999997</v>
      </c>
      <c r="D10" s="10">
        <f>D7+D9</f>
        <v>58977347</v>
      </c>
      <c r="E10" s="17"/>
      <c r="I10" s="7"/>
      <c r="L10" s="7"/>
    </row>
    <row r="11" spans="1:12" x14ac:dyDescent="0.25">
      <c r="A11" s="25"/>
      <c r="B11" s="26"/>
      <c r="C11" s="26"/>
      <c r="D11" s="26"/>
      <c r="E11" s="17"/>
      <c r="F11" s="27"/>
      <c r="G11" s="179" t="s">
        <v>14</v>
      </c>
      <c r="H11" s="180"/>
      <c r="I11" s="180"/>
      <c r="J11" s="180"/>
      <c r="K11" s="181"/>
      <c r="L11" s="27"/>
    </row>
    <row r="12" spans="1:12" x14ac:dyDescent="0.25">
      <c r="A12" s="28" t="s">
        <v>15</v>
      </c>
      <c r="B12" s="29" t="s">
        <v>16</v>
      </c>
      <c r="C12" s="30" t="s">
        <v>17</v>
      </c>
      <c r="D12" s="31" t="s">
        <v>18</v>
      </c>
      <c r="E12" s="29" t="s">
        <v>19</v>
      </c>
      <c r="F12" s="32" t="s">
        <v>20</v>
      </c>
      <c r="G12" s="182" t="s">
        <v>21</v>
      </c>
      <c r="H12" s="183"/>
      <c r="I12" s="184" t="s">
        <v>22</v>
      </c>
      <c r="J12" s="184"/>
      <c r="K12" s="33" t="s">
        <v>23</v>
      </c>
      <c r="L12" s="7"/>
    </row>
    <row r="13" spans="1:12" x14ac:dyDescent="0.25">
      <c r="A13" s="28" t="s">
        <v>24</v>
      </c>
      <c r="B13" s="34">
        <v>58482516</v>
      </c>
      <c r="C13" s="34">
        <v>58533115</v>
      </c>
      <c r="D13" s="35">
        <v>14435378</v>
      </c>
      <c r="E13" s="34">
        <v>41770068</v>
      </c>
      <c r="F13" s="34">
        <v>8711656</v>
      </c>
      <c r="G13" s="36">
        <f>(E13)/(E13+F13)</f>
        <v>0.82742950696374795</v>
      </c>
      <c r="H13" s="37">
        <f>(E13+F13)*G13</f>
        <v>41770068</v>
      </c>
      <c r="I13" s="38">
        <f ca="1">(C84)/(C84+F13)</f>
        <v>0.82619138747610765</v>
      </c>
      <c r="J13" s="34">
        <f ca="1">(C84+F13)*G13</f>
        <v>41472520.401869617</v>
      </c>
      <c r="K13" s="15">
        <f>(C13-(E13/(100%-B3)))/C13</f>
        <v>-4.3295763042732117E-2</v>
      </c>
      <c r="L13" s="39"/>
    </row>
    <row r="14" spans="1:12" x14ac:dyDescent="0.25">
      <c r="A14" s="28" t="s">
        <v>25</v>
      </c>
      <c r="B14" s="40">
        <v>93078564</v>
      </c>
      <c r="C14" s="40">
        <v>93684700</v>
      </c>
      <c r="D14" s="40">
        <v>21346193</v>
      </c>
      <c r="E14" s="40">
        <v>58753805</v>
      </c>
      <c r="F14" s="40">
        <v>16332056</v>
      </c>
      <c r="G14" s="38">
        <f>(E14)/(E14+F14)</f>
        <v>0.78248826366924129</v>
      </c>
      <c r="H14" s="34">
        <f>(E14+F14)*G14</f>
        <v>58753805</v>
      </c>
      <c r="I14" s="38">
        <f ca="1">(C100)/(C100+F14)</f>
        <v>0.77735284612172439</v>
      </c>
      <c r="J14" s="34">
        <f ca="1">(C100+F14)*G14</f>
        <v>57398632.405494973</v>
      </c>
      <c r="K14" s="15">
        <f>(C14-(E14/(100%-C3)))/C14</f>
        <v>-2.8105049327735433E-2</v>
      </c>
      <c r="L14" s="7"/>
    </row>
    <row r="15" spans="1:12" x14ac:dyDescent="0.25">
      <c r="A15" s="41" t="s">
        <v>26</v>
      </c>
      <c r="B15" s="42">
        <f>B13+B14</f>
        <v>151561080</v>
      </c>
      <c r="C15" s="42">
        <f>C13+C14</f>
        <v>152217815</v>
      </c>
      <c r="D15" s="42">
        <f>D13+D14</f>
        <v>35781571</v>
      </c>
      <c r="E15" s="42">
        <f>E13+E14</f>
        <v>100523873</v>
      </c>
      <c r="F15" s="42">
        <f>F13+F14</f>
        <v>25043712</v>
      </c>
      <c r="G15" s="43">
        <f>(E15)/(E15+F15)</f>
        <v>0.80055591576440688</v>
      </c>
      <c r="H15" s="44">
        <f>(E15+F15)*G15</f>
        <v>100523873</v>
      </c>
      <c r="I15" s="43">
        <f ca="1">(C68)/(C68+F15)</f>
        <v>0.79717766329400974</v>
      </c>
      <c r="J15" s="44">
        <f ca="1">(C68+F15)*G15</f>
        <v>98849525.747071877</v>
      </c>
      <c r="K15" s="15">
        <f>(C15-(E15/(100%-D3)))/C15</f>
        <v>-2.6037317746409747E-2</v>
      </c>
      <c r="L15" s="7"/>
    </row>
    <row r="16" spans="1:12" x14ac:dyDescent="0.25">
      <c r="A16" s="25"/>
      <c r="B16" s="45"/>
      <c r="C16" s="45"/>
      <c r="D16" s="26"/>
      <c r="E16" s="26"/>
      <c r="F16" s="26"/>
      <c r="I16" s="185"/>
      <c r="J16" s="185"/>
      <c r="L16" s="27"/>
    </row>
    <row r="17" spans="1:12" x14ac:dyDescent="0.25">
      <c r="A17" s="41" t="s">
        <v>27</v>
      </c>
      <c r="B17" s="3" t="s">
        <v>1</v>
      </c>
      <c r="C17" s="3" t="s">
        <v>2</v>
      </c>
      <c r="D17" s="2" t="s">
        <v>3</v>
      </c>
      <c r="E17" s="26"/>
      <c r="F17" s="46"/>
      <c r="G17" s="47"/>
      <c r="I17" s="7"/>
      <c r="L17" s="26"/>
    </row>
    <row r="18" spans="1:12" x14ac:dyDescent="0.25">
      <c r="A18" s="48" t="s">
        <v>28</v>
      </c>
      <c r="B18" s="10">
        <f>C13</f>
        <v>58533115</v>
      </c>
      <c r="C18" s="10">
        <f>C14</f>
        <v>93684700</v>
      </c>
      <c r="D18" s="10">
        <f>C15</f>
        <v>152217815</v>
      </c>
      <c r="E18" s="26"/>
      <c r="F18" s="46"/>
      <c r="G18" s="49"/>
      <c r="H18" s="26"/>
      <c r="I18" s="26"/>
      <c r="J18" s="26"/>
      <c r="K18" s="50"/>
      <c r="L18" s="27"/>
    </row>
    <row r="19" spans="1:12" x14ac:dyDescent="0.25">
      <c r="A19" s="13" t="s">
        <v>29</v>
      </c>
      <c r="B19" s="51">
        <f ca="1">(-7235309/E3)*E2</f>
        <v>-5937371.889312977</v>
      </c>
      <c r="C19" s="51"/>
      <c r="D19" s="51">
        <f ca="1">SUM(B19:C19)</f>
        <v>-5937371.889312977</v>
      </c>
      <c r="E19" s="46"/>
      <c r="F19" s="46"/>
      <c r="G19" s="25"/>
      <c r="H19" s="20"/>
      <c r="I19" s="5"/>
      <c r="J19" s="6"/>
      <c r="K19" s="26"/>
      <c r="L19" s="26"/>
    </row>
    <row r="20" spans="1:12" x14ac:dyDescent="0.25">
      <c r="A20" s="13" t="s">
        <v>30</v>
      </c>
      <c r="B20" s="52"/>
      <c r="C20" s="52">
        <f ca="1">(-416427/E3)*E2</f>
        <v>-341724.4465648855</v>
      </c>
      <c r="D20" s="51">
        <f t="shared" ref="D20:D22" ca="1" si="0">SUM(B20:C20)</f>
        <v>-341724.4465648855</v>
      </c>
      <c r="E20" s="53"/>
      <c r="F20" s="46"/>
      <c r="G20" s="25"/>
      <c r="H20" s="27"/>
      <c r="I20" s="27"/>
      <c r="J20" s="39"/>
      <c r="K20" s="27"/>
      <c r="L20" s="27"/>
    </row>
    <row r="21" spans="1:12" x14ac:dyDescent="0.25">
      <c r="A21" s="13" t="s">
        <v>31</v>
      </c>
      <c r="B21" s="52">
        <f>-2487437</f>
        <v>-2487437</v>
      </c>
      <c r="C21" s="52"/>
      <c r="D21" s="51">
        <f t="shared" si="0"/>
        <v>-2487437</v>
      </c>
      <c r="E21" s="53"/>
      <c r="G21" s="26"/>
      <c r="H21" s="54"/>
      <c r="I21" s="55"/>
      <c r="J21" s="55"/>
      <c r="K21" s="55"/>
      <c r="L21" s="55"/>
    </row>
    <row r="22" spans="1:12" x14ac:dyDescent="0.25">
      <c r="A22" s="13" t="s">
        <v>32</v>
      </c>
      <c r="B22" s="52">
        <v>-321982</v>
      </c>
      <c r="C22" s="52"/>
      <c r="D22" s="51">
        <f t="shared" si="0"/>
        <v>-321982</v>
      </c>
      <c r="E22" s="53"/>
      <c r="G22" s="49"/>
      <c r="H22" s="54"/>
      <c r="I22" s="55"/>
      <c r="J22" s="55"/>
      <c r="K22" s="55"/>
      <c r="L22" s="55"/>
    </row>
    <row r="23" spans="1:12" x14ac:dyDescent="0.25">
      <c r="A23" s="13" t="s">
        <v>33</v>
      </c>
      <c r="B23" s="52">
        <f ca="1">-((B21+B22)/E3)*E2</f>
        <v>2305439.255725191</v>
      </c>
      <c r="C23" s="52"/>
      <c r="D23" s="51">
        <f ca="1">SUM(B23:C23)</f>
        <v>2305439.255725191</v>
      </c>
      <c r="E23" s="53"/>
      <c r="F23" s="27"/>
      <c r="G23" s="26"/>
      <c r="H23" s="26"/>
      <c r="I23" s="26"/>
      <c r="J23" s="26"/>
      <c r="K23" s="26"/>
      <c r="L23" s="26"/>
    </row>
    <row r="24" spans="1:12" x14ac:dyDescent="0.25">
      <c r="A24" s="8" t="s">
        <v>34</v>
      </c>
      <c r="B24" s="16">
        <f ca="1">B18+B19+B20+B21+B22+B23</f>
        <v>52091763.366412215</v>
      </c>
      <c r="C24" s="16">
        <f ca="1">C18+C19+C20+C21+C22+C23</f>
        <v>93342975.553435117</v>
      </c>
      <c r="D24" s="16">
        <f ca="1">D18+D19+D20+D21+D22+D23</f>
        <v>145434738.91984734</v>
      </c>
      <c r="E24" s="53"/>
      <c r="F24" s="27"/>
      <c r="G24" s="49"/>
      <c r="H24" s="26"/>
      <c r="I24" s="26"/>
      <c r="J24" s="26"/>
      <c r="K24" s="26"/>
      <c r="L24" s="26"/>
    </row>
    <row r="25" spans="1:12" x14ac:dyDescent="0.25">
      <c r="A25" s="8" t="s">
        <v>35</v>
      </c>
      <c r="B25" s="26">
        <f ca="1">(B34/(100%-B3))-B24</f>
        <v>8975587.5107807741</v>
      </c>
      <c r="C25" s="26">
        <f ca="1">(C34/(100%-C3))-C24</f>
        <v>2974737.5613189787</v>
      </c>
      <c r="D25" s="26">
        <f ca="1">(D34/(100%-D3))-D24</f>
        <v>10746419.695971876</v>
      </c>
      <c r="E25" s="53"/>
      <c r="F25" s="27"/>
      <c r="G25" s="49"/>
      <c r="H25" s="26"/>
      <c r="I25" s="26"/>
      <c r="J25" s="26"/>
      <c r="K25" s="26"/>
      <c r="L25" s="26"/>
    </row>
    <row r="26" spans="1:12" x14ac:dyDescent="0.25">
      <c r="A26" s="8" t="s">
        <v>36</v>
      </c>
      <c r="B26" s="56">
        <f ca="1">B24+B25</f>
        <v>61067350.877192989</v>
      </c>
      <c r="C26" s="16">
        <f ca="1">C24+C25</f>
        <v>96317713.114754096</v>
      </c>
      <c r="D26" s="16">
        <f ca="1">D24+D25</f>
        <v>156181158.61581922</v>
      </c>
      <c r="E26" s="53"/>
      <c r="F26" s="27"/>
      <c r="G26" s="26"/>
      <c r="H26" s="26"/>
      <c r="I26" s="26"/>
      <c r="J26" s="26"/>
      <c r="K26" s="26"/>
      <c r="L26" s="26"/>
    </row>
    <row r="27" spans="1:12" x14ac:dyDescent="0.25">
      <c r="A27" s="8" t="s">
        <v>37</v>
      </c>
      <c r="B27" s="16">
        <f ca="1">(B84/E2)*E3+((B90/E2)*(E3-E2))</f>
        <v>75610493.408455193</v>
      </c>
      <c r="C27" s="16">
        <f ca="1">(B100/E2)*E3+((B106/E2)*(E3-E2))</f>
        <v>121389298.79852828</v>
      </c>
      <c r="D27" s="16">
        <f ca="1">(B68/E2)*E3+((B74/E2)*(E3-E2))</f>
        <v>195795886.83085561</v>
      </c>
      <c r="E27" s="17"/>
      <c r="F27" s="27"/>
      <c r="G27" s="27"/>
      <c r="I27" s="7"/>
      <c r="L27" s="39"/>
    </row>
    <row r="28" spans="1:12" x14ac:dyDescent="0.25">
      <c r="A28" s="41"/>
      <c r="B28" s="57" t="s">
        <v>1</v>
      </c>
      <c r="C28" s="57" t="s">
        <v>2</v>
      </c>
      <c r="D28" s="3" t="s">
        <v>3</v>
      </c>
      <c r="E28" s="17"/>
      <c r="F28" s="27"/>
      <c r="G28" s="58"/>
      <c r="I28" s="7"/>
      <c r="L28" s="39"/>
    </row>
    <row r="29" spans="1:12" ht="15.75" x14ac:dyDescent="0.25">
      <c r="A29" s="59" t="s">
        <v>38</v>
      </c>
      <c r="B29" s="60">
        <f>C13-H13/(100%-B3)</f>
        <v>-2534235.877192989</v>
      </c>
      <c r="C29" s="35">
        <f>C14-H14/(100%-C3)</f>
        <v>-2633013.1147540957</v>
      </c>
      <c r="D29" s="61">
        <f>C15-H15/(100%-D3)</f>
        <v>-3963343.6158192158</v>
      </c>
      <c r="E29" s="17"/>
      <c r="F29" s="27"/>
      <c r="I29" s="7"/>
      <c r="L29" s="39"/>
    </row>
    <row r="30" spans="1:12" ht="15.75" x14ac:dyDescent="0.25">
      <c r="A30" s="62" t="s">
        <v>39</v>
      </c>
      <c r="B30" s="63">
        <f ca="1">C13-J13/(100%-B3)</f>
        <v>-2099224.7688152343</v>
      </c>
      <c r="C30" s="64">
        <f ca="1">C14-J14/(100%-C3)</f>
        <v>-411418.69753274322</v>
      </c>
      <c r="D30" s="56">
        <f ca="1">C15-J15/(100%-D3)</f>
        <v>-1361956.640930891</v>
      </c>
      <c r="E30" s="17"/>
      <c r="F30" s="47"/>
      <c r="I30" s="7"/>
      <c r="L30" s="39"/>
    </row>
    <row r="31" spans="1:12" x14ac:dyDescent="0.25">
      <c r="A31" s="186" t="s">
        <v>40</v>
      </c>
      <c r="B31" s="65">
        <f ca="1">E85/(100%-B3)</f>
        <v>-126726.83112398445</v>
      </c>
      <c r="C31" s="66">
        <f ca="1">E101/(100%-C3)</f>
        <v>14870742.679794976</v>
      </c>
      <c r="D31" s="66">
        <f ca="1">E69/(100%-D3)</f>
        <v>12088450.786248712</v>
      </c>
      <c r="E31" s="17"/>
      <c r="F31" s="47"/>
      <c r="I31" s="7"/>
      <c r="L31" s="39"/>
    </row>
    <row r="32" spans="1:12" x14ac:dyDescent="0.25">
      <c r="A32" s="187"/>
      <c r="B32" s="67">
        <f ca="1">B31/B82</f>
        <v>-2.0590654111307862E-3</v>
      </c>
      <c r="C32" s="67">
        <f ca="1">C31/B98</f>
        <v>0.20135062439825757</v>
      </c>
      <c r="D32" s="67">
        <f ca="1">D31/B66</f>
        <v>8.9279044566516211E-2</v>
      </c>
      <c r="E32" s="17"/>
      <c r="I32" s="7"/>
      <c r="L32" s="39"/>
    </row>
    <row r="33" spans="1:12" x14ac:dyDescent="0.25">
      <c r="A33" s="68"/>
      <c r="B33" s="69" t="s">
        <v>1</v>
      </c>
      <c r="C33" s="69" t="s">
        <v>2</v>
      </c>
      <c r="D33" s="70" t="s">
        <v>3</v>
      </c>
      <c r="E33" s="27"/>
      <c r="G33" s="27"/>
      <c r="I33" s="7"/>
      <c r="L33" s="7"/>
    </row>
    <row r="34" spans="1:12" x14ac:dyDescent="0.25">
      <c r="A34" s="8" t="s">
        <v>41</v>
      </c>
      <c r="B34" s="10">
        <f>E13</f>
        <v>41770068</v>
      </c>
      <c r="C34" s="10">
        <f>E14</f>
        <v>58753805</v>
      </c>
      <c r="D34" s="10">
        <f>B34+C34</f>
        <v>100523873</v>
      </c>
      <c r="E34" s="27"/>
      <c r="H34" s="1"/>
      <c r="I34" s="7"/>
      <c r="L34" s="7"/>
    </row>
    <row r="35" spans="1:12" x14ac:dyDescent="0.25">
      <c r="A35" s="13" t="s">
        <v>42</v>
      </c>
      <c r="B35" s="71"/>
      <c r="C35" s="52"/>
      <c r="D35" s="72"/>
      <c r="E35" s="53"/>
      <c r="G35" s="27"/>
      <c r="I35" s="7"/>
      <c r="L35" s="7"/>
    </row>
    <row r="36" spans="1:12" x14ac:dyDescent="0.25">
      <c r="A36" s="13" t="s">
        <v>43</v>
      </c>
      <c r="B36" s="52"/>
      <c r="C36" s="52"/>
      <c r="D36" s="72"/>
      <c r="E36" s="53"/>
      <c r="F36" s="46"/>
      <c r="G36" s="27"/>
      <c r="H36" s="27"/>
      <c r="I36" s="7"/>
      <c r="L36" s="7"/>
    </row>
    <row r="37" spans="1:12" x14ac:dyDescent="0.25">
      <c r="A37" s="13" t="s">
        <v>44</v>
      </c>
      <c r="B37" s="73"/>
      <c r="C37" s="73"/>
      <c r="D37" s="74"/>
      <c r="E37" s="75"/>
      <c r="F37" s="46"/>
      <c r="H37" s="27"/>
      <c r="I37" s="7"/>
      <c r="L37" s="7"/>
    </row>
    <row r="38" spans="1:12" x14ac:dyDescent="0.25">
      <c r="A38" s="13" t="s">
        <v>45</v>
      </c>
      <c r="B38" s="73"/>
      <c r="C38" s="73"/>
      <c r="D38" s="74"/>
      <c r="E38" s="75"/>
      <c r="F38" s="46"/>
      <c r="H38" s="27"/>
      <c r="I38" s="7"/>
      <c r="L38" s="7"/>
    </row>
    <row r="39" spans="1:12" x14ac:dyDescent="0.25">
      <c r="A39" s="8" t="s">
        <v>46</v>
      </c>
      <c r="B39" s="73">
        <v>42663</v>
      </c>
      <c r="C39" s="51">
        <v>6973474</v>
      </c>
      <c r="D39" s="34">
        <f>B39+C39</f>
        <v>7016137</v>
      </c>
      <c r="E39" s="75"/>
      <c r="F39" s="27"/>
      <c r="H39" s="27"/>
      <c r="I39" s="7"/>
      <c r="L39" s="7"/>
    </row>
    <row r="40" spans="1:12" x14ac:dyDescent="0.25">
      <c r="A40" s="8" t="s">
        <v>47</v>
      </c>
      <c r="B40" s="76">
        <v>5641694</v>
      </c>
      <c r="C40" s="51">
        <v>2045023</v>
      </c>
      <c r="D40" s="34">
        <f>B40+C40</f>
        <v>7686717</v>
      </c>
      <c r="E40" s="75"/>
      <c r="G40" s="1"/>
      <c r="H40" s="27"/>
      <c r="I40" s="77"/>
      <c r="J40" s="78"/>
      <c r="K40" s="58"/>
      <c r="L40" s="7"/>
    </row>
    <row r="41" spans="1:12" x14ac:dyDescent="0.25">
      <c r="A41" s="13" t="s">
        <v>48</v>
      </c>
      <c r="B41" s="72">
        <f ca="1">B42/E3*E2</f>
        <v>-359604.77071000001</v>
      </c>
      <c r="C41" s="72">
        <f ca="1">C42/E3*E2</f>
        <v>-1731875.9365800002</v>
      </c>
      <c r="D41" s="10">
        <f ca="1">B41+C41</f>
        <v>-2091480.7072900003</v>
      </c>
      <c r="E41" s="53"/>
      <c r="F41" s="27"/>
      <c r="I41" s="7"/>
      <c r="K41" s="58"/>
      <c r="L41" s="7"/>
    </row>
    <row r="42" spans="1:12" x14ac:dyDescent="0.25">
      <c r="A42" s="13" t="s">
        <v>49</v>
      </c>
      <c r="B42" s="79">
        <f ca="1">(((-B39*0.23017)/E2)*E3)+(((-B40*0.062)/E2)*E3)</f>
        <v>-438216.04616753489</v>
      </c>
      <c r="C42" s="79">
        <f ca="1">(((-C39*0.23017)/E2)*E3)+(((-C40*0.062)/E2)*E3)</f>
        <v>-2110472.0715533025</v>
      </c>
      <c r="D42" s="10">
        <f ca="1">B42+C42</f>
        <v>-2548688.1177208372</v>
      </c>
      <c r="E42" s="46"/>
      <c r="F42" s="27"/>
      <c r="G42" s="47"/>
      <c r="I42" s="7"/>
      <c r="K42" s="58"/>
      <c r="L42" s="7"/>
    </row>
    <row r="43" spans="1:12" x14ac:dyDescent="0.25">
      <c r="A43" s="8" t="s">
        <v>41</v>
      </c>
      <c r="B43" s="16">
        <f ca="1">B34+B41</f>
        <v>41410463.229290001</v>
      </c>
      <c r="C43" s="10">
        <f ca="1">E14+C41</f>
        <v>57021929.063419998</v>
      </c>
      <c r="D43" s="10">
        <f ca="1">C43+B43</f>
        <v>98432392.292710006</v>
      </c>
      <c r="E43" s="17"/>
      <c r="I43" s="7"/>
      <c r="J43" s="78"/>
      <c r="K43" s="58"/>
      <c r="L43" s="7"/>
    </row>
    <row r="44" spans="1:12" x14ac:dyDescent="0.25">
      <c r="A44" s="8" t="s">
        <v>50</v>
      </c>
      <c r="B44" s="16">
        <f ca="1">((E13/E2)*E3)+(F13/E3*(E3-E2))+B42</f>
        <v>52025761.082751326</v>
      </c>
      <c r="C44" s="16">
        <f ca="1">((E14/E2)*E3)+(F14/E3*(E3-E2))+C42</f>
        <v>72416984.280301839</v>
      </c>
      <c r="D44" s="16">
        <f ca="1">(C67/E2)*E3+((C74/E2)*(E3-E2))+D42</f>
        <v>124967635.58812739</v>
      </c>
      <c r="E44" s="17"/>
      <c r="I44" s="77"/>
      <c r="J44" s="78"/>
      <c r="K44" s="58"/>
      <c r="L44" s="7"/>
    </row>
    <row r="45" spans="1:12" x14ac:dyDescent="0.25">
      <c r="A45" s="41"/>
      <c r="B45" s="3" t="s">
        <v>1</v>
      </c>
      <c r="C45" s="3" t="s">
        <v>2</v>
      </c>
      <c r="D45" s="2" t="s">
        <v>3</v>
      </c>
      <c r="E45" s="17"/>
      <c r="I45" s="7"/>
      <c r="K45" s="58"/>
      <c r="L45" s="7"/>
    </row>
    <row r="46" spans="1:12" x14ac:dyDescent="0.25">
      <c r="A46" s="8" t="s">
        <v>51</v>
      </c>
      <c r="B46" s="10">
        <f>D46*B6</f>
        <v>11672098.07</v>
      </c>
      <c r="C46" s="10">
        <f>D46*C6</f>
        <v>19874112.93</v>
      </c>
      <c r="D46" s="21">
        <f>31546211</f>
        <v>31546211</v>
      </c>
      <c r="E46" s="26"/>
      <c r="F46" s="27"/>
      <c r="I46" s="7"/>
      <c r="L46" s="7"/>
    </row>
    <row r="47" spans="1:12" x14ac:dyDescent="0.25">
      <c r="A47" s="8" t="s">
        <v>52</v>
      </c>
      <c r="B47" s="10">
        <f>('[1]SOLHEIM OG LARSEN KLIMA AS'!L21*50%)</f>
        <v>996090.49800000014</v>
      </c>
      <c r="C47" s="10">
        <f>('[1]SOLHEIM OG LARSEN KLIMA AS'!L19*18%)+100000</f>
        <v>1167403.4847999997</v>
      </c>
      <c r="D47" s="21">
        <f>SUM(B47:C47)</f>
        <v>2163493.9827999999</v>
      </c>
      <c r="E47" s="26"/>
      <c r="F47" s="27"/>
      <c r="I47" s="7"/>
      <c r="L47" s="7"/>
    </row>
    <row r="48" spans="1:12" x14ac:dyDescent="0.25">
      <c r="A48" s="8" t="s">
        <v>53</v>
      </c>
      <c r="B48" s="10">
        <f>D48*B8</f>
        <v>5678161.1680000005</v>
      </c>
      <c r="C48" s="10">
        <f>D48*C8</f>
        <v>8956274.8320000004</v>
      </c>
      <c r="D48" s="21">
        <v>14634436</v>
      </c>
      <c r="E48" s="26"/>
      <c r="I48" s="7"/>
      <c r="L48" s="7"/>
    </row>
    <row r="49" spans="1:12" x14ac:dyDescent="0.25">
      <c r="A49" s="8" t="s">
        <v>54</v>
      </c>
      <c r="B49" s="10">
        <f>SUM(B46,B48)</f>
        <v>17350259.238000002</v>
      </c>
      <c r="C49" s="10">
        <f>SUM(C46,C48)</f>
        <v>28830387.762000002</v>
      </c>
      <c r="D49" s="10">
        <f>SUM(B49:C49)</f>
        <v>46180647</v>
      </c>
      <c r="E49" s="26"/>
      <c r="F49" s="27"/>
      <c r="G49" s="47"/>
      <c r="I49" s="7"/>
      <c r="L49" s="7"/>
    </row>
    <row r="50" spans="1:12" x14ac:dyDescent="0.25">
      <c r="A50" s="13" t="s">
        <v>55</v>
      </c>
      <c r="B50" s="10">
        <f ca="1">B46-((B7/E3)*E2)</f>
        <v>-1556395.6130152661</v>
      </c>
      <c r="C50" s="10">
        <f ca="1">C46-((C7/E3)*E2)</f>
        <v>-2650079.0167557262</v>
      </c>
      <c r="D50" s="10">
        <f ca="1">D46-((D7/E3)*E2)</f>
        <v>-4206474.6297709942</v>
      </c>
      <c r="E50" s="26"/>
      <c r="F50" s="27"/>
      <c r="G50" s="7"/>
      <c r="H50" s="7"/>
      <c r="I50" s="7"/>
      <c r="J50" s="7"/>
      <c r="K50" s="7"/>
      <c r="L50" s="7"/>
    </row>
    <row r="51" spans="1:12" x14ac:dyDescent="0.25">
      <c r="A51" s="13" t="s">
        <v>56</v>
      </c>
      <c r="B51" s="10">
        <f ca="1">B48-((B9/E3)*E2)</f>
        <v>771995.99105343595</v>
      </c>
      <c r="C51" s="10">
        <f ca="1">C48-((C9/E3)*E2)</f>
        <v>1217684.398259542</v>
      </c>
      <c r="D51" s="10">
        <f ca="1">SUM(B51:C51)</f>
        <v>1989680.3893129779</v>
      </c>
      <c r="E51" s="26"/>
      <c r="G51" s="80"/>
      <c r="I51" s="7"/>
      <c r="L51" s="7"/>
    </row>
    <row r="52" spans="1:12" x14ac:dyDescent="0.25">
      <c r="A52" s="8" t="s">
        <v>57</v>
      </c>
      <c r="B52" s="10">
        <f ca="1">B50+B51</f>
        <v>-784399.62196183018</v>
      </c>
      <c r="C52" s="10">
        <f ca="1">C50+C51</f>
        <v>-1432394.6184961842</v>
      </c>
      <c r="D52" s="10">
        <f ca="1">D49-((D10/E3)*E2)</f>
        <v>-2216794.2404580191</v>
      </c>
      <c r="E52" s="26"/>
      <c r="G52" s="80"/>
      <c r="I52" s="7"/>
      <c r="L52" s="7"/>
    </row>
    <row r="53" spans="1:12" x14ac:dyDescent="0.25">
      <c r="A53" s="8" t="s">
        <v>58</v>
      </c>
      <c r="B53" s="10">
        <f ca="1">(B46/E2)*E3</f>
        <v>14223672.996930232</v>
      </c>
      <c r="C53" s="10">
        <f ca="1">((C46/E2)*E3)</f>
        <v>24218686.454232559</v>
      </c>
      <c r="D53" s="10">
        <f ca="1">B53+C53</f>
        <v>38442359.451162793</v>
      </c>
      <c r="E53" s="26"/>
      <c r="G53" s="1"/>
      <c r="H53" s="1"/>
      <c r="I53" s="81"/>
      <c r="J53" s="80"/>
      <c r="K53" s="80"/>
      <c r="L53" s="39"/>
    </row>
    <row r="54" spans="1:12" x14ac:dyDescent="0.25">
      <c r="A54" s="8" t="s">
        <v>59</v>
      </c>
      <c r="B54" s="10">
        <f ca="1">(B48/E2)*E3</f>
        <v>6919433.6093767444</v>
      </c>
      <c r="C54" s="10">
        <f ca="1">(C48/E2)*E3</f>
        <v>10914158.167367443</v>
      </c>
      <c r="D54" s="10">
        <f ca="1">B54+C54</f>
        <v>17833591.776744187</v>
      </c>
      <c r="E54" s="26"/>
      <c r="F54" s="80"/>
      <c r="G54" s="27"/>
      <c r="H54" s="80"/>
      <c r="I54" s="81"/>
      <c r="J54" s="80"/>
      <c r="K54" s="80"/>
      <c r="L54" s="81"/>
    </row>
    <row r="55" spans="1:12" x14ac:dyDescent="0.25">
      <c r="A55" s="8" t="s">
        <v>60</v>
      </c>
      <c r="B55" s="10">
        <f ca="1">B53+B54</f>
        <v>21143106.606306978</v>
      </c>
      <c r="C55" s="10">
        <f ca="1">C53+C54</f>
        <v>35132844.621600002</v>
      </c>
      <c r="D55" s="10">
        <f ca="1">D53+D54</f>
        <v>56275951.22790698</v>
      </c>
      <c r="E55" s="26"/>
      <c r="F55" s="80"/>
      <c r="G55" s="27"/>
      <c r="H55" s="80"/>
      <c r="I55" s="80"/>
      <c r="J55" s="47"/>
      <c r="K55" s="80"/>
      <c r="L55" s="80"/>
    </row>
    <row r="56" spans="1:12" x14ac:dyDescent="0.25">
      <c r="A56" s="13" t="s">
        <v>61</v>
      </c>
      <c r="B56" s="82">
        <f ca="1">B55-B10</f>
        <v>-955873.02769302204</v>
      </c>
      <c r="C56" s="82">
        <f ca="1">C55-C10</f>
        <v>-1745522.7443999946</v>
      </c>
      <c r="D56" s="82">
        <f ca="1">D55-D10</f>
        <v>-2701395.7720930204</v>
      </c>
      <c r="E56" s="83"/>
      <c r="F56" s="80"/>
      <c r="G56" s="27"/>
      <c r="H56" s="47"/>
      <c r="I56" s="81"/>
      <c r="J56" s="80"/>
      <c r="K56" s="80"/>
      <c r="L56" s="81"/>
    </row>
    <row r="57" spans="1:12" x14ac:dyDescent="0.25">
      <c r="B57" s="27"/>
      <c r="C57" s="27"/>
      <c r="D57" s="27"/>
      <c r="E57" s="27"/>
      <c r="F57" s="84"/>
      <c r="G57" s="27"/>
      <c r="H57" s="1"/>
      <c r="I57" s="27"/>
      <c r="J57" s="84"/>
      <c r="K57" s="84"/>
      <c r="L57" s="84"/>
    </row>
    <row r="58" spans="1:12" x14ac:dyDescent="0.25">
      <c r="B58" s="27"/>
      <c r="C58" s="27"/>
      <c r="D58" s="27"/>
      <c r="E58" s="27"/>
      <c r="G58" s="27"/>
      <c r="H58" s="85"/>
      <c r="I58" s="7"/>
      <c r="J58" s="80"/>
      <c r="L58" s="7"/>
    </row>
    <row r="59" spans="1:12" x14ac:dyDescent="0.25">
      <c r="B59" s="27"/>
      <c r="C59" s="27"/>
      <c r="D59" s="27"/>
      <c r="E59" s="27"/>
      <c r="G59" s="47"/>
      <c r="H59" s="86"/>
      <c r="I59" s="7"/>
      <c r="L59" s="7"/>
    </row>
    <row r="60" spans="1:12" x14ac:dyDescent="0.25">
      <c r="B60" s="27"/>
      <c r="C60" s="27"/>
      <c r="D60" s="27"/>
      <c r="E60" s="27"/>
      <c r="G60" s="27"/>
      <c r="H60" s="27"/>
      <c r="I60" s="7"/>
      <c r="J60" s="27"/>
      <c r="L60" s="39"/>
    </row>
    <row r="61" spans="1:12" x14ac:dyDescent="0.25">
      <c r="A61" s="87"/>
      <c r="B61" s="27"/>
      <c r="C61" s="27"/>
      <c r="D61" s="47"/>
      <c r="E61" s="27"/>
      <c r="F61" s="27"/>
      <c r="G61" s="27"/>
      <c r="H61" s="27"/>
      <c r="I61" s="7"/>
      <c r="J61" s="27"/>
      <c r="L61" s="39"/>
    </row>
    <row r="62" spans="1:12" x14ac:dyDescent="0.25">
      <c r="B62" s="27"/>
      <c r="C62" s="27"/>
      <c r="D62" s="27"/>
      <c r="E62" s="27"/>
      <c r="F62" s="47"/>
      <c r="G62" s="47"/>
      <c r="H62" s="27"/>
      <c r="I62" s="7"/>
      <c r="J62" s="58"/>
      <c r="L62" s="80"/>
    </row>
    <row r="63" spans="1:12" ht="24" x14ac:dyDescent="0.4">
      <c r="B63" s="88">
        <f ca="1">TODAY()</f>
        <v>45591</v>
      </c>
      <c r="C63" s="89"/>
      <c r="D63" s="89"/>
      <c r="E63" s="89"/>
      <c r="G63" s="27"/>
      <c r="I63" s="7"/>
      <c r="L63" s="7"/>
    </row>
    <row r="64" spans="1:12" x14ac:dyDescent="0.25">
      <c r="A64" s="90" t="s">
        <v>26</v>
      </c>
      <c r="B64" s="91" t="s">
        <v>62</v>
      </c>
      <c r="C64" s="92" t="s">
        <v>63</v>
      </c>
      <c r="D64" s="92" t="s">
        <v>64</v>
      </c>
      <c r="E64" s="92" t="s">
        <v>65</v>
      </c>
      <c r="F64" s="92" t="s">
        <v>66</v>
      </c>
      <c r="G64" s="92" t="s">
        <v>67</v>
      </c>
      <c r="H64" s="92" t="s">
        <v>68</v>
      </c>
      <c r="I64" s="92" t="s">
        <v>69</v>
      </c>
      <c r="J64" s="92" t="s">
        <v>70</v>
      </c>
      <c r="K64" s="92" t="s">
        <v>71</v>
      </c>
      <c r="L64" s="92" t="s">
        <v>72</v>
      </c>
    </row>
    <row r="65" spans="1:12" x14ac:dyDescent="0.25">
      <c r="A65" s="93" t="s">
        <v>73</v>
      </c>
      <c r="B65" s="94">
        <f>D2</f>
        <v>165000000</v>
      </c>
      <c r="C65" s="94">
        <f ca="1">D4+D41</f>
        <v>104108519.29271001</v>
      </c>
      <c r="D65" s="95">
        <f ca="1">(B65-C65)/C65</f>
        <v>0.58488470608335508</v>
      </c>
      <c r="E65" s="96">
        <f ca="1">(B65-C65)</f>
        <v>60891480.707289994</v>
      </c>
      <c r="F65" s="97">
        <f ca="1">E65/B65</f>
        <v>0.36903927701387873</v>
      </c>
      <c r="G65" s="94">
        <f>D10</f>
        <v>58977347</v>
      </c>
      <c r="H65" s="94">
        <f ca="1">G65/F65</f>
        <v>159813197.87211159</v>
      </c>
      <c r="I65" s="38">
        <f ca="1">J65/B65</f>
        <v>3.1435164411444914E-2</v>
      </c>
      <c r="J65" s="98">
        <f ca="1">B65-H65</f>
        <v>5186802.1278884113</v>
      </c>
      <c r="K65" s="94">
        <f ca="1">E65-G65</f>
        <v>1914133.7072899938</v>
      </c>
      <c r="L65" s="99">
        <f ca="1">K65/B65</f>
        <v>1.1600810347212083E-2</v>
      </c>
    </row>
    <row r="66" spans="1:12" x14ac:dyDescent="0.25">
      <c r="A66" s="93" t="s">
        <v>74</v>
      </c>
      <c r="B66" s="94">
        <f ca="1">(B65/E3)*E2</f>
        <v>135400763.35877863</v>
      </c>
      <c r="C66" s="94">
        <f ca="1">(C65/E3)*E2</f>
        <v>85432563.541727677</v>
      </c>
      <c r="D66" s="95">
        <f ca="1">(B66-C66)/C66</f>
        <v>0.58488470608335508</v>
      </c>
      <c r="E66" s="100">
        <f ca="1">(B66-C66)</f>
        <v>49968199.817050949</v>
      </c>
      <c r="F66" s="101">
        <f ca="1">E66/B66</f>
        <v>0.36903927701387873</v>
      </c>
      <c r="G66" s="94">
        <f ca="1">G65/E3*E2</f>
        <v>48397441.240458019</v>
      </c>
      <c r="H66" s="94">
        <f ca="1">G66/F66</f>
        <v>131144418.10116027</v>
      </c>
      <c r="I66" s="38">
        <f ca="1">J66/B66</f>
        <v>3.1435164411444914E-2</v>
      </c>
      <c r="J66" s="98">
        <f ca="1">B66-H66</f>
        <v>4256345.2576183528</v>
      </c>
      <c r="K66" s="94">
        <f ca="1">E66-G66</f>
        <v>1570758.5765929297</v>
      </c>
      <c r="L66" s="99">
        <f ca="1">K66/B66</f>
        <v>1.1600810347212052E-2</v>
      </c>
    </row>
    <row r="67" spans="1:12" x14ac:dyDescent="0.25">
      <c r="A67" s="102" t="s">
        <v>75</v>
      </c>
      <c r="B67" s="94">
        <f ca="1">D24</f>
        <v>145434738.91984734</v>
      </c>
      <c r="C67" s="94">
        <f>D34</f>
        <v>100523873</v>
      </c>
      <c r="D67" s="95">
        <f ca="1">(B67-C67)/C67</f>
        <v>0.4467681614281549</v>
      </c>
      <c r="E67" s="100">
        <f ca="1">(B67-C67)</f>
        <v>44910865.919847339</v>
      </c>
      <c r="F67" s="101">
        <f ca="1">E67/B67</f>
        <v>0.30880425305125225</v>
      </c>
      <c r="G67" s="94">
        <f ca="1">G65/E3*E2</f>
        <v>48397441.240458019</v>
      </c>
      <c r="H67" s="94">
        <f ca="1">G67/F67</f>
        <v>156725306.60523477</v>
      </c>
      <c r="I67" s="38">
        <f ca="1">J67/B67</f>
        <v>-7.7633224147429736E-2</v>
      </c>
      <c r="J67" s="98">
        <f ca="1">B67-H67</f>
        <v>-11290567.685387433</v>
      </c>
      <c r="K67" s="94">
        <f ca="1">E67-G67</f>
        <v>-3486575.3206106797</v>
      </c>
      <c r="L67" s="99">
        <f ca="1">K67/B67</f>
        <v>-2.3973469794807533E-2</v>
      </c>
    </row>
    <row r="68" spans="1:12" x14ac:dyDescent="0.25">
      <c r="A68" s="103" t="s">
        <v>76</v>
      </c>
      <c r="B68" s="104">
        <f ca="1">D26</f>
        <v>156181158.61581922</v>
      </c>
      <c r="C68" s="104">
        <f ca="1">D43</f>
        <v>98432392.292710006</v>
      </c>
      <c r="D68" s="105">
        <f ca="1">(B68-C68)/C68</f>
        <v>0.5866845758597512</v>
      </c>
      <c r="E68" s="106">
        <f ca="1">(B68-C68)</f>
        <v>57748766.32310921</v>
      </c>
      <c r="F68" s="97">
        <f ca="1">E68/B68</f>
        <v>0.36975501292804452</v>
      </c>
      <c r="G68" s="104">
        <f>D46+D48</f>
        <v>46180647</v>
      </c>
      <c r="H68" s="104">
        <f ca="1">G68/F68</f>
        <v>124895256.00829893</v>
      </c>
      <c r="I68" s="107">
        <f ca="1">J68/B68</f>
        <v>0.20031803378074958</v>
      </c>
      <c r="J68" s="108">
        <f ca="1">B68-H68</f>
        <v>31285902.607520282</v>
      </c>
      <c r="K68" s="104">
        <f ca="1">E68-G68</f>
        <v>11568119.32310921</v>
      </c>
      <c r="L68" s="109">
        <f ca="1">K68/B68</f>
        <v>7.4068597170321562E-2</v>
      </c>
    </row>
    <row r="69" spans="1:12" x14ac:dyDescent="0.25">
      <c r="A69" s="110" t="s">
        <v>77</v>
      </c>
      <c r="B69" s="34">
        <f ca="1">B68-B66</f>
        <v>20780395.25704059</v>
      </c>
      <c r="C69" s="34">
        <f ca="1">C68-C66</f>
        <v>12999828.750982329</v>
      </c>
      <c r="D69" s="111">
        <f ca="1">D68-D66</f>
        <v>1.7998697763961236E-3</v>
      </c>
      <c r="E69" s="34">
        <f ca="1">E68-E66</f>
        <v>7780566.5060582608</v>
      </c>
      <c r="F69" s="112">
        <f ca="1">F68-F66</f>
        <v>7.1573591416579374E-4</v>
      </c>
      <c r="G69" s="34">
        <f t="shared" ref="G69:L69" ca="1" si="1">G68-G66</f>
        <v>-2216794.2404580191</v>
      </c>
      <c r="H69" s="34">
        <f t="shared" ca="1" si="1"/>
        <v>-6249162.0928613394</v>
      </c>
      <c r="I69" s="112">
        <f ca="1">I68-I66</f>
        <v>0.16888286936930466</v>
      </c>
      <c r="J69" s="34">
        <f t="shared" ca="1" si="1"/>
        <v>27029557.349901929</v>
      </c>
      <c r="K69" s="34">
        <f t="shared" ca="1" si="1"/>
        <v>9997360.7465162799</v>
      </c>
      <c r="L69" s="113">
        <f t="shared" ca="1" si="1"/>
        <v>6.2467786823109508E-2</v>
      </c>
    </row>
    <row r="70" spans="1:12" x14ac:dyDescent="0.25">
      <c r="A70" s="114" t="s">
        <v>78</v>
      </c>
      <c r="B70" s="115">
        <f ca="1">B76+B74+B68+G76</f>
        <v>162298604.22790697</v>
      </c>
      <c r="C70" s="115">
        <f ca="1">C76+C74+C68</f>
        <v>104108519.29271001</v>
      </c>
      <c r="D70" s="116">
        <f ca="1">(B70-C70)/C70</f>
        <v>0.55893682217869767</v>
      </c>
      <c r="E70" s="104">
        <f ca="1">(B70-C70)</f>
        <v>58190084.935196966</v>
      </c>
      <c r="F70" s="117">
        <f ca="1">E70/B70</f>
        <v>0.35853718651507221</v>
      </c>
      <c r="G70" s="104">
        <f ca="1">G78</f>
        <v>56275951.227906972</v>
      </c>
      <c r="H70" s="104">
        <f ca="1">G70/F70</f>
        <v>156959872.90718934</v>
      </c>
      <c r="I70" s="107">
        <f ca="1">J70/B70</f>
        <v>3.2894499284915273E-2</v>
      </c>
      <c r="J70" s="108">
        <f ca="1">B70-H70</f>
        <v>5338731.3207176328</v>
      </c>
      <c r="K70" s="104">
        <f ca="1">E70-G70</f>
        <v>1914133.7072899938</v>
      </c>
      <c r="L70" s="118">
        <f ca="1">K70/B70</f>
        <v>1.1793901225435565E-2</v>
      </c>
    </row>
    <row r="71" spans="1:12" x14ac:dyDescent="0.25">
      <c r="A71" s="110" t="s">
        <v>79</v>
      </c>
      <c r="B71" s="34">
        <f ca="1">B70/E3*E2</f>
        <v>133183969.1183206</v>
      </c>
      <c r="C71" s="82">
        <f ca="1">C70/E3*E2</f>
        <v>85432563.541727677</v>
      </c>
      <c r="D71" s="119">
        <f ca="1">(B71-C71)/C71</f>
        <v>0.55893682217869756</v>
      </c>
      <c r="E71" s="94">
        <f ca="1">(B71-C71)</f>
        <v>47751405.576592922</v>
      </c>
      <c r="F71" s="117">
        <f ca="1">E71/B71</f>
        <v>0.35853718651507216</v>
      </c>
      <c r="G71" s="34">
        <f ca="1">(((G68/E2)*E3)/E3)*E2</f>
        <v>46180647</v>
      </c>
      <c r="H71" s="34">
        <f ca="1">G71/F71</f>
        <v>128802949.14139585</v>
      </c>
      <c r="I71" s="38">
        <f ca="1">J71/B71</f>
        <v>3.2894499284915064E-2</v>
      </c>
      <c r="J71" s="98">
        <f ca="1">B71-H71</f>
        <v>4381019.9769247472</v>
      </c>
      <c r="K71" s="94">
        <f ca="1">E71-G71</f>
        <v>1570758.5765929222</v>
      </c>
      <c r="L71" s="118">
        <f ca="1">K71/B71</f>
        <v>1.1793901225435478E-2</v>
      </c>
    </row>
    <row r="72" spans="1:12" x14ac:dyDescent="0.25">
      <c r="A72" s="93" t="s">
        <v>80</v>
      </c>
      <c r="B72" s="34">
        <f t="shared" ref="B72:L72" ca="1" si="2">B68-B71</f>
        <v>22997189.497498617</v>
      </c>
      <c r="C72" s="34">
        <f t="shared" ca="1" si="2"/>
        <v>12999828.750982329</v>
      </c>
      <c r="D72" s="120">
        <f t="shared" ca="1" si="2"/>
        <v>2.7747753681053644E-2</v>
      </c>
      <c r="E72" s="34">
        <f t="shared" ca="1" si="2"/>
        <v>9997360.7465162873</v>
      </c>
      <c r="F72" s="120">
        <f t="shared" ca="1" si="2"/>
        <v>1.1217826412972365E-2</v>
      </c>
      <c r="G72" s="34">
        <f t="shared" ca="1" si="2"/>
        <v>0</v>
      </c>
      <c r="H72" s="34">
        <f t="shared" ca="1" si="2"/>
        <v>-3907693.1330969185</v>
      </c>
      <c r="I72" s="120">
        <f t="shared" ca="1" si="2"/>
        <v>0.16742353449583453</v>
      </c>
      <c r="J72" s="34">
        <f t="shared" ca="1" si="2"/>
        <v>26904882.630595535</v>
      </c>
      <c r="K72" s="34">
        <f t="shared" ca="1" si="2"/>
        <v>9997360.7465162873</v>
      </c>
      <c r="L72" s="120">
        <f t="shared" ca="1" si="2"/>
        <v>6.2274695944886084E-2</v>
      </c>
    </row>
    <row r="73" spans="1:12" x14ac:dyDescent="0.25">
      <c r="A73" s="121"/>
      <c r="B73" s="34"/>
      <c r="C73" s="34"/>
      <c r="D73" s="122"/>
      <c r="E73" s="123"/>
      <c r="F73" s="120"/>
      <c r="G73" s="34"/>
      <c r="H73" s="34"/>
      <c r="I73" s="120"/>
      <c r="J73" s="34"/>
      <c r="K73" s="34"/>
      <c r="L73" s="120"/>
    </row>
    <row r="74" spans="1:12" x14ac:dyDescent="0.25">
      <c r="A74" s="93" t="s">
        <v>81</v>
      </c>
      <c r="B74" s="124">
        <f ca="1">(D15+D24)-(D24+D25)</f>
        <v>25035151.304028124</v>
      </c>
      <c r="C74" s="124">
        <f ca="1">(F15+D34)-(D34-D41)</f>
        <v>22952231.292710006</v>
      </c>
      <c r="D74" s="119">
        <f ca="1">(B74-C74)/C74</f>
        <v>9.0750218780676281E-2</v>
      </c>
      <c r="E74" s="94">
        <f ca="1">(B74-C74)</f>
        <v>2082920.0113181174</v>
      </c>
      <c r="F74" s="125">
        <f ca="1">E74/B74</f>
        <v>8.319981716998763E-2</v>
      </c>
      <c r="G74" s="126">
        <f ca="1">((G68-(B68-C68))/E3)*E2</f>
        <v>-9492922.345299542</v>
      </c>
      <c r="H74" s="94">
        <f ca="1">G74/F74</f>
        <v>-114097875.06989726</v>
      </c>
      <c r="I74" s="38">
        <f ca="1">J74/B74</f>
        <v>5.5575069103552437</v>
      </c>
      <c r="J74" s="98">
        <f ca="1">B74-H74</f>
        <v>139133026.37392539</v>
      </c>
      <c r="K74" s="94">
        <f ca="1">E74-G74</f>
        <v>11575842.356617659</v>
      </c>
      <c r="L74" s="127">
        <f ca="1">K74/B74</f>
        <v>0.4623835588624991</v>
      </c>
    </row>
    <row r="75" spans="1:12" x14ac:dyDescent="0.25">
      <c r="A75" s="93" t="s">
        <v>82</v>
      </c>
      <c r="B75" s="94">
        <f ca="1">(B74/E2)*(E3-E2)</f>
        <v>5472800.5176247526</v>
      </c>
      <c r="C75" s="94">
        <f ca="1">(C74/E2)*(E3-E2)</f>
        <v>5017464.5151505591</v>
      </c>
      <c r="D75" s="95">
        <f ca="1">(B75-C75)/C75</f>
        <v>9.0750218780676351E-2</v>
      </c>
      <c r="E75" s="128">
        <f ca="1">(B75-C75)</f>
        <v>455336.00247419346</v>
      </c>
      <c r="F75" s="125">
        <f ca="1">E75/B75</f>
        <v>8.31998171699877E-2</v>
      </c>
      <c r="G75" s="126">
        <f ca="1">(D49/E2)*(E3-E2)</f>
        <v>10095304.227906976</v>
      </c>
      <c r="H75" s="94">
        <f ca="1">G75/F75</f>
        <v>121338057.83828826</v>
      </c>
      <c r="I75" s="38">
        <f ca="1">J75/B75</f>
        <v>-21.171109187613901</v>
      </c>
      <c r="J75" s="98">
        <f ca="1">B75-H75</f>
        <v>-115865257.32066351</v>
      </c>
      <c r="K75" s="94">
        <f ca="1">E75-G75</f>
        <v>-9639968.2254327834</v>
      </c>
      <c r="L75" s="127">
        <f ca="1">K75/B75</f>
        <v>-1.7614324136953234</v>
      </c>
    </row>
    <row r="76" spans="1:12" x14ac:dyDescent="0.25">
      <c r="A76" s="93" t="s">
        <v>83</v>
      </c>
      <c r="B76" s="126">
        <f ca="1">B65-(B74+B68)</f>
        <v>-16216309.919847339</v>
      </c>
      <c r="C76" s="126">
        <f ca="1">C65-(C74+C68)</f>
        <v>-17276104.292710006</v>
      </c>
      <c r="D76" s="119">
        <f ca="1">(B76-C76)/C76</f>
        <v>-6.1344522752728926E-2</v>
      </c>
      <c r="E76" s="94">
        <f ca="1">(B76-C76)</f>
        <v>1059794.3728626668</v>
      </c>
      <c r="F76" s="125">
        <f ca="1">E76/B76</f>
        <v>-6.535360868785392E-2</v>
      </c>
      <c r="G76" s="126">
        <f ca="1">G78-G65</f>
        <v>-2701395.7720930278</v>
      </c>
      <c r="H76" s="94">
        <f ca="1">G76/F76</f>
        <v>41335066.667788871</v>
      </c>
      <c r="I76" s="38">
        <f ca="1">J76/B76</f>
        <v>3.548981048838884</v>
      </c>
      <c r="J76" s="98">
        <f ca="1">B76-H76</f>
        <v>-57551376.58763621</v>
      </c>
      <c r="K76" s="94">
        <f ca="1">E76-G76</f>
        <v>3761190.1449556947</v>
      </c>
      <c r="L76" s="127">
        <f ca="1">K76/B76</f>
        <v>-0.23193871870642582</v>
      </c>
    </row>
    <row r="77" spans="1:12" x14ac:dyDescent="0.25">
      <c r="A77" s="129"/>
      <c r="B77" s="34"/>
      <c r="C77" s="13"/>
      <c r="D77" s="95"/>
      <c r="F77" s="7"/>
      <c r="G77" s="94"/>
      <c r="H77" s="13"/>
      <c r="I77" s="38"/>
      <c r="J77" s="98"/>
      <c r="K77" s="94"/>
      <c r="L77" s="125"/>
    </row>
    <row r="78" spans="1:12" x14ac:dyDescent="0.25">
      <c r="A78" s="130" t="s">
        <v>84</v>
      </c>
      <c r="B78" s="131">
        <f ca="1">(B68/E2)*E3+((B74/E2)*(E3-E2))</f>
        <v>195795886.83085561</v>
      </c>
      <c r="C78" s="131">
        <f ca="1">(C67/E2)*E3+((C74/E2)*(E3-E2))+D42</f>
        <v>124967635.58812739</v>
      </c>
      <c r="D78" s="116">
        <f ca="1">(B78-C78)/C78</f>
        <v>0.56677275607715261</v>
      </c>
      <c r="E78" s="104">
        <f ca="1">(B78-C78)</f>
        <v>70828251.242728218</v>
      </c>
      <c r="F78" s="118">
        <f ca="1">E78/B78</f>
        <v>0.36174534812324949</v>
      </c>
      <c r="G78" s="104">
        <f ca="1">(G68/E2*E3)</f>
        <v>56275951.227906972</v>
      </c>
      <c r="H78" s="104">
        <f ca="1">G78/F78</f>
        <v>155567864.2997596</v>
      </c>
      <c r="I78" s="107">
        <f ca="1">J78/B78</f>
        <v>0.2054589766017314</v>
      </c>
      <c r="J78" s="108">
        <f ca="1">B78-H78</f>
        <v>40228022.531096011</v>
      </c>
      <c r="K78" s="104">
        <f ca="1">E78-G78</f>
        <v>14552300.014821246</v>
      </c>
      <c r="L78" s="109">
        <f ca="1">K78/B78</f>
        <v>7.4323829015839879E-2</v>
      </c>
    </row>
    <row r="79" spans="1:12" x14ac:dyDescent="0.25">
      <c r="B79" s="27"/>
      <c r="C79" s="132"/>
      <c r="D79" s="133"/>
      <c r="E79" s="27"/>
      <c r="F79" s="134"/>
      <c r="G79" s="27"/>
      <c r="H79" s="27"/>
      <c r="I79" s="134"/>
      <c r="J79" s="27"/>
      <c r="K79" s="27"/>
      <c r="L79" s="135"/>
    </row>
    <row r="80" spans="1:12" x14ac:dyDescent="0.25">
      <c r="A80" s="136" t="s">
        <v>24</v>
      </c>
      <c r="B80" s="137" t="s">
        <v>62</v>
      </c>
      <c r="C80" s="138" t="s">
        <v>63</v>
      </c>
      <c r="D80" s="138" t="s">
        <v>64</v>
      </c>
      <c r="E80" s="138" t="s">
        <v>65</v>
      </c>
      <c r="F80" s="138" t="s">
        <v>66</v>
      </c>
      <c r="G80" s="138" t="s">
        <v>67</v>
      </c>
      <c r="H80" s="138" t="s">
        <v>68</v>
      </c>
      <c r="I80" s="138" t="s">
        <v>85</v>
      </c>
      <c r="J80" s="138" t="s">
        <v>70</v>
      </c>
      <c r="K80" s="138" t="s">
        <v>71</v>
      </c>
      <c r="L80" s="138" t="s">
        <v>72</v>
      </c>
    </row>
    <row r="81" spans="1:12" x14ac:dyDescent="0.25">
      <c r="A81" s="139" t="s">
        <v>73</v>
      </c>
      <c r="B81" s="126">
        <f>B2</f>
        <v>75000000</v>
      </c>
      <c r="C81" s="126">
        <f ca="1">B4+B41</f>
        <v>50940395.229290001</v>
      </c>
      <c r="D81" s="119">
        <f ca="1">(B81-C81)/C81</f>
        <v>0.47230895367839765</v>
      </c>
      <c r="E81" s="94">
        <f ca="1">(B81-C81)</f>
        <v>24059604.770709999</v>
      </c>
      <c r="F81" s="109">
        <f>B3</f>
        <v>0.316</v>
      </c>
      <c r="G81" s="126">
        <f>B10</f>
        <v>22098979.634</v>
      </c>
      <c r="H81" s="126">
        <f>G81/F81</f>
        <v>69933479.854430377</v>
      </c>
      <c r="I81" s="38">
        <f>J81/B81</f>
        <v>6.7553601940928298E-2</v>
      </c>
      <c r="J81" s="140">
        <f>B81-H81</f>
        <v>5066520.1455696225</v>
      </c>
      <c r="K81" s="94">
        <f ca="1">E81-G81</f>
        <v>1960625.1367099993</v>
      </c>
      <c r="L81" s="118">
        <f ca="1">K81/B81</f>
        <v>2.6141668489466658E-2</v>
      </c>
    </row>
    <row r="82" spans="1:12" x14ac:dyDescent="0.25">
      <c r="A82" s="139" t="s">
        <v>74</v>
      </c>
      <c r="B82" s="126">
        <f ca="1">(B81/E3)*E2</f>
        <v>61545801.526717559</v>
      </c>
      <c r="C82" s="126">
        <f ca="1">(C81/E3)*E2</f>
        <v>41802232.726325765</v>
      </c>
      <c r="D82" s="119">
        <f ca="1">(B82-C82)/C82</f>
        <v>0.47230895367839765</v>
      </c>
      <c r="E82" s="94">
        <f ca="1">(B82-C82)</f>
        <v>19743568.800391793</v>
      </c>
      <c r="F82" s="109">
        <f ca="1">E82/B82</f>
        <v>0.32079473027613331</v>
      </c>
      <c r="G82" s="126">
        <f ca="1">G81/E3*E2</f>
        <v>18134658.859961834</v>
      </c>
      <c r="H82" s="126">
        <f ca="1">G82/F82</f>
        <v>56530413.839254476</v>
      </c>
      <c r="I82" s="38">
        <f ca="1">J82/B82</f>
        <v>8.1490330177694734E-2</v>
      </c>
      <c r="J82" s="140">
        <f ca="1">B82-H82</f>
        <v>5015387.6874630824</v>
      </c>
      <c r="K82" s="94">
        <f ca="1">E82-G82</f>
        <v>1608909.9404299594</v>
      </c>
      <c r="L82" s="118">
        <f ca="1">K82/B82</f>
        <v>2.6141668489466627E-2</v>
      </c>
    </row>
    <row r="83" spans="1:12" x14ac:dyDescent="0.25">
      <c r="A83" s="141" t="s">
        <v>75</v>
      </c>
      <c r="B83" s="126">
        <f ca="1">B24</f>
        <v>52091763.366412215</v>
      </c>
      <c r="C83" s="126">
        <f ca="1">B43</f>
        <v>41410463.229290001</v>
      </c>
      <c r="D83" s="119">
        <f ca="1">(B83-C83)/C83</f>
        <v>0.25793722900368893</v>
      </c>
      <c r="E83" s="94">
        <f ca="1">(B83-C83)</f>
        <v>10681300.137122214</v>
      </c>
      <c r="F83" s="109">
        <f ca="1">E83/B83</f>
        <v>0.20504777428996221</v>
      </c>
      <c r="G83" s="126">
        <f ca="1">G81/E3*E2</f>
        <v>18134658.859961834</v>
      </c>
      <c r="H83" s="126">
        <f ca="1">G83/F83</f>
        <v>88441139.742961779</v>
      </c>
      <c r="I83" s="38">
        <f ca="1">J83/B83</f>
        <v>-0.69779508366551013</v>
      </c>
      <c r="J83" s="140">
        <f ca="1">B83-H83</f>
        <v>-36349376.376549564</v>
      </c>
      <c r="K83" s="94">
        <f ca="1">E83-G83</f>
        <v>-7453358.72283962</v>
      </c>
      <c r="L83" s="118">
        <f ca="1">K83/B83</f>
        <v>-0.14308132881609081</v>
      </c>
    </row>
    <row r="84" spans="1:12" x14ac:dyDescent="0.25">
      <c r="A84" s="142" t="s">
        <v>76</v>
      </c>
      <c r="B84" s="143">
        <f ca="1">B26</f>
        <v>61067350.877192989</v>
      </c>
      <c r="C84" s="143">
        <f ca="1">B43</f>
        <v>41410463.229290001</v>
      </c>
      <c r="D84" s="116">
        <f ca="1">(B84-C84)/C84</f>
        <v>0.47468408018192587</v>
      </c>
      <c r="E84" s="104">
        <f ca="1">(B84-C84)</f>
        <v>19656887.647902988</v>
      </c>
      <c r="F84" s="109">
        <f ca="1">E84/B84</f>
        <v>0.32188865843277159</v>
      </c>
      <c r="G84" s="143">
        <f>B49</f>
        <v>17350259.238000002</v>
      </c>
      <c r="H84" s="143">
        <f ca="1">G84/F84</f>
        <v>53901430.769496061</v>
      </c>
      <c r="I84" s="107">
        <f ca="1">J84/B84</f>
        <v>0.1173445385261211</v>
      </c>
      <c r="J84" s="144">
        <f ca="1">B84-H84</f>
        <v>7165920.1076969281</v>
      </c>
      <c r="K84" s="104">
        <f ca="1">E84-G84</f>
        <v>2306628.4099029861</v>
      </c>
      <c r="L84" s="109">
        <f ca="1">K84/B84</f>
        <v>3.7771876080585798E-2</v>
      </c>
    </row>
    <row r="85" spans="1:12" x14ac:dyDescent="0.25">
      <c r="A85" s="145" t="s">
        <v>77</v>
      </c>
      <c r="B85" s="126">
        <f t="shared" ref="B85" ca="1" si="3">B84-B82</f>
        <v>-478450.64952456951</v>
      </c>
      <c r="C85" s="126">
        <f ca="1">C84-C82</f>
        <v>-391769.49703576416</v>
      </c>
      <c r="D85" s="146">
        <f ca="1">D84-D82</f>
        <v>2.3751265035282243E-3</v>
      </c>
      <c r="E85" s="34">
        <f t="shared" ref="E85:L85" ca="1" si="4">E84-E82</f>
        <v>-86681.152488805354</v>
      </c>
      <c r="F85" s="38">
        <f t="shared" ca="1" si="4"/>
        <v>1.0939281566382797E-3</v>
      </c>
      <c r="G85" s="34">
        <f t="shared" ca="1" si="4"/>
        <v>-784399.62196183205</v>
      </c>
      <c r="H85" s="34">
        <f t="shared" ca="1" si="4"/>
        <v>-2628983.0697584152</v>
      </c>
      <c r="I85" s="112">
        <f t="shared" ca="1" si="4"/>
        <v>3.585420834842637E-2</v>
      </c>
      <c r="J85" s="34">
        <f t="shared" ca="1" si="4"/>
        <v>2150532.4202338457</v>
      </c>
      <c r="K85" s="34">
        <f t="shared" ca="1" si="4"/>
        <v>697718.46947302669</v>
      </c>
      <c r="L85" s="112">
        <f t="shared" ca="1" si="4"/>
        <v>1.1630207591119171E-2</v>
      </c>
    </row>
    <row r="86" spans="1:12" x14ac:dyDescent="0.25">
      <c r="A86" s="147" t="s">
        <v>78</v>
      </c>
      <c r="B86" s="148">
        <f ca="1">B92+B90+B84+G92</f>
        <v>74044126.972306982</v>
      </c>
      <c r="C86" s="148">
        <f ca="1">C92+C90+C84</f>
        <v>50940395.229290001</v>
      </c>
      <c r="D86" s="149">
        <f ca="1">(B86-C86)/C86</f>
        <v>0.45354441478170282</v>
      </c>
      <c r="E86" s="150">
        <f ca="1">(B86-C86)</f>
        <v>23103731.743016981</v>
      </c>
      <c r="F86" s="151">
        <f ca="1">E86/B86</f>
        <v>0.31202652644764028</v>
      </c>
      <c r="G86" s="148">
        <f ca="1">G94</f>
        <v>21143106.606306978</v>
      </c>
      <c r="H86" s="148">
        <f ca="1">G86/F86</f>
        <v>67760606.276065782</v>
      </c>
      <c r="I86" s="152">
        <f ca="1">J86/B86</f>
        <v>8.486183784152497E-2</v>
      </c>
      <c r="J86" s="153">
        <f ca="1">B86-H86</f>
        <v>6283520.6962412</v>
      </c>
      <c r="K86" s="150">
        <f ca="1">E86-G86</f>
        <v>1960625.136710003</v>
      </c>
      <c r="L86" s="154">
        <f ca="1">K86/B86</f>
        <v>2.6479144489653994E-2</v>
      </c>
    </row>
    <row r="87" spans="1:12" x14ac:dyDescent="0.25">
      <c r="A87" s="145" t="s">
        <v>79</v>
      </c>
      <c r="B87" s="34">
        <f ca="1">(B86)/E3*E2</f>
        <v>60761401.904755726</v>
      </c>
      <c r="C87" s="34">
        <f ca="1">C86/E3*E2</f>
        <v>41802232.726325765</v>
      </c>
      <c r="D87" s="119">
        <f ca="1">(B87-C87)/C87</f>
        <v>0.45354441478170271</v>
      </c>
      <c r="E87" s="94">
        <f ca="1">(B87-C87)</f>
        <v>18959169.178429961</v>
      </c>
      <c r="F87" s="109">
        <f ca="1">E87/B87</f>
        <v>0.31202652644764023</v>
      </c>
      <c r="G87" s="34">
        <f ca="1">(((G84/E2)*E3)/E3)*E2</f>
        <v>17350259.238000002</v>
      </c>
      <c r="H87" s="126">
        <f ca="1">G87/F87</f>
        <v>55605077.669290632</v>
      </c>
      <c r="I87" s="38">
        <f ca="1">J87/B87</f>
        <v>8.4861837841524762E-2</v>
      </c>
      <c r="J87" s="140">
        <f ca="1">B87-H87</f>
        <v>5156324.2354650944</v>
      </c>
      <c r="K87" s="94">
        <f ca="1">E87-G87</f>
        <v>1608909.9404299594</v>
      </c>
      <c r="L87" s="118">
        <f ca="1">K87/B87</f>
        <v>2.6479144489653914E-2</v>
      </c>
    </row>
    <row r="88" spans="1:12" x14ac:dyDescent="0.25">
      <c r="A88" s="139" t="s">
        <v>80</v>
      </c>
      <c r="B88" s="126">
        <f t="shared" ref="B88:L88" ca="1" si="5">B84-B87</f>
        <v>305948.97243726254</v>
      </c>
      <c r="C88" s="126">
        <f t="shared" ca="1" si="5"/>
        <v>-391769.49703576416</v>
      </c>
      <c r="D88" s="120">
        <f t="shared" ca="1" si="5"/>
        <v>2.1139665400223162E-2</v>
      </c>
      <c r="E88" s="34">
        <f t="shared" ca="1" si="5"/>
        <v>697718.46947302669</v>
      </c>
      <c r="F88" s="120">
        <f t="shared" ca="1" si="5"/>
        <v>9.8621319851313616E-3</v>
      </c>
      <c r="G88" s="34">
        <f t="shared" ca="1" si="5"/>
        <v>0</v>
      </c>
      <c r="H88" s="34">
        <f t="shared" ca="1" si="5"/>
        <v>-1703646.8997945711</v>
      </c>
      <c r="I88" s="120">
        <f t="shared" ca="1" si="5"/>
        <v>3.2482700684596341E-2</v>
      </c>
      <c r="J88" s="34">
        <f t="shared" ca="1" si="5"/>
        <v>2009595.8722318336</v>
      </c>
      <c r="K88" s="34">
        <f t="shared" ca="1" si="5"/>
        <v>697718.46947302669</v>
      </c>
      <c r="L88" s="120">
        <f t="shared" ca="1" si="5"/>
        <v>1.1292731590931884E-2</v>
      </c>
    </row>
    <row r="89" spans="1:12" x14ac:dyDescent="0.25">
      <c r="A89" s="121"/>
      <c r="B89" s="143"/>
      <c r="C89" s="143"/>
      <c r="D89" s="116"/>
      <c r="E89" s="104"/>
      <c r="F89" s="109"/>
      <c r="G89" s="143"/>
      <c r="H89" s="143"/>
      <c r="I89" s="107"/>
      <c r="J89" s="144"/>
      <c r="K89" s="104"/>
      <c r="L89" s="109"/>
    </row>
    <row r="90" spans="1:12" x14ac:dyDescent="0.25">
      <c r="A90" s="139" t="s">
        <v>81</v>
      </c>
      <c r="B90" s="126">
        <f ca="1">(D13+B24)-(B24+B25)</f>
        <v>5459790.4892192259</v>
      </c>
      <c r="C90" s="126">
        <f ca="1">(F13+E13)-(E13-B41)</f>
        <v>8352051.2292900011</v>
      </c>
      <c r="D90" s="155">
        <f ca="1">(B90-C90)/C90</f>
        <v>-0.34629346260806437</v>
      </c>
      <c r="E90" s="94">
        <f ca="1">(B90-C90)</f>
        <v>-2892260.7400707752</v>
      </c>
      <c r="F90" s="127">
        <f ca="1">E90/B90</f>
        <v>-0.52973841135145483</v>
      </c>
      <c r="G90" s="126">
        <f ca="1">((G84-(B84-C84))/E3)*E2</f>
        <v>-1892843.9241570306</v>
      </c>
      <c r="H90" s="126">
        <f ca="1">G90/F90</f>
        <v>3573167.2153583434</v>
      </c>
      <c r="I90" s="38">
        <f ca="1">J90/B90</f>
        <v>0.3455486575146362</v>
      </c>
      <c r="J90" s="140">
        <f ca="1">B90-H90</f>
        <v>1886623.2738608825</v>
      </c>
      <c r="K90" s="94">
        <f ca="1">E90-G90</f>
        <v>-999416.8159137445</v>
      </c>
      <c r="L90" s="127">
        <f ca="1">K90/B90</f>
        <v>-0.18305039687643132</v>
      </c>
    </row>
    <row r="91" spans="1:12" x14ac:dyDescent="0.25">
      <c r="A91" s="139" t="s">
        <v>82</v>
      </c>
      <c r="B91" s="126">
        <f ca="1">(B90/E2)*(E3-E2)</f>
        <v>1193535.5953176911</v>
      </c>
      <c r="C91" s="126">
        <f ca="1">(C90/E2)*(E3-E2)</f>
        <v>1825797.245472698</v>
      </c>
      <c r="D91" s="119">
        <f ca="1">(B91-C91)/C91</f>
        <v>-0.34629346260806448</v>
      </c>
      <c r="E91" s="94">
        <f ca="1">(B91-C91)</f>
        <v>-632261.65015500691</v>
      </c>
      <c r="F91" s="127">
        <f ca="1">E91/B91</f>
        <v>-0.52973841135145516</v>
      </c>
      <c r="G91" s="126">
        <f ca="1">(B49/E2)*(E3-E2)</f>
        <v>3792847.3683069767</v>
      </c>
      <c r="H91" s="126">
        <f ca="1">G91/F91</f>
        <v>-7159849.6296139089</v>
      </c>
      <c r="I91" s="38">
        <f ca="1">J91/B91</f>
        <v>6.9988572252913199</v>
      </c>
      <c r="J91" s="140">
        <f ca="1">B91-H91</f>
        <v>8353385.2249315996</v>
      </c>
      <c r="K91" s="94">
        <f ca="1">E91-G91</f>
        <v>-4425109.0184619837</v>
      </c>
      <c r="L91" s="127">
        <f ca="1">K91/B91</f>
        <v>-3.7075635078014777</v>
      </c>
    </row>
    <row r="92" spans="1:12" x14ac:dyDescent="0.25">
      <c r="A92" s="139" t="s">
        <v>83</v>
      </c>
      <c r="B92" s="126">
        <f ca="1">B81-(B90+B84)</f>
        <v>8472858.6335877851</v>
      </c>
      <c r="C92" s="126">
        <f ca="1">C81-(C90+C84)</f>
        <v>1177880.7707099989</v>
      </c>
      <c r="D92" s="119">
        <f ca="1">(B92-C92)/C92</f>
        <v>6.1933075437512617</v>
      </c>
      <c r="E92" s="94">
        <f ca="1">(B92-C92)</f>
        <v>7294977.8628777862</v>
      </c>
      <c r="F92" s="127">
        <f ca="1">E92/B92</f>
        <v>0.86098189269431591</v>
      </c>
      <c r="G92" s="126">
        <f ca="1">G94-G81</f>
        <v>-955873.02769302204</v>
      </c>
      <c r="H92" s="126">
        <f ca="1">G92/F92</f>
        <v>-1110212.6953004301</v>
      </c>
      <c r="I92" s="38">
        <f ca="1">J92/B92</f>
        <v>1.1310316557034679</v>
      </c>
      <c r="J92" s="140">
        <f ca="1">B92-H92</f>
        <v>9583071.3288882151</v>
      </c>
      <c r="K92" s="94">
        <f ca="1">E92-G92</f>
        <v>8250850.8905708082</v>
      </c>
      <c r="L92" s="127">
        <f ca="1">K92/B92</f>
        <v>0.97379777562475756</v>
      </c>
    </row>
    <row r="93" spans="1:12" x14ac:dyDescent="0.25">
      <c r="A93" s="129"/>
      <c r="B93" s="143"/>
      <c r="C93" s="143"/>
      <c r="D93" s="116"/>
      <c r="E93" s="104"/>
      <c r="F93" s="109"/>
      <c r="G93" s="143"/>
      <c r="H93" s="143"/>
      <c r="I93" s="107"/>
      <c r="J93" s="144"/>
      <c r="K93" s="104"/>
      <c r="L93" s="109"/>
    </row>
    <row r="94" spans="1:12" x14ac:dyDescent="0.25">
      <c r="A94" s="156" t="s">
        <v>84</v>
      </c>
      <c r="B94" s="131">
        <f ca="1">(B84/E2)*E3+((B90/E2)*(E3-E2))</f>
        <v>75610493.408455193</v>
      </c>
      <c r="C94" s="131">
        <f ca="1">((E13/E2)*E3)+(F13/E3*(E3-E2))+B42</f>
        <v>52025761.082751326</v>
      </c>
      <c r="D94" s="157">
        <f ca="1">(B94-C94)/C94</f>
        <v>0.453327963586931</v>
      </c>
      <c r="E94" s="104">
        <f ca="1">(B94-C94)</f>
        <v>23584732.325703867</v>
      </c>
      <c r="F94" s="118">
        <f ca="1">E94/B94</f>
        <v>0.31192406321562888</v>
      </c>
      <c r="G94" s="143">
        <f ca="1">(B49/E2)*E3</f>
        <v>21143106.606306978</v>
      </c>
      <c r="H94" s="143">
        <f ca="1">G94/F94</f>
        <v>67782864.804793969</v>
      </c>
      <c r="I94" s="107">
        <f ca="1">J94/B94</f>
        <v>0.10352569135312499</v>
      </c>
      <c r="J94" s="144">
        <f ca="1">B94-H94</f>
        <v>7827628.6036612242</v>
      </c>
      <c r="K94" s="104">
        <f ca="1">E94-G94</f>
        <v>2441625.7193968892</v>
      </c>
      <c r="L94" s="109">
        <f ca="1">K94/B94</f>
        <v>3.2292154294073852E-2</v>
      </c>
    </row>
    <row r="95" spans="1:12" x14ac:dyDescent="0.25">
      <c r="B95" s="27"/>
      <c r="C95" s="27"/>
      <c r="D95" s="158"/>
      <c r="E95" s="27"/>
      <c r="F95" s="134"/>
      <c r="G95" s="27"/>
      <c r="H95" s="27"/>
      <c r="I95" s="134"/>
      <c r="J95" s="27"/>
      <c r="K95" s="27"/>
      <c r="L95" s="134"/>
    </row>
    <row r="96" spans="1:12" x14ac:dyDescent="0.25">
      <c r="A96" s="159" t="s">
        <v>86</v>
      </c>
      <c r="B96" s="160" t="s">
        <v>62</v>
      </c>
      <c r="C96" s="161" t="s">
        <v>63</v>
      </c>
      <c r="D96" s="162" t="s">
        <v>64</v>
      </c>
      <c r="E96" s="161" t="s">
        <v>65</v>
      </c>
      <c r="F96" s="161" t="s">
        <v>66</v>
      </c>
      <c r="G96" s="161" t="s">
        <v>67</v>
      </c>
      <c r="H96" s="161" t="s">
        <v>87</v>
      </c>
      <c r="I96" s="161" t="s">
        <v>85</v>
      </c>
      <c r="J96" s="161" t="s">
        <v>70</v>
      </c>
      <c r="K96" s="161" t="s">
        <v>71</v>
      </c>
      <c r="L96" s="161" t="s">
        <v>72</v>
      </c>
    </row>
    <row r="97" spans="1:12" x14ac:dyDescent="0.25">
      <c r="A97" s="163" t="s">
        <v>73</v>
      </c>
      <c r="B97" s="164">
        <f>C2</f>
        <v>90000000</v>
      </c>
      <c r="C97" s="126">
        <f ca="1">C4+C41</f>
        <v>53168124.063419998</v>
      </c>
      <c r="D97" s="119">
        <f ca="1">(B97-C97)/C97</f>
        <v>0.6927435674173158</v>
      </c>
      <c r="E97" s="94">
        <f ca="1">(B97-C97)</f>
        <v>36831875.936580002</v>
      </c>
      <c r="F97" s="109">
        <f>C3</f>
        <v>0.39</v>
      </c>
      <c r="G97" s="126">
        <f>C10</f>
        <v>36878367.365999997</v>
      </c>
      <c r="H97" s="126">
        <f>G97/F97</f>
        <v>94559916.323076919</v>
      </c>
      <c r="I97" s="38">
        <f>J97/B97</f>
        <v>-5.0665736923076875E-2</v>
      </c>
      <c r="J97" s="140">
        <f>B97-H97</f>
        <v>-4559916.3230769187</v>
      </c>
      <c r="K97" s="94">
        <f ca="1">E97-G97</f>
        <v>-46491.429419994354</v>
      </c>
      <c r="L97" s="118">
        <f ca="1">K97/B97</f>
        <v>-5.1657143799993727E-4</v>
      </c>
    </row>
    <row r="98" spans="1:12" x14ac:dyDescent="0.25">
      <c r="A98" s="163" t="s">
        <v>74</v>
      </c>
      <c r="B98" s="164">
        <f ca="1">(B97/E3)*E2</f>
        <v>73854961.832061067</v>
      </c>
      <c r="C98" s="126">
        <f ca="1">C97/E3*E2</f>
        <v>43630330.815401904</v>
      </c>
      <c r="D98" s="119">
        <f ca="1">(B98-C98)/C98</f>
        <v>0.69274356741731591</v>
      </c>
      <c r="E98" s="94">
        <f ca="1">(B98-C98)</f>
        <v>30224631.016659163</v>
      </c>
      <c r="F98" s="109">
        <f ca="1">E98/B98</f>
        <v>0.40924306596200005</v>
      </c>
      <c r="G98" s="126">
        <f ca="1">G97/E3*E2</f>
        <v>30262782.380496182</v>
      </c>
      <c r="H98" s="126">
        <f ca="1">G98/F98</f>
        <v>73948186.047717199</v>
      </c>
      <c r="I98" s="38">
        <f ca="1">J98/B98</f>
        <v>-1.2622606977729434E-3</v>
      </c>
      <c r="J98" s="140">
        <f ca="1">B98-H98</f>
        <v>-93224.215656131506</v>
      </c>
      <c r="K98" s="94">
        <f ca="1">E98-G98</f>
        <v>-38151.363837018609</v>
      </c>
      <c r="L98" s="118">
        <f ca="1">K98/B98</f>
        <v>-5.1657143799994194E-4</v>
      </c>
    </row>
    <row r="99" spans="1:12" x14ac:dyDescent="0.25">
      <c r="A99" s="165" t="s">
        <v>75</v>
      </c>
      <c r="B99" s="164">
        <f ca="1">C24</f>
        <v>93342975.553435117</v>
      </c>
      <c r="C99" s="126">
        <f>C34</f>
        <v>58753805</v>
      </c>
      <c r="D99" s="119">
        <f ca="1">(B99-C99)/C99</f>
        <v>0.58871371060027711</v>
      </c>
      <c r="E99" s="94">
        <f ca="1">(B99-C99)</f>
        <v>34589170.553435117</v>
      </c>
      <c r="F99" s="109">
        <f ca="1">E99/B99</f>
        <v>0.37055997356366899</v>
      </c>
      <c r="G99" s="126">
        <f ca="1">G97/E3*E2</f>
        <v>30262782.380496182</v>
      </c>
      <c r="H99" s="126">
        <f ca="1">G99/F99</f>
        <v>81667704.391976058</v>
      </c>
      <c r="I99" s="38">
        <f ca="1">J99/B99</f>
        <v>0.12507926913874129</v>
      </c>
      <c r="J99" s="140">
        <f ca="1">B99-H99</f>
        <v>11675271.161459059</v>
      </c>
      <c r="K99" s="94">
        <f ca="1">E99-G99</f>
        <v>4326388.1729389355</v>
      </c>
      <c r="L99" s="118">
        <f ca="1">K99/B99</f>
        <v>4.6349370665415002E-2</v>
      </c>
    </row>
    <row r="100" spans="1:12" x14ac:dyDescent="0.25">
      <c r="A100" s="166" t="s">
        <v>76</v>
      </c>
      <c r="B100" s="143">
        <f ca="1">C26</f>
        <v>96317713.114754096</v>
      </c>
      <c r="C100" s="143">
        <f ca="1">C43</f>
        <v>57021929.063419998</v>
      </c>
      <c r="D100" s="116">
        <f ca="1">(B100-C100)/C100</f>
        <v>0.68913459605390026</v>
      </c>
      <c r="E100" s="104">
        <f ca="1">(B100-C100)</f>
        <v>39295784.051334098</v>
      </c>
      <c r="F100" s="109">
        <f ca="1">E100/B100</f>
        <v>0.40798086645305442</v>
      </c>
      <c r="G100" s="143">
        <f>C49</f>
        <v>28830387.762000002</v>
      </c>
      <c r="H100" s="143">
        <f ca="1">G100/F100</f>
        <v>70666029.053393021</v>
      </c>
      <c r="I100" s="107">
        <f ca="1">J100/B100</f>
        <v>0.26632364112299206</v>
      </c>
      <c r="J100" s="144">
        <f ca="1">B100-H100</f>
        <v>25651684.061361074</v>
      </c>
      <c r="K100" s="104">
        <f ca="1">E100-G100</f>
        <v>10465396.289334096</v>
      </c>
      <c r="L100" s="109">
        <f ca="1">K100/B100</f>
        <v>0.1086549498622906</v>
      </c>
    </row>
    <row r="101" spans="1:12" x14ac:dyDescent="0.25">
      <c r="A101" s="167" t="s">
        <v>77</v>
      </c>
      <c r="B101" s="126">
        <f t="shared" ref="B101" ca="1" si="6">B100-B98</f>
        <v>22462751.282693028</v>
      </c>
      <c r="C101" s="126">
        <f ca="1">C100-C98</f>
        <v>13391598.248018093</v>
      </c>
      <c r="D101" s="120">
        <f t="shared" ref="D101:L101" ca="1" si="7">D100-D98</f>
        <v>-3.6089713634156473E-3</v>
      </c>
      <c r="E101" s="34">
        <f t="shared" ca="1" si="7"/>
        <v>9071153.034674935</v>
      </c>
      <c r="F101" s="38">
        <f ca="1">F100-F98</f>
        <v>-1.2621995089456273E-3</v>
      </c>
      <c r="G101" s="126">
        <f t="shared" ca="1" si="7"/>
        <v>-1432394.6184961796</v>
      </c>
      <c r="H101" s="126">
        <f t="shared" ca="1" si="7"/>
        <v>-3282156.9943241775</v>
      </c>
      <c r="I101" s="120">
        <f t="shared" ca="1" si="7"/>
        <v>0.26758590182076503</v>
      </c>
      <c r="J101" s="126">
        <f t="shared" ca="1" si="7"/>
        <v>25744908.277017206</v>
      </c>
      <c r="K101" s="104">
        <f t="shared" ca="1" si="7"/>
        <v>10503547.653171115</v>
      </c>
      <c r="L101" s="120">
        <f t="shared" ca="1" si="7"/>
        <v>0.10917152130029054</v>
      </c>
    </row>
    <row r="102" spans="1:12" x14ac:dyDescent="0.25">
      <c r="A102" s="168" t="s">
        <v>78</v>
      </c>
      <c r="B102" s="115">
        <f ca="1">B108+B106+B100+G108</f>
        <v>88254477.255600005</v>
      </c>
      <c r="C102" s="115">
        <f ca="1">C108+C106+C100</f>
        <v>53168124.063419998</v>
      </c>
      <c r="D102" s="169">
        <f ca="1">(B102-C102)/C102</f>
        <v>0.65991331855771906</v>
      </c>
      <c r="E102" s="170">
        <f ca="1">(B102-C102)</f>
        <v>35086353.192180008</v>
      </c>
      <c r="F102" s="151">
        <f ca="1">E102/B102</f>
        <v>0.39755890333545291</v>
      </c>
      <c r="G102" s="115">
        <f ca="1">G110</f>
        <v>35132844.621600002</v>
      </c>
      <c r="H102" s="115">
        <f ca="1">G102/F102</f>
        <v>88371419.497441247</v>
      </c>
      <c r="I102" s="171">
        <f ca="1">J102/B102</f>
        <v>-1.325057328282134E-3</v>
      </c>
      <c r="J102" s="172">
        <f ca="1">B102-H102</f>
        <v>-116942.24184124172</v>
      </c>
      <c r="K102" s="170">
        <f ca="1">E102-G102</f>
        <v>-46491.429419994354</v>
      </c>
      <c r="L102" s="154">
        <f ca="1">K102/B102</f>
        <v>-5.2678833828846163E-4</v>
      </c>
    </row>
    <row r="103" spans="1:12" x14ac:dyDescent="0.25">
      <c r="A103" s="167" t="s">
        <v>79</v>
      </c>
      <c r="B103" s="34">
        <f ca="1">B102/E3*E2</f>
        <v>72422567.213564888</v>
      </c>
      <c r="C103" s="34">
        <f ca="1">C102/E3*E2</f>
        <v>43630330.815401904</v>
      </c>
      <c r="D103" s="119">
        <f ca="1">(B103-C103)/C103</f>
        <v>0.65991331855771906</v>
      </c>
      <c r="E103" s="94">
        <f ca="1">(B103-C103)</f>
        <v>28792236.398162983</v>
      </c>
      <c r="F103" s="109">
        <f ca="1">E103/B103</f>
        <v>0.39755890333545291</v>
      </c>
      <c r="G103" s="34">
        <f ca="1">(((G100/E2)*E3)/E3)*E2</f>
        <v>28830387.762000002</v>
      </c>
      <c r="H103" s="126">
        <f ca="1">G103/F103</f>
        <v>72518531.266984224</v>
      </c>
      <c r="I103" s="38">
        <f ca="1">J103/B103</f>
        <v>-1.3250573282820941E-3</v>
      </c>
      <c r="J103" s="140">
        <f ca="1">B103-H103</f>
        <v>-95964.053419336677</v>
      </c>
      <c r="K103" s="94">
        <f ca="1">E103-G103</f>
        <v>-38151.363837018609</v>
      </c>
      <c r="L103" s="118">
        <f ca="1">K103/B103</f>
        <v>-5.2678833828846629E-4</v>
      </c>
    </row>
    <row r="104" spans="1:12" x14ac:dyDescent="0.25">
      <c r="A104" s="173" t="s">
        <v>80</v>
      </c>
      <c r="B104" s="126">
        <f t="shared" ref="B104" ca="1" si="8">B100-B103</f>
        <v>23895145.901189208</v>
      </c>
      <c r="C104" s="126">
        <f ca="1">C100-C103</f>
        <v>13391598.248018093</v>
      </c>
      <c r="D104" s="120">
        <f t="shared" ref="D104:L104" ca="1" si="9">D100-D103</f>
        <v>2.9221277496181197E-2</v>
      </c>
      <c r="E104" s="34">
        <f t="shared" ca="1" si="9"/>
        <v>10503547.653171115</v>
      </c>
      <c r="F104" s="120">
        <f t="shared" ca="1" si="9"/>
        <v>1.0421963117601518E-2</v>
      </c>
      <c r="G104" s="34">
        <f t="shared" ca="1" si="9"/>
        <v>0</v>
      </c>
      <c r="H104" s="34">
        <f t="shared" ca="1" si="9"/>
        <v>-1852502.2135912031</v>
      </c>
      <c r="I104" s="120">
        <f t="shared" ca="1" si="9"/>
        <v>0.26764869845127415</v>
      </c>
      <c r="J104" s="34">
        <f t="shared" ca="1" si="9"/>
        <v>25747648.114780411</v>
      </c>
      <c r="K104" s="34">
        <f t="shared" ca="1" si="9"/>
        <v>10503547.653171115</v>
      </c>
      <c r="L104" s="120">
        <f t="shared" ca="1" si="9"/>
        <v>0.10918173820057907</v>
      </c>
    </row>
    <row r="105" spans="1:12" x14ac:dyDescent="0.25">
      <c r="A105" s="121"/>
      <c r="B105" s="148"/>
      <c r="C105" s="148"/>
      <c r="D105" s="149"/>
      <c r="E105" s="150"/>
      <c r="F105" s="151"/>
      <c r="G105" s="148"/>
      <c r="H105" s="148"/>
      <c r="I105" s="152"/>
      <c r="J105" s="153"/>
      <c r="K105" s="150"/>
      <c r="L105" s="154"/>
    </row>
    <row r="106" spans="1:12" x14ac:dyDescent="0.25">
      <c r="A106" s="163" t="s">
        <v>81</v>
      </c>
      <c r="B106" s="126">
        <f ca="1">(D14+C24)-(C24+C25)</f>
        <v>18371455.438681021</v>
      </c>
      <c r="C106" s="126">
        <f ca="1">(F14+E14)-(E14-C41)</f>
        <v>14600180.063419998</v>
      </c>
      <c r="D106" s="125">
        <f ca="1">(B106-C106)/C106</f>
        <v>0.25830334686828699</v>
      </c>
      <c r="E106" s="94">
        <f ca="1">(B106-C106)</f>
        <v>3771275.3752610236</v>
      </c>
      <c r="F106" s="127">
        <f ca="1">E106/B106</f>
        <v>0.2052790748043086</v>
      </c>
      <c r="G106" s="126">
        <f ca="1">((G100-(B100-C100))/E3)*E2</f>
        <v>-8588016.0389573686</v>
      </c>
      <c r="H106" s="126">
        <f ca="1">G106/F106</f>
        <v>-41835808.384971902</v>
      </c>
      <c r="I106" s="38">
        <f ca="1">J106/B106</f>
        <v>3.2772179659150349</v>
      </c>
      <c r="J106" s="140">
        <f ca="1">B106-H106</f>
        <v>60207263.823652923</v>
      </c>
      <c r="K106" s="94">
        <f ca="1">E106-G106</f>
        <v>12359291.414218392</v>
      </c>
      <c r="L106" s="127">
        <f ca="1">K106/B106</f>
        <v>0.67274427197509656</v>
      </c>
    </row>
    <row r="107" spans="1:12" x14ac:dyDescent="0.25">
      <c r="A107" s="163" t="s">
        <v>82</v>
      </c>
      <c r="B107" s="174">
        <f ca="1">(B106/E2)*(E3-E2)</f>
        <v>4016085.6075256187</v>
      </c>
      <c r="C107" s="174">
        <f ca="1">(C106/E2)*(E3-E2)</f>
        <v>3191667.2696778597</v>
      </c>
      <c r="D107" s="119">
        <f ca="1">(B107-C107)/C107</f>
        <v>0.2583033468682871</v>
      </c>
      <c r="E107" s="175">
        <f ca="1">(B107-C107)</f>
        <v>824418.33784775902</v>
      </c>
      <c r="F107" s="127">
        <f ca="1">E107/B107</f>
        <v>0.20527907480430868</v>
      </c>
      <c r="G107" s="174">
        <f ca="1">(C49/E2)*(E3-E2)</f>
        <v>6302456.8596000001</v>
      </c>
      <c r="H107" s="174">
        <f ca="1">G107/F107</f>
        <v>30701896.262968324</v>
      </c>
      <c r="I107" s="38">
        <f ca="1">J107/B107</f>
        <v>-6.6447315279925787</v>
      </c>
      <c r="J107" s="176">
        <f ca="1">B107-H107</f>
        <v>-26685810.655442707</v>
      </c>
      <c r="K107" s="175">
        <f ca="1">E107-G107</f>
        <v>-5478038.5217522411</v>
      </c>
      <c r="L107" s="127">
        <f ca="1">K107/B107</f>
        <v>-1.3640243403893368</v>
      </c>
    </row>
    <row r="108" spans="1:12" x14ac:dyDescent="0.25">
      <c r="A108" s="163" t="s">
        <v>83</v>
      </c>
      <c r="B108" s="126">
        <f ca="1">B97-(B106+B100)</f>
        <v>-24689168.553435117</v>
      </c>
      <c r="C108" s="126">
        <f ca="1">C97-(C106+C100)</f>
        <v>-18453985.063419998</v>
      </c>
      <c r="D108" s="119">
        <f ca="1">(B108-C108)/C108</f>
        <v>0.33787734565661232</v>
      </c>
      <c r="E108" s="94">
        <f ca="1">(B108-C108)</f>
        <v>-6235183.4900151193</v>
      </c>
      <c r="F108" s="109">
        <f ca="1">E108/B108</f>
        <v>0.25254732562257914</v>
      </c>
      <c r="G108" s="126">
        <f ca="1">G110-G97</f>
        <v>-1745522.7443999946</v>
      </c>
      <c r="H108" s="126">
        <f ca="1">G108/F108</f>
        <v>-6911665.9228005502</v>
      </c>
      <c r="I108" s="38">
        <f ca="1">J108/B108</f>
        <v>0.72005270619617945</v>
      </c>
      <c r="J108" s="140">
        <f ca="1">B108-H108</f>
        <v>-17777502.630634569</v>
      </c>
      <c r="K108" s="94">
        <f ca="1">E108-G108</f>
        <v>-4489660.7456151247</v>
      </c>
      <c r="L108" s="127">
        <f ca="1">K108/B108</f>
        <v>0.1818473852571458</v>
      </c>
    </row>
    <row r="109" spans="1:12" x14ac:dyDescent="0.25">
      <c r="A109" s="129"/>
      <c r="B109" s="174"/>
      <c r="C109" s="174"/>
      <c r="D109" s="177"/>
      <c r="E109" s="175"/>
      <c r="F109" s="127"/>
      <c r="G109" s="174"/>
      <c r="H109" s="174"/>
      <c r="I109" s="38"/>
      <c r="J109" s="176"/>
      <c r="K109" s="175"/>
      <c r="L109" s="127"/>
    </row>
    <row r="110" spans="1:12" x14ac:dyDescent="0.25">
      <c r="A110" s="178" t="s">
        <v>84</v>
      </c>
      <c r="B110" s="131">
        <f ca="1">(B100/E2)*E3+((B106/E2)*(E3-E2))</f>
        <v>121389298.79852828</v>
      </c>
      <c r="C110" s="131">
        <f ca="1">((E14/E2)*E3)+(F14/E3*(E3-E2))+C42</f>
        <v>72416984.280301839</v>
      </c>
      <c r="D110" s="118">
        <f ca="1">(B110-C110)/C110</f>
        <v>0.67625454173389843</v>
      </c>
      <c r="E110" s="104">
        <f ca="1">(B110-C110)</f>
        <v>48972314.518226445</v>
      </c>
      <c r="F110" s="118">
        <f ca="1">E110/B110</f>
        <v>0.40343189229148246</v>
      </c>
      <c r="G110" s="143">
        <f ca="1">(C49/E2)*E3</f>
        <v>35132844.621600002</v>
      </c>
      <c r="H110" s="143">
        <f ca="1">G110/F110</f>
        <v>87084946.1653772</v>
      </c>
      <c r="I110" s="107">
        <f ca="1">J110/B110</f>
        <v>0.2825978317090912</v>
      </c>
      <c r="J110" s="144">
        <f ca="1">B110-H110</f>
        <v>34304352.633151084</v>
      </c>
      <c r="K110" s="104">
        <f ca="1">E110-G110</f>
        <v>13839469.896626443</v>
      </c>
      <c r="L110" s="109">
        <f ca="1">K110/B110</f>
        <v>0.11400897800386858</v>
      </c>
    </row>
  </sheetData>
  <mergeCells count="5">
    <mergeCell ref="G11:K11"/>
    <mergeCell ref="G12:H12"/>
    <mergeCell ref="I12:J12"/>
    <mergeCell ref="I16:J16"/>
    <mergeCell ref="A31:A32"/>
  </mergeCells>
  <conditionalFormatting sqref="A50">
    <cfRule type="expression" dxfId="135" priority="127">
      <formula>0&lt;$D$50</formula>
    </cfRule>
    <cfRule type="expression" dxfId="134" priority="126">
      <formula>0&gt;$D$50</formula>
    </cfRule>
  </conditionalFormatting>
  <conditionalFormatting sqref="A51">
    <cfRule type="expression" dxfId="133" priority="129">
      <formula>1&lt;$D$51</formula>
    </cfRule>
    <cfRule type="expression" dxfId="132" priority="128">
      <formula>0&gt;$D$51</formula>
    </cfRule>
  </conditionalFormatting>
  <conditionalFormatting sqref="A52">
    <cfRule type="expression" dxfId="131" priority="131">
      <formula>0&lt;$D$52</formula>
    </cfRule>
    <cfRule type="expression" dxfId="130" priority="130">
      <formula>0&gt;$D$52</formula>
    </cfRule>
  </conditionalFormatting>
  <conditionalFormatting sqref="A55:A56">
    <cfRule type="expression" dxfId="129" priority="132">
      <formula>0&gt;$D$56</formula>
    </cfRule>
    <cfRule type="expression" dxfId="128" priority="133">
      <formula>0&lt;$D$56</formula>
    </cfRule>
  </conditionalFormatting>
  <conditionalFormatting sqref="B49">
    <cfRule type="cellIs" dxfId="127" priority="134" operator="greaterThan">
      <formula>$B$10/E3*E2</formula>
    </cfRule>
    <cfRule type="cellIs" dxfId="126" priority="135" operator="lessThanOrEqual">
      <formula>$B$10/E3*E2</formula>
    </cfRule>
  </conditionalFormatting>
  <conditionalFormatting sqref="B55">
    <cfRule type="cellIs" dxfId="125" priority="8" operator="lessThanOrEqual">
      <formula>$B$10</formula>
    </cfRule>
    <cfRule type="cellIs" dxfId="124" priority="9" operator="greaterThan">
      <formula>$B$10</formula>
    </cfRule>
  </conditionalFormatting>
  <conditionalFormatting sqref="B85">
    <cfRule type="cellIs" dxfId="123" priority="66" operator="greaterThanOrEqual">
      <formula>0</formula>
    </cfRule>
  </conditionalFormatting>
  <conditionalFormatting sqref="B69:C69 B72 B85:C85">
    <cfRule type="cellIs" dxfId="122" priority="29" operator="lessThan">
      <formula>0</formula>
    </cfRule>
  </conditionalFormatting>
  <conditionalFormatting sqref="B69:C69">
    <cfRule type="cellIs" dxfId="121" priority="14" operator="greaterThanOrEqual">
      <formula>0</formula>
    </cfRule>
  </conditionalFormatting>
  <conditionalFormatting sqref="B88:C88 B101:C101 B104:C104">
    <cfRule type="cellIs" dxfId="120" priority="64" operator="lessThan">
      <formula>0</formula>
    </cfRule>
    <cfRule type="cellIs" dxfId="119" priority="65" operator="greaterThanOrEqual">
      <formula>0</formula>
    </cfRule>
  </conditionalFormatting>
  <conditionalFormatting sqref="B29:D32">
    <cfRule type="cellIs" dxfId="118" priority="4" operator="lessThan">
      <formula>0</formula>
    </cfRule>
    <cfRule type="cellIs" dxfId="117" priority="5" operator="greaterThanOrEqual">
      <formula>0</formula>
    </cfRule>
  </conditionalFormatting>
  <conditionalFormatting sqref="B50:E52">
    <cfRule type="cellIs" dxfId="116" priority="15" operator="greaterThan">
      <formula>0</formula>
    </cfRule>
    <cfRule type="cellIs" dxfId="115" priority="16" operator="lessThanOrEqual">
      <formula>0</formula>
    </cfRule>
  </conditionalFormatting>
  <conditionalFormatting sqref="B56:E56">
    <cfRule type="cellIs" dxfId="114" priority="18" operator="lessThan">
      <formula>0</formula>
    </cfRule>
    <cfRule type="cellIs" dxfId="113" priority="17" operator="greaterThanOrEqual">
      <formula>0</formula>
    </cfRule>
  </conditionalFormatting>
  <conditionalFormatting sqref="C49">
    <cfRule type="cellIs" dxfId="112" priority="137" operator="lessThanOrEqual">
      <formula>$C$10/E3*E2</formula>
    </cfRule>
    <cfRule type="cellIs" dxfId="111" priority="136" operator="greaterThan">
      <formula>$C$10/E3*E2</formula>
    </cfRule>
  </conditionalFormatting>
  <conditionalFormatting sqref="C55">
    <cfRule type="cellIs" dxfId="110" priority="10" operator="lessThanOrEqual">
      <formula>$C$10</formula>
    </cfRule>
    <cfRule type="cellIs" dxfId="109" priority="11" operator="greaterThan">
      <formula>$C$10</formula>
    </cfRule>
  </conditionalFormatting>
  <conditionalFormatting sqref="C85">
    <cfRule type="cellIs" dxfId="108" priority="63" operator="greaterThan">
      <formula>0</formula>
    </cfRule>
  </conditionalFormatting>
  <conditionalFormatting sqref="D49">
    <cfRule type="cellIs" dxfId="107" priority="111" operator="lessThanOrEqual">
      <formula>$G$66</formula>
    </cfRule>
    <cfRule type="cellIs" dxfId="106" priority="110" operator="greaterThan">
      <formula>$G$66</formula>
    </cfRule>
  </conditionalFormatting>
  <conditionalFormatting sqref="D55">
    <cfRule type="cellIs" dxfId="105" priority="121" operator="greaterThan">
      <formula>$D$10</formula>
    </cfRule>
    <cfRule type="cellIs" dxfId="104" priority="122" operator="lessThanOrEqual">
      <formula>$D$10</formula>
    </cfRule>
  </conditionalFormatting>
  <conditionalFormatting sqref="D69:D70">
    <cfRule type="cellIs" dxfId="103" priority="67" operator="lessThan">
      <formula>0</formula>
    </cfRule>
  </conditionalFormatting>
  <conditionalFormatting sqref="E2">
    <cfRule type="iconSet" priority="123">
      <iconSet iconSet="5Quarters">
        <cfvo type="percent" val="0"/>
        <cfvo type="num" val="$E$3*0.25"/>
        <cfvo type="num" val="$E$3*0.5"/>
        <cfvo type="num" val="$E$3*0.75"/>
        <cfvo type="num" val="$E$3"/>
      </iconSet>
    </cfRule>
  </conditionalFormatting>
  <conditionalFormatting sqref="E49">
    <cfRule type="cellIs" dxfId="102" priority="124" operator="greaterThan">
      <formula>$B$10/#REF!*#REF!</formula>
    </cfRule>
    <cfRule type="cellIs" dxfId="101" priority="125" operator="lessThanOrEqual">
      <formula>$B$10/#REF!*#REF!</formula>
    </cfRule>
  </conditionalFormatting>
  <conditionalFormatting sqref="E68">
    <cfRule type="cellIs" dxfId="100" priority="102" operator="lessThan">
      <formula>$E$66</formula>
    </cfRule>
    <cfRule type="cellIs" dxfId="99" priority="103" operator="greaterThanOrEqual">
      <formula>$E$66</formula>
    </cfRule>
  </conditionalFormatting>
  <conditionalFormatting sqref="E72">
    <cfRule type="cellIs" dxfId="98" priority="30" operator="greaterThanOrEqual">
      <formula>0</formula>
    </cfRule>
    <cfRule type="cellIs" dxfId="97" priority="31" operator="lessThan">
      <formula>0</formula>
    </cfRule>
  </conditionalFormatting>
  <conditionalFormatting sqref="E78">
    <cfRule type="cellIs" dxfId="96" priority="13" operator="lessThan">
      <formula>$E$65</formula>
    </cfRule>
    <cfRule type="cellIs" dxfId="95" priority="12" operator="greaterThanOrEqual">
      <formula>$E$65</formula>
    </cfRule>
  </conditionalFormatting>
  <conditionalFormatting sqref="E84 E89 E93">
    <cfRule type="cellIs" dxfId="94" priority="68" operator="greaterThanOrEqual">
      <formula>$E$82</formula>
    </cfRule>
    <cfRule type="cellIs" dxfId="93" priority="69" operator="lessThan">
      <formula>$E$82</formula>
    </cfRule>
  </conditionalFormatting>
  <conditionalFormatting sqref="E85">
    <cfRule type="cellIs" dxfId="92" priority="41" operator="greaterThanOrEqual">
      <formula>0</formula>
    </cfRule>
  </conditionalFormatting>
  <conditionalFormatting sqref="E94">
    <cfRule type="cellIs" dxfId="91" priority="47" operator="equal">
      <formula>($F$94&gt;=$F$81)</formula>
    </cfRule>
    <cfRule type="cellIs" dxfId="90" priority="46" operator="equal">
      <formula>($F$94&lt;$F$81)</formula>
    </cfRule>
  </conditionalFormatting>
  <conditionalFormatting sqref="E100 E104:E105">
    <cfRule type="cellIs" dxfId="89" priority="70" operator="lessThan">
      <formula>$E$98</formula>
    </cfRule>
    <cfRule type="cellIs" dxfId="88" priority="71" operator="greaterThanOrEqual">
      <formula>$E$98</formula>
    </cfRule>
  </conditionalFormatting>
  <conditionalFormatting sqref="E85:F85">
    <cfRule type="cellIs" dxfId="87" priority="48" operator="lessThan">
      <formula>0</formula>
    </cfRule>
  </conditionalFormatting>
  <conditionalFormatting sqref="E88:F88">
    <cfRule type="cellIs" dxfId="86" priority="44" operator="greaterThanOrEqual">
      <formula>0</formula>
    </cfRule>
    <cfRule type="cellIs" dxfId="85" priority="45" operator="lessThan">
      <formula>0</formula>
    </cfRule>
  </conditionalFormatting>
  <conditionalFormatting sqref="E101:F101">
    <cfRule type="cellIs" dxfId="84" priority="2" operator="lessThan">
      <formula>0</formula>
    </cfRule>
    <cfRule type="cellIs" dxfId="83" priority="1" operator="greaterThanOrEqual">
      <formula>0</formula>
    </cfRule>
  </conditionalFormatting>
  <conditionalFormatting sqref="F68 F75">
    <cfRule type="cellIs" dxfId="82" priority="79" operator="lessThan">
      <formula>$F$65</formula>
    </cfRule>
  </conditionalFormatting>
  <conditionalFormatting sqref="F68">
    <cfRule type="cellIs" dxfId="81" priority="78" operator="equal">
      <formula>$F$65</formula>
    </cfRule>
    <cfRule type="cellIs" dxfId="80" priority="80" operator="greaterThan">
      <formula>$F$65</formula>
    </cfRule>
  </conditionalFormatting>
  <conditionalFormatting sqref="F74">
    <cfRule type="cellIs" dxfId="79" priority="97" operator="greaterThan">
      <formula>$F$65</formula>
    </cfRule>
    <cfRule type="cellIs" dxfId="78" priority="96" operator="lessThan">
      <formula>$F$65</formula>
    </cfRule>
    <cfRule type="cellIs" dxfId="77" priority="95" operator="equal">
      <formula>$F$65</formula>
    </cfRule>
  </conditionalFormatting>
  <conditionalFormatting sqref="F75">
    <cfRule type="cellIs" dxfId="76" priority="94" operator="greaterThanOrEqual">
      <formula>$F$65</formula>
    </cfRule>
  </conditionalFormatting>
  <conditionalFormatting sqref="F76">
    <cfRule type="cellIs" dxfId="75" priority="37" operator="greaterThanOrEqual">
      <formula>$F$66</formula>
    </cfRule>
    <cfRule type="cellIs" dxfId="74" priority="36" operator="greaterThan">
      <formula>$F$66</formula>
    </cfRule>
  </conditionalFormatting>
  <conditionalFormatting sqref="F78">
    <cfRule type="cellIs" dxfId="73" priority="34" operator="lessThan">
      <formula>$F$65</formula>
    </cfRule>
    <cfRule type="cellIs" dxfId="72" priority="35" operator="greaterThanOrEqual">
      <formula>$F$65</formula>
    </cfRule>
  </conditionalFormatting>
  <conditionalFormatting sqref="F84 F89:F91 F93">
    <cfRule type="cellIs" dxfId="71" priority="93" operator="greaterThanOrEqual">
      <formula>$F$81</formula>
    </cfRule>
  </conditionalFormatting>
  <conditionalFormatting sqref="F84 F89:F91">
    <cfRule type="cellIs" dxfId="70" priority="92" operator="lessThan">
      <formula>$F$81</formula>
    </cfRule>
  </conditionalFormatting>
  <conditionalFormatting sqref="F90">
    <cfRule type="cellIs" dxfId="69" priority="98" operator="greaterThanOrEqual">
      <formula>$F$86</formula>
    </cfRule>
    <cfRule type="cellIs" dxfId="68" priority="99" operator="lessThan">
      <formula>$F$86</formula>
    </cfRule>
  </conditionalFormatting>
  <conditionalFormatting sqref="F92">
    <cfRule type="cellIs" dxfId="67" priority="32" operator="greaterThan">
      <formula>$F$86</formula>
    </cfRule>
    <cfRule type="cellIs" dxfId="66" priority="33" operator="lessThanOrEqual">
      <formula>$F$86</formula>
    </cfRule>
  </conditionalFormatting>
  <conditionalFormatting sqref="F93:F94">
    <cfRule type="cellIs" dxfId="65" priority="82" operator="lessThan">
      <formula>$F$81</formula>
    </cfRule>
  </conditionalFormatting>
  <conditionalFormatting sqref="F94">
    <cfRule type="cellIs" dxfId="64" priority="83" operator="greaterThan">
      <formula>$F$81</formula>
    </cfRule>
    <cfRule type="cellIs" dxfId="63" priority="81" operator="equal">
      <formula>$F$81</formula>
    </cfRule>
  </conditionalFormatting>
  <conditionalFormatting sqref="F100">
    <cfRule type="cellIs" dxfId="62" priority="53" operator="greaterThanOrEqual">
      <formula>$F$98</formula>
    </cfRule>
    <cfRule type="cellIs" dxfId="61" priority="54" operator="lessThan">
      <formula>$F$98</formula>
    </cfRule>
  </conditionalFormatting>
  <conditionalFormatting sqref="F104">
    <cfRule type="cellIs" dxfId="60" priority="51" operator="greaterThanOrEqual">
      <formula>0</formula>
    </cfRule>
    <cfRule type="cellIs" dxfId="59" priority="52" operator="lessThan">
      <formula>0</formula>
    </cfRule>
  </conditionalFormatting>
  <conditionalFormatting sqref="F108">
    <cfRule type="cellIs" dxfId="58" priority="49" operator="greaterThan">
      <formula>$F$102</formula>
    </cfRule>
    <cfRule type="cellIs" dxfId="57" priority="50" operator="lessThanOrEqual">
      <formula>$F$102</formula>
    </cfRule>
  </conditionalFormatting>
  <conditionalFormatting sqref="F110">
    <cfRule type="cellIs" dxfId="56" priority="113" operator="lessThan">
      <formula>$E$102</formula>
    </cfRule>
    <cfRule type="cellIs" dxfId="55" priority="116" operator="greaterThan">
      <formula>$F$97</formula>
    </cfRule>
    <cfRule type="cellIs" dxfId="54" priority="115" operator="lessThan">
      <formula>$F$97</formula>
    </cfRule>
    <cfRule type="cellIs" dxfId="53" priority="114" operator="equal">
      <formula>$F$97</formula>
    </cfRule>
    <cfRule type="cellIs" dxfId="52" priority="112" operator="greaterThanOrEqual">
      <formula>$F$97</formula>
    </cfRule>
  </conditionalFormatting>
  <conditionalFormatting sqref="G68">
    <cfRule type="cellIs" dxfId="51" priority="105" operator="greaterThan">
      <formula>$G$66</formula>
    </cfRule>
    <cfRule type="cellIs" dxfId="50" priority="104" operator="lessThanOrEqual">
      <formula>$G$66</formula>
    </cfRule>
  </conditionalFormatting>
  <conditionalFormatting sqref="G69">
    <cfRule type="cellIs" dxfId="49" priority="39" operator="lessThanOrEqual">
      <formula>0</formula>
    </cfRule>
    <cfRule type="cellIs" dxfId="48" priority="38" operator="greaterThan">
      <formula>0</formula>
    </cfRule>
  </conditionalFormatting>
  <conditionalFormatting sqref="G78">
    <cfRule type="cellIs" dxfId="47" priority="20" operator="lessThanOrEqual">
      <formula>$G$65</formula>
    </cfRule>
    <cfRule type="cellIs" dxfId="46" priority="19" operator="greaterThan">
      <formula>$G$65</formula>
    </cfRule>
  </conditionalFormatting>
  <conditionalFormatting sqref="G84">
    <cfRule type="cellIs" dxfId="45" priority="43" operator="greaterThanOrEqual">
      <formula>$G$82</formula>
    </cfRule>
    <cfRule type="cellIs" dxfId="44" priority="42" operator="greaterThan">
      <formula>$G$82</formula>
    </cfRule>
  </conditionalFormatting>
  <conditionalFormatting sqref="G85">
    <cfRule type="cellIs" dxfId="43" priority="3" operator="greaterThan">
      <formula>0</formula>
    </cfRule>
    <cfRule type="cellIs" dxfId="42" priority="40" operator="lessThanOrEqual">
      <formula>0</formula>
    </cfRule>
  </conditionalFormatting>
  <conditionalFormatting sqref="G100">
    <cfRule type="cellIs" dxfId="41" priority="56" operator="lessThanOrEqual">
      <formula>$G$98</formula>
    </cfRule>
    <cfRule type="cellIs" dxfId="40" priority="55" operator="greaterThan">
      <formula>$G$98</formula>
    </cfRule>
  </conditionalFormatting>
  <conditionalFormatting sqref="G110">
    <cfRule type="cellIs" dxfId="39" priority="22" operator="lessThanOrEqual">
      <formula>$G$97</formula>
    </cfRule>
    <cfRule type="cellIs" dxfId="38" priority="21" operator="greaterThan">
      <formula>$G$97</formula>
    </cfRule>
  </conditionalFormatting>
  <conditionalFormatting sqref="G101:H101">
    <cfRule type="cellIs" dxfId="37" priority="62" operator="lessThanOrEqual">
      <formula>0</formula>
    </cfRule>
    <cfRule type="cellIs" dxfId="36" priority="61" operator="greaterThanOrEqual">
      <formula>0</formula>
    </cfRule>
  </conditionalFormatting>
  <conditionalFormatting sqref="I101:J101">
    <cfRule type="cellIs" dxfId="35" priority="59" operator="greaterThanOrEqual">
      <formula>0</formula>
    </cfRule>
    <cfRule type="cellIs" dxfId="34" priority="60" operator="lessThan">
      <formula>0</formula>
    </cfRule>
  </conditionalFormatting>
  <conditionalFormatting sqref="K13:K15">
    <cfRule type="cellIs" dxfId="33" priority="7" operator="greaterThanOrEqual">
      <formula>0</formula>
    </cfRule>
    <cfRule type="cellIs" dxfId="32" priority="6" operator="lessThan">
      <formula>0</formula>
    </cfRule>
  </conditionalFormatting>
  <conditionalFormatting sqref="K68">
    <cfRule type="cellIs" dxfId="31" priority="106" operator="greaterThanOrEqual">
      <formula>$K$66</formula>
    </cfRule>
    <cfRule type="cellIs" dxfId="30" priority="107" operator="lessThan">
      <formula>$K$66</formula>
    </cfRule>
  </conditionalFormatting>
  <conditionalFormatting sqref="K70">
    <cfRule type="cellIs" dxfId="29" priority="75" operator="lessThan">
      <formula>$K$65</formula>
    </cfRule>
    <cfRule type="cellIs" dxfId="28" priority="74" operator="greaterThanOrEqual">
      <formula>$K$65</formula>
    </cfRule>
  </conditionalFormatting>
  <conditionalFormatting sqref="K78">
    <cfRule type="cellIs" dxfId="27" priority="76" operator="greaterThanOrEqual">
      <formula>$K$65</formula>
    </cfRule>
    <cfRule type="cellIs" dxfId="26" priority="77" operator="lessThan">
      <formula>$K$65</formula>
    </cfRule>
  </conditionalFormatting>
  <conditionalFormatting sqref="K84">
    <cfRule type="cellIs" dxfId="25" priority="28" operator="greaterThanOrEqual">
      <formula>$K$82</formula>
    </cfRule>
    <cfRule type="cellIs" dxfId="24" priority="27" operator="lessThan">
      <formula>$K$82</formula>
    </cfRule>
  </conditionalFormatting>
  <conditionalFormatting sqref="K94">
    <cfRule type="cellIs" dxfId="23" priority="24" operator="lessThan">
      <formula>$K$81</formula>
    </cfRule>
    <cfRule type="cellIs" dxfId="22" priority="23" operator="greaterThanOrEqual">
      <formula>$K$81</formula>
    </cfRule>
  </conditionalFormatting>
  <conditionalFormatting sqref="K100:K101">
    <cfRule type="cellIs" dxfId="21" priority="58" operator="lessThan">
      <formula>0</formula>
    </cfRule>
    <cfRule type="cellIs" dxfId="20" priority="57" operator="greaterThanOrEqual">
      <formula>0</formula>
    </cfRule>
  </conditionalFormatting>
  <conditionalFormatting sqref="K110">
    <cfRule type="cellIs" dxfId="19" priority="118" operator="lessThan">
      <formula>$K$97</formula>
    </cfRule>
    <cfRule type="cellIs" dxfId="18" priority="117" operator="greaterThanOrEqual">
      <formula>$K$97</formula>
    </cfRule>
  </conditionalFormatting>
  <conditionalFormatting sqref="K85:L85">
    <cfRule type="cellIs" dxfId="17" priority="26" operator="lessThan">
      <formula>0</formula>
    </cfRule>
    <cfRule type="cellIs" dxfId="16" priority="25" operator="greaterThanOrEqual">
      <formula>0</formula>
    </cfRule>
  </conditionalFormatting>
  <conditionalFormatting sqref="L68 L75:L76">
    <cfRule type="cellIs" dxfId="15" priority="85" operator="lessThan">
      <formula>$L$65</formula>
    </cfRule>
    <cfRule type="cellIs" dxfId="14" priority="84" operator="greaterThanOrEqual">
      <formula>$L$65</formula>
    </cfRule>
  </conditionalFormatting>
  <conditionalFormatting sqref="L70">
    <cfRule type="cellIs" dxfId="13" priority="73" operator="lessThan">
      <formula>$L$65</formula>
    </cfRule>
    <cfRule type="cellIs" dxfId="12" priority="72" operator="greaterThanOrEqual">
      <formula>$L$65</formula>
    </cfRule>
  </conditionalFormatting>
  <conditionalFormatting sqref="L74 L76 L78">
    <cfRule type="cellIs" dxfId="11" priority="109" operator="lessThan">
      <formula>$L$70</formula>
    </cfRule>
  </conditionalFormatting>
  <conditionalFormatting sqref="L76 L74 L78">
    <cfRule type="cellIs" dxfId="10" priority="108" operator="greaterThanOrEqual">
      <formula>$L$70</formula>
    </cfRule>
  </conditionalFormatting>
  <conditionalFormatting sqref="L84 L86:L93">
    <cfRule type="cellIs" dxfId="9" priority="89" operator="lessThan">
      <formula>$L$82</formula>
    </cfRule>
    <cfRule type="cellIs" dxfId="8" priority="88" operator="greaterThanOrEqual">
      <formula>$L$82</formula>
    </cfRule>
  </conditionalFormatting>
  <conditionalFormatting sqref="L90:L92 L94">
    <cfRule type="cellIs" dxfId="7" priority="91" operator="lessThan">
      <formula>$L$81</formula>
    </cfRule>
    <cfRule type="cellIs" dxfId="6" priority="90" operator="greaterThanOrEqual">
      <formula>$L$81</formula>
    </cfRule>
  </conditionalFormatting>
  <conditionalFormatting sqref="L92">
    <cfRule type="cellIs" dxfId="5" priority="100" operator="greaterThanOrEqual">
      <formula>$L$86</formula>
    </cfRule>
    <cfRule type="cellIs" dxfId="4" priority="101" operator="lessThan">
      <formula>$L$81</formula>
    </cfRule>
  </conditionalFormatting>
  <conditionalFormatting sqref="L100:L101 L104:L106 L110">
    <cfRule type="cellIs" dxfId="3" priority="87" operator="lessThan">
      <formula>$L$97</formula>
    </cfRule>
    <cfRule type="cellIs" dxfId="2" priority="86" operator="greaterThanOrEqual">
      <formula>$L$98</formula>
    </cfRule>
  </conditionalFormatting>
  <conditionalFormatting sqref="L106:L110">
    <cfRule type="cellIs" dxfId="1" priority="119" operator="greaterThanOrEqual">
      <formula>$L$97</formula>
    </cfRule>
    <cfRule type="cellIs" dxfId="0" priority="120" operator="lessThan">
      <formula>$L$97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Solheim</dc:creator>
  <cp:lastModifiedBy>Stian Solheim</cp:lastModifiedBy>
  <dcterms:created xsi:type="dcterms:W3CDTF">2024-10-25T17:01:05Z</dcterms:created>
  <dcterms:modified xsi:type="dcterms:W3CDTF">2024-10-26T02:41:54Z</dcterms:modified>
</cp:coreProperties>
</file>