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im Meyer-Hollatz\OneDrive\Dokumente\Studium\Bachelorarbeit\10_Tools\development_ba_v04\dev\"/>
    </mc:Choice>
  </mc:AlternateContent>
  <xr:revisionPtr revIDLastSave="0" documentId="114_{732DD8FA-1777-49DB-B56D-921A15F448A9}" xr6:coauthVersionLast="45" xr6:coauthVersionMax="45" xr10:uidLastSave="{00000000-0000-0000-0000-000000000000}"/>
  <bookViews>
    <workbookView xWindow="28680" yWindow="-120" windowWidth="29040" windowHeight="17640" firstSheet="2" activeTab="6" xr2:uid="{AA3D038B-7DEE-49F0-8A59-E04BC2E86255}"/>
  </bookViews>
  <sheets>
    <sheet name="Start" sheetId="1" r:id="rId1"/>
    <sheet name="Übersicht" sheetId="2" r:id="rId2"/>
    <sheet name="Plots" sheetId="3" r:id="rId3"/>
    <sheet name="Technologiedaten_POD" sheetId="4" r:id="rId4"/>
    <sheet name="Technologiedatenbasis" sheetId="5" r:id="rId5"/>
    <sheet name="Verbesserungsfaktoren" sheetId="6" r:id="rId6"/>
    <sheet name="rf_pv_ver_basis" sheetId="7" r:id="rId7"/>
    <sheet name="rf_pv_ver_klassisch" sheetId="8" r:id="rId8"/>
    <sheet name="rf_pv_ver_Trend" sheetId="9" state="hidden" r:id="rId9"/>
    <sheet name="rf_pv_ver_Autonom" sheetId="10" state="hidden" r:id="rId10"/>
    <sheet name="rf_pv_ver_Optimiert" sheetId="11" state="hidden" r:id="rId11"/>
    <sheet name="rf_pv_ver_Pod" sheetId="26" r:id="rId12"/>
    <sheet name="rf_pv_typen" sheetId="13" r:id="rId13"/>
    <sheet name="rf_pv_strecken" sheetId="12" r:id="rId14"/>
    <sheet name="rf_pv_erg_styp" sheetId="15" r:id="rId15"/>
    <sheet name="Tabelle1" sheetId="27" state="hidden" r:id="rId16"/>
    <sheet name="rf_gv_ver_basis" sheetId="16" r:id="rId17"/>
    <sheet name="rf_gv_ver_Klassisch" sheetId="17" r:id="rId18"/>
    <sheet name="rf_gv_ver_Trend" sheetId="18" state="hidden" r:id="rId19"/>
    <sheet name="rf_gv_ver_Autonom" sheetId="19" state="hidden" r:id="rId20"/>
    <sheet name="rf_gv_ver_Optimiert" sheetId="20" state="hidden" r:id="rId21"/>
    <sheet name="rf_gv_ver_Pod" sheetId="21" r:id="rId22"/>
    <sheet name="Tabelle2" sheetId="28" state="hidden" r:id="rId23"/>
    <sheet name="rf_gv_erg" sheetId="22" r:id="rId24"/>
    <sheet name="rf_gv_strecken" sheetId="23" r:id="rId25"/>
    <sheet name="rf_staedte" sheetId="24" r:id="rId26"/>
    <sheet name="Allgemeine Daten" sheetId="25" r:id="rId27"/>
  </sheets>
  <externalReferences>
    <externalReference r:id="rId28"/>
  </externalReferences>
  <definedNames>
    <definedName name="_FilterDatabase" localSheetId="14" hidden="1">rf_pv_erg_styp!$A$2:$AO$11</definedName>
    <definedName name="_FilterDatabase" localSheetId="13" hidden="1">rf_pv_strecken!$A$1:$I$38</definedName>
    <definedName name="_FilterDatabase" localSheetId="7" hidden="1">rf_pv_ver_klassisch!$A$2:$X$177</definedName>
    <definedName name="_FilterDatabase" localSheetId="4" hidden="1">Technologiedatenbasis!$A$1:$F$108</definedName>
    <definedName name="_FilterDatabase" localSheetId="5" hidden="1">Verbesserungsfaktoren!$A$2:$F$109</definedName>
    <definedName name="_xlnm._FilterDatabase" localSheetId="23" hidden="1">rf_gv_erg!$A$1:$I$45</definedName>
    <definedName name="_xlnm._FilterDatabase" localSheetId="14" hidden="1">rf_pv_erg_styp!$A$1:$I$221</definedName>
    <definedName name="_xlnm._FilterDatabase" localSheetId="13" hidden="1">rf_pv_strecken!$A$1:$I$41</definedName>
    <definedName name="_xlnm._FilterDatabase" localSheetId="6" hidden="1">rf_pv_ver_basis!$A$2:$Z$221</definedName>
    <definedName name="_xlnm._FilterDatabase" localSheetId="7" hidden="1">rf_pv_ver_klassisch!$A$2:$X$224</definedName>
    <definedName name="_xlnm._FilterDatabase" localSheetId="10" hidden="1">rf_pv_ver_Optimiert!$A$2:$Z$221</definedName>
    <definedName name="_xlnm._FilterDatabase" localSheetId="11" hidden="1">rf_pv_ver_Pod!$A$2:$Z$49</definedName>
    <definedName name="_xlnm._FilterDatabase" localSheetId="4" hidden="1">Technologiedatenbasis!$A$1:$F$215</definedName>
    <definedName name="_xlnm._FilterDatabase" localSheetId="5" hidden="1">Verbesserungsfaktoren!$A$2:$F$126</definedName>
    <definedName name="Autonom">Technologiedatenbasis!$E$2:$E$1048576</definedName>
    <definedName name="Bike_SharingAuslastung">Technologiedatenbasis!$D$117:$G$117</definedName>
    <definedName name="Bike_SharingEnergieverbrauch">Technologiedatenbasis!$D$113:$G$113</definedName>
    <definedName name="Bike_SharingKosten">Technologiedatenbasis!$D$116:$G$116</definedName>
    <definedName name="Bike_SharingNOx">Technologiedatenbasis!$D$111:$G$111</definedName>
    <definedName name="Bike_SharingPM">Technologiedatenbasis!$D$112:$G$112</definedName>
    <definedName name="Bike_SharingTHG">Technologiedatenbasis!$D$110:$G$110</definedName>
    <definedName name="Bike_SharingUnfallrisiko">Technologiedatenbasis!$D$115:$G$115</definedName>
    <definedName name="Bike_SharingVerfuegbarkeit">Technologiedatenbasis!$D$114:$G$114</definedName>
    <definedName name="BinnenschiffeAuslastung">Technologiedatenbasis!$D$109:$G$109</definedName>
    <definedName name="BinnenschiffeEnergieverbrauch">Technologiedatenbasis!$D$106:$G$106</definedName>
    <definedName name="BinnenschiffeKosten">Technologiedatenbasis!$D$108:$G$108</definedName>
    <definedName name="BinnenschiffeNOx">Technologiedatenbasis!$D$104:$G$104</definedName>
    <definedName name="BinnenschiffePM">Technologiedatenbasis!$D$105:$G$105</definedName>
    <definedName name="BinnenschiffeTHG">Technologiedatenbasis!$D$103:$G$103</definedName>
    <definedName name="BinnenschiffeUnfallrisiko">Technologiedatenbasis!$D$107:$G$107</definedName>
    <definedName name="BusAuslastung">Technologiedatenbasis!$D$33:$G$33</definedName>
    <definedName name="BusEnergieverbrauch">Technologiedatenbasis!$D$29:$G$29</definedName>
    <definedName name="BusKosten">Technologiedatenbasis!$D$32:$G$32</definedName>
    <definedName name="BusNOx">Technologiedatenbasis!$D$27:$G$27</definedName>
    <definedName name="BusPM">Technologiedatenbasis!$D$28:$G$28</definedName>
    <definedName name="BusTHG">Technologiedatenbasis!$D$26:$G$26</definedName>
    <definedName name="BusUnfallrisiko">Technologiedatenbasis!$D$31:$G$31</definedName>
    <definedName name="BusVerfuegbarkeit">Technologiedatenbasis!$D$30:$G$30</definedName>
    <definedName name="E_BikeAuslastung">Technologiedatenbasis!$D$25:$G$25</definedName>
    <definedName name="E_BikeEnergieverbrauch">Technologiedatenbasis!$D$21:$G$21</definedName>
    <definedName name="E_BikeKosten">Technologiedatenbasis!$D$24:$G$24</definedName>
    <definedName name="E_BikeNOx">Technologiedatenbasis!$D$19:$G$19</definedName>
    <definedName name="E_BikePM">Technologiedatenbasis!$D$20:$G$20</definedName>
    <definedName name="E_BikeTHG">Technologiedatenbasis!$D$18:$G$18</definedName>
    <definedName name="E_BikeUnfallrisiko">Technologiedatenbasis!$D$23:$G$23</definedName>
    <definedName name="E_BikeVerfuegbarkeit">Technologiedatenbasis!$D$22:$G$22</definedName>
    <definedName name="FahrradAuslastung">Technologiedatenbasis!$D$17:$G$17</definedName>
    <definedName name="FahrradEnergieverbrauch">Technologiedatenbasis!$D$13:$G$13</definedName>
    <definedName name="FahrradKosten">Technologiedatenbasis!$D$16:$G$16</definedName>
    <definedName name="FahrradNOx">Technologiedatenbasis!$D$11:$G$11</definedName>
    <definedName name="FahrradPM">Technologiedatenbasis!$D$12:$G$12</definedName>
    <definedName name="FahrradTHG">Technologiedatenbasis!$D$10:$G$10</definedName>
    <definedName name="FahrradUnfallrisiko">Technologiedatenbasis!$D$15:$G$15</definedName>
    <definedName name="FahrradVerfuegbarkeit">Technologiedatenbasis!$D$14:$G$14</definedName>
    <definedName name="FlugzeugAuslastung">Technologiedatenbasis!$D$81:$G$81</definedName>
    <definedName name="FlugzeugEnergieverbrauch">Technologiedatenbasis!$D$77:$G$77</definedName>
    <definedName name="FlugzeugKosten">Technologiedatenbasis!$D$80:$G$80</definedName>
    <definedName name="FlugzeugNOx">Technologiedatenbasis!$D$75:$G$75</definedName>
    <definedName name="FlugzeugPM">Technologiedatenbasis!$D$76:$G$76</definedName>
    <definedName name="FlugzeugTHG">Technologiedatenbasis!$D$74:$G$74</definedName>
    <definedName name="FlugzeugUnfallrisiko">Technologiedatenbasis!$D$79:$G$79</definedName>
    <definedName name="FlugzeugVerfuegbarkeit">Technologiedatenbasis!$D$78:$G$78</definedName>
    <definedName name="GüterzugAuslastung">Technologiedatenbasis!$D$102:$G$102</definedName>
    <definedName name="GüterzugEnergieverbrauch">Technologiedatenbasis!$D$99:$G$99</definedName>
    <definedName name="GüterzugKosten">Technologiedatenbasis!$D$101:$G$101</definedName>
    <definedName name="GüterzugNOx">Technologiedatenbasis!$D$97:$G$97</definedName>
    <definedName name="GüterzugPM">Technologiedatenbasis!$D$98:$G$98</definedName>
    <definedName name="GüterzugTHG">Technologiedatenbasis!$D$96:$G$96</definedName>
    <definedName name="GüterzugUnfallrisiko">Technologiedatenbasis!$D$100:$G$100</definedName>
    <definedName name="LkwAuslastung">Technologiedatenbasis!$D$95:$G$95</definedName>
    <definedName name="LkwEnergieverbrauch">Technologiedatenbasis!$D$92:$G$92</definedName>
    <definedName name="LkwKosten">Technologiedatenbasis!$D$94:$G$94</definedName>
    <definedName name="LkwNOx">Technologiedatenbasis!$D$90:$G$90</definedName>
    <definedName name="LkwPM">Technologiedatenbasis!$D$91:$G$91</definedName>
    <definedName name="LkwTHG">Technologiedatenbasis!$D$89:$G$89</definedName>
    <definedName name="LkwUnfallrisiko">Technologiedatenbasis!$D$93:$G$93</definedName>
    <definedName name="lNutzfahrzeugeAuslastung">Technologiedatenbasis!$D$88:$G$88</definedName>
    <definedName name="lNutzfahrzeugeEnergieverbrauch">Technologiedatenbasis!$D$85:$G$85</definedName>
    <definedName name="lNutzfahrzeugeKosten">Technologiedatenbasis!$D$87:$G$87</definedName>
    <definedName name="lNutzfahrzeugeNOx">Technologiedatenbasis!$D$83:$G$83</definedName>
    <definedName name="lNutzfahrzeugePM">Technologiedatenbasis!$D$84:$G$84</definedName>
    <definedName name="lNutzfahrzeugeTHG">Technologiedatenbasis!$D$82:$G$82</definedName>
    <definedName name="lNutzfahrzeugeUnfallrisiko">Technologiedatenbasis!$D$86:$G$86</definedName>
    <definedName name="MIVAuslastung">Technologiedatenbasis!$D$65:$G$65</definedName>
    <definedName name="MIVEnergieverbrauch">Technologiedatenbasis!$D$61:$G$61</definedName>
    <definedName name="MIVKosten">Technologiedatenbasis!$D$64:$G$64</definedName>
    <definedName name="MIVNOx">Technologiedatenbasis!$D$59:$G$59</definedName>
    <definedName name="MIVPM">Technologiedatenbasis!$D$60:$G$60</definedName>
    <definedName name="MIVTHG">Technologiedatenbasis!$D$58:$G$58</definedName>
    <definedName name="MIVUnfallrisiko">Technologiedatenbasis!$D$63:$G$63</definedName>
    <definedName name="MIVVerfuegbarkeit">Technologiedatenbasis!$D$62:$G$62</definedName>
    <definedName name="Optimiert">Technologiedatenbasis!$F$2:$F$1048576</definedName>
    <definedName name="Pod">Technologiedatenbasis!$G$2:$G$1048576</definedName>
    <definedName name="Pod_GüterverkehrAuslastung">Technologiedatenbasis!$D$180:$G$180</definedName>
    <definedName name="Pod_GüterverkehrEnergieverbrauch">Technologiedatenbasis!$D$177:$G$177</definedName>
    <definedName name="Pod_GüterverkehrKosten">Technologiedatenbasis!$D$179:$G$179</definedName>
    <definedName name="Pod_GüterverkehrNOx">Technologiedatenbasis!$D$175:$G$175</definedName>
    <definedName name="Pod_GüterverkehrPM">Technologiedatenbasis!$D$176:$G$176</definedName>
    <definedName name="Pod_GüterverkehrTHG">Technologiedatenbasis!$D$174:$G$174</definedName>
    <definedName name="Pod_GüterverkehrUnfallrisiko">Technologiedatenbasis!$D$178:$G$178</definedName>
    <definedName name="Pod_GüterverkehrVerfuegbarkeit">Technologiedatenbasis!#REF!</definedName>
    <definedName name="Pod_Schiene_CargoAuslastung">Technologiedatenbasis!$D$194:$G$194</definedName>
    <definedName name="Pod_Schiene_CargoEnergieverbrauch">Technologiedatenbasis!$D$191:$G$191</definedName>
    <definedName name="Pod_Schiene_CargoKosten">Technologiedatenbasis!$D$193:$G$193</definedName>
    <definedName name="Pod_Schiene_CargoNOx">Technologiedatenbasis!$D$189:$G$189</definedName>
    <definedName name="Pod_Schiene_CargoPM">Technologiedatenbasis!$D$190:$G$190</definedName>
    <definedName name="Pod_Schiene_CargoTHG">Technologiedatenbasis!$D$188:$G$188</definedName>
    <definedName name="Pod_Schiene_CargoUnfallrisiko">Technologiedatenbasis!$D$192:$G$192</definedName>
    <definedName name="Pod_Schiene_CargoVerfuegbarkeit">Technologiedatenbasis!#REF!</definedName>
    <definedName name="Pod_Schiene_Fern_BigAuslastung">Technologiedatenbasis!$D$173:$G$173</definedName>
    <definedName name="Pod_Schiene_Fern_BigEnergieverbrauch">Technologiedatenbasis!$D$169:$G$169</definedName>
    <definedName name="Pod_Schiene_Fern_BigKosten">Technologiedatenbasis!$D$172:$G$172</definedName>
    <definedName name="Pod_Schiene_Fern_BigNOx">Technologiedatenbasis!$D$167:$G$167</definedName>
    <definedName name="Pod_Schiene_Fern_BigPM">Technologiedatenbasis!$D$168:$G$168</definedName>
    <definedName name="Pod_Schiene_Fern_BigTHG">Technologiedatenbasis!$D$166:$G$166</definedName>
    <definedName name="Pod_Schiene_Fern_BigUnfallrisiko">Technologiedatenbasis!$D$171:$G$171</definedName>
    <definedName name="Pod_Schiene_Fern_BigVerfuegbarkeit">Technologiedatenbasis!$D$170:$G$170</definedName>
    <definedName name="Pod_Schiene_Fern_SmallAuslastung">Technologiedatenbasis!$D$165:$G$165</definedName>
    <definedName name="Pod_Schiene_Fern_SmallEnergieverbrauch">Technologiedatenbasis!$D$161:$G$161</definedName>
    <definedName name="Pod_Schiene_Fern_SmallKosten">Technologiedatenbasis!$D$164:$G$164</definedName>
    <definedName name="Pod_Schiene_Fern_SmallNOx">Technologiedatenbasis!$D$159:$G$159</definedName>
    <definedName name="Pod_Schiene_Fern_SmallPM">Technologiedatenbasis!$D$160:$G$160</definedName>
    <definedName name="Pod_Schiene_Fern_SmallTHG">Technologiedatenbasis!$D$158:$G$158</definedName>
    <definedName name="Pod_Schiene_Fern_SmallUnfallrisiko">Technologiedatenbasis!$D$163:$G$163</definedName>
    <definedName name="Pod_Schiene_Fern_SmallVerfuegbarkeit">Technologiedatenbasis!$D$162:$G$162</definedName>
    <definedName name="Pod_Schiene_Nah_BigAuslastung">Technologiedatenbasis!$D$157:$G$157</definedName>
    <definedName name="Pod_Schiene_Nah_BigEnergieverbrauch">Technologiedatenbasis!$D$153:$G$153</definedName>
    <definedName name="Pod_Schiene_Nah_BigKosten">Technologiedatenbasis!$D$156:$G$156</definedName>
    <definedName name="Pod_Schiene_Nah_BigNOx">Technologiedatenbasis!$D$151:$G$151</definedName>
    <definedName name="Pod_Schiene_Nah_BigPM">Technologiedatenbasis!$D$152:$G$152</definedName>
    <definedName name="Pod_Schiene_Nah_BigTHG">Technologiedatenbasis!$D$150:$G$150</definedName>
    <definedName name="Pod_Schiene_Nah_BigUnfallrisiko">Technologiedatenbasis!$D$155:$G$155</definedName>
    <definedName name="Pod_Schiene_Nah_BigVerfuegbarkeit">Technologiedatenbasis!$D$154:$G$154</definedName>
    <definedName name="Pod_Schiene_Nah_SmallAuslastung">Technologiedatenbasis!$D$149:$G$149</definedName>
    <definedName name="Pod_Schiene_Nah_SmallEnergieverbrauch">Technologiedatenbasis!$D$145:$G$145</definedName>
    <definedName name="Pod_Schiene_Nah_SmallKosten">Technologiedatenbasis!$D$148:$G$148</definedName>
    <definedName name="Pod_Schiene_Nah_SmallNOx">Technologiedatenbasis!$D$143:$G$143</definedName>
    <definedName name="Pod_Schiene_Nah_SmallPM">Technologiedatenbasis!$D$144:$G$144</definedName>
    <definedName name="Pod_Schiene_Nah_SmallTHG">Technologiedatenbasis!$D$142:$G$142</definedName>
    <definedName name="Pod_Schiene_Nah_SmallUnfallrisiko">Technologiedatenbasis!$D$147:$G$147</definedName>
    <definedName name="Pod_Schiene_Nah_SmallVerfuegbarkeit">Technologiedatenbasis!$D$146:$G$146</definedName>
    <definedName name="Pod_Straße_BigAuslastung">Technologiedatenbasis!$D$141:$G$141</definedName>
    <definedName name="Pod_Straße_BigEnergieverbrauch">Technologiedatenbasis!$D$137:$G$137</definedName>
    <definedName name="Pod_Straße_BigKosten">Technologiedatenbasis!$D$140:$G$140</definedName>
    <definedName name="Pod_Straße_BigNOx">Technologiedatenbasis!$D$135:$G$135</definedName>
    <definedName name="Pod_Straße_BigPM">Technologiedatenbasis!$D$136:$G$136</definedName>
    <definedName name="Pod_Straße_BigTHG">Technologiedatenbasis!$D$134:$G$134</definedName>
    <definedName name="Pod_Straße_BigUnfallrisiko">Technologiedatenbasis!$D$139:$G$139</definedName>
    <definedName name="Pod_Straße_BigVerfuegbarkeit">Technologiedatenbasis!$D$138:$G$138</definedName>
    <definedName name="Pod_Straße_SmallAuslastung">Technologiedatenbasis!$D$133:$G$133</definedName>
    <definedName name="Pod_Straße_SmallEnergieverbrauch">Technologiedatenbasis!$D$129:$G$129</definedName>
    <definedName name="Pod_Straße_SmallKosten">Technologiedatenbasis!$D$132:$G$132</definedName>
    <definedName name="Pod_Straße_SmallNOx">Technologiedatenbasis!$D$127:$G$127</definedName>
    <definedName name="Pod_Straße_SmallPM">Technologiedatenbasis!$D$128:$G$128</definedName>
    <definedName name="Pod_Straße_SmallTHG">Technologiedatenbasis!$D$126:$G$126</definedName>
    <definedName name="Pod_Straße_SmallUnfallrisiko">Technologiedatenbasis!$D$131:$G$131</definedName>
    <definedName name="Pod_Straße_SmallVerfuegbarkeit">Technologiedatenbasis!$D$130:$G$130</definedName>
    <definedName name="TaxiAuslastung">Technologiedatenbasis!$D$125:$G$125</definedName>
    <definedName name="TaxiEnergieverbrauch">Technologiedatenbasis!$D$121:$G$121</definedName>
    <definedName name="TaxiKosten">Technologiedatenbasis!$D$124:$G$124</definedName>
    <definedName name="TaxiNOx">Technologiedatenbasis!$D$119:$G$119</definedName>
    <definedName name="TaxiPM">Technologiedatenbasis!$D$120:$G$120</definedName>
    <definedName name="TaxiTHG">Technologiedatenbasis!$D$118:$G$118</definedName>
    <definedName name="TaxiUnfallrisiko">Technologiedatenbasis!$D$123:$G$123</definedName>
    <definedName name="TaxiVerfuegbarkeit">Technologiedatenbasis!$D$122:$G$122</definedName>
    <definedName name="TramAuslastung">Technologiedatenbasis!$D$41:$G$41</definedName>
    <definedName name="TramEnergieverbrauch">Technologiedatenbasis!$D$37:$G$37</definedName>
    <definedName name="TramKosten">Technologiedatenbasis!$D$40:$G$40</definedName>
    <definedName name="TramNOx">Technologiedatenbasis!$D$35:$G$35</definedName>
    <definedName name="TramPM">Technologiedatenbasis!$D$36:$G$36</definedName>
    <definedName name="TramTHG">Technologiedatenbasis!$D$34:$G$34</definedName>
    <definedName name="TramUnfallrisiko">Technologiedatenbasis!$D$39:$G$39</definedName>
    <definedName name="TramVerfuegbarkeit">Technologiedatenbasis!$D$38:$G$38</definedName>
    <definedName name="Trendszenario">Technologiedatenbasis!$D$2:$D$1048576</definedName>
    <definedName name="U_BahnAuslastung">Technologiedatenbasis!$D$49:$G$49</definedName>
    <definedName name="U_BahnEnergieverbrauch">Technologiedatenbasis!$D$45:$G$45</definedName>
    <definedName name="U_BahnKosten">Technologiedatenbasis!$D$48:$G$48</definedName>
    <definedName name="U_BahnNOx">Technologiedatenbasis!$D$43:$G$43</definedName>
    <definedName name="U_BahnPM">Technologiedatenbasis!$D$44:$G$44</definedName>
    <definedName name="U_BahnTHG">Technologiedatenbasis!$D$42:$G$42</definedName>
    <definedName name="U_BahnUnfallrisiko">Technologiedatenbasis!$D$47:$G$47</definedName>
    <definedName name="U_BahnVerfuegbarkeit">Technologiedatenbasis!$D$46:$G$46</definedName>
    <definedName name="zu_FussAuslastung">Technologiedatenbasis!$D$9:$G$9</definedName>
    <definedName name="zu_FussEnergieverbrauch">Technologiedatenbasis!$D$5:$G$5</definedName>
    <definedName name="zu_FussKosten">Technologiedatenbasis!$D$8:$G$8</definedName>
    <definedName name="zu_FussNOx">Technologiedatenbasis!$D$3:$G$3</definedName>
    <definedName name="zu_FussPM">Technologiedatenbasis!$D$4:$G$4</definedName>
    <definedName name="zu_FussTHG">Technologiedatenbasis!$D$2:$G$2</definedName>
    <definedName name="zu_FussUnfallrisiko">Technologiedatenbasis!$D$7:$G$7</definedName>
    <definedName name="zu_FussVerfuegbarkeit">Technologiedatenbasis!$D$6:$G$6</definedName>
    <definedName name="Zug_FernverkehrAuslastung">Technologiedatenbasis!$D$73:$G$73</definedName>
    <definedName name="Zug_FernverkehrEnergieverbrauch">Technologiedatenbasis!$D$69:$G$69</definedName>
    <definedName name="Zug_FernverkehrKosten">Technologiedatenbasis!$D$72:$G$72</definedName>
    <definedName name="Zug_FernverkehrNOx">Technologiedatenbasis!$D$67:$G$67</definedName>
    <definedName name="Zug_FernverkehrPM">Technologiedatenbasis!$D$68:$G$68</definedName>
    <definedName name="Zug_FernverkehrTHG">Technologiedatenbasis!$D$66:$G$66</definedName>
    <definedName name="Zug_FernverkehrUnfallrisiko">Technologiedatenbasis!$D$71:$G$71</definedName>
    <definedName name="Zug_FernverkehrVerfuegbarkeit">Technologiedatenbasis!$D$70:$G$70</definedName>
    <definedName name="Zug_NahverkehrAuslastung">Technologiedatenbasis!$D$57:$G$57</definedName>
    <definedName name="Zug_NahverkehrEnergieverbrauch">Technologiedatenbasis!$D$53:$G$53</definedName>
    <definedName name="Zug_NahverkehrKosten">Technologiedatenbasis!$D$56:$G$56</definedName>
    <definedName name="Zug_NahverkehrNOx">Technologiedatenbasis!$D$51:$G$51</definedName>
    <definedName name="Zug_NahverkehrPM">Technologiedatenbasis!$D$52:$G$52</definedName>
    <definedName name="Zug_NahverkehrTHG">Technologiedatenbasis!$D$50:$G$50</definedName>
    <definedName name="Zug_NahverkehrUnfallrisiko">Technologiedatenbasis!$D$55:$G$55</definedName>
    <definedName name="Zug_NahverkehrVerfuegbarkeit">Technologiedatenbasis!$D$54:$G$54</definedName>
  </definedNames>
  <calcPr calcId="191029"/>
  <pivotCaches>
    <pivotCache cacheId="2" r:id="rId29"/>
    <pivotCache cacheId="3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6" i="26" l="1"/>
  <c r="S37" i="26"/>
  <c r="S34" i="26"/>
  <c r="V37" i="26"/>
  <c r="V36" i="26"/>
  <c r="S38" i="26"/>
  <c r="S35" i="26"/>
  <c r="P38" i="26"/>
  <c r="P37" i="26"/>
  <c r="P35" i="26"/>
  <c r="P36" i="26"/>
  <c r="P34" i="26"/>
  <c r="M47" i="26"/>
  <c r="Y47" i="26" s="1"/>
  <c r="M46" i="26"/>
  <c r="M45" i="26"/>
  <c r="Y45" i="26" s="1"/>
  <c r="M44" i="26"/>
  <c r="Y44" i="26" s="1"/>
  <c r="M43" i="26"/>
  <c r="Y43" i="26" s="1"/>
  <c r="M38" i="26"/>
  <c r="Y38" i="26" s="1"/>
  <c r="M37" i="26"/>
  <c r="M36" i="26"/>
  <c r="M35" i="26"/>
  <c r="M34" i="26"/>
  <c r="Y46" i="26"/>
  <c r="Y36" i="26" l="1"/>
  <c r="Y34" i="26"/>
  <c r="Y35" i="26"/>
  <c r="Y37" i="26"/>
  <c r="M130" i="5"/>
  <c r="M131" i="5"/>
  <c r="M133" i="5"/>
  <c r="M132" i="5"/>
  <c r="S127" i="5"/>
  <c r="P128" i="5"/>
  <c r="P127" i="5"/>
  <c r="I191" i="5"/>
  <c r="I190" i="5"/>
  <c r="I189" i="5"/>
  <c r="I188" i="5"/>
  <c r="L50" i="5"/>
  <c r="K50" i="5"/>
  <c r="L67" i="5"/>
  <c r="L68" i="5"/>
  <c r="L69" i="5"/>
  <c r="L66" i="5"/>
  <c r="K67" i="5"/>
  <c r="K68" i="5"/>
  <c r="K69" i="5"/>
  <c r="K66" i="5"/>
  <c r="L51" i="5"/>
  <c r="L52" i="5"/>
  <c r="L53" i="5"/>
  <c r="K51" i="5"/>
  <c r="K52" i="5"/>
  <c r="K53" i="5"/>
  <c r="I67" i="5"/>
  <c r="I68" i="5"/>
  <c r="I69" i="5"/>
  <c r="J67" i="5"/>
  <c r="J68" i="5"/>
  <c r="J69" i="5"/>
  <c r="J66" i="5"/>
  <c r="I66" i="5"/>
  <c r="I51" i="5"/>
  <c r="I52" i="5"/>
  <c r="I53" i="5"/>
  <c r="I50" i="5"/>
  <c r="J51" i="5"/>
  <c r="J52" i="5"/>
  <c r="J53" i="5"/>
  <c r="J50" i="5"/>
  <c r="Y49" i="26" l="1"/>
  <c r="S132" i="5"/>
  <c r="P133" i="5"/>
  <c r="P132" i="5"/>
  <c r="S133" i="5"/>
  <c r="S131" i="5"/>
  <c r="S130" i="5"/>
  <c r="P130" i="5"/>
  <c r="P131" i="5"/>
  <c r="I9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H10" i="4"/>
  <c r="Y9" i="4"/>
  <c r="Z9" i="4"/>
  <c r="AA9" i="4"/>
  <c r="AB9" i="4"/>
  <c r="AC9" i="4"/>
  <c r="AD9" i="4"/>
  <c r="AE9" i="4"/>
  <c r="AF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H9" i="4"/>
  <c r="H6" i="4"/>
  <c r="G44" i="26" l="1"/>
  <c r="G45" i="26"/>
  <c r="G46" i="26"/>
  <c r="G47" i="26"/>
  <c r="D47" i="26"/>
  <c r="D46" i="26"/>
  <c r="D45" i="26"/>
  <c r="D44" i="26"/>
  <c r="D43" i="26"/>
  <c r="G43" i="26"/>
  <c r="D42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3" i="26"/>
  <c r="C2" i="4" l="1"/>
  <c r="C3" i="4"/>
  <c r="C4" i="4"/>
  <c r="C1" i="4"/>
  <c r="E113" i="4"/>
  <c r="C26" i="4"/>
  <c r="C27" i="4"/>
  <c r="C28" i="4"/>
  <c r="C25" i="4"/>
  <c r="C22" i="4"/>
  <c r="C18" i="4"/>
  <c r="C19" i="4"/>
  <c r="C20" i="4"/>
  <c r="C17" i="4"/>
  <c r="C14" i="4"/>
  <c r="C10" i="4"/>
  <c r="C11" i="4"/>
  <c r="C12" i="4"/>
  <c r="C9" i="4"/>
  <c r="C6" i="4"/>
  <c r="B158" i="4" l="1"/>
  <c r="F25" i="26" l="1"/>
  <c r="G38" i="26"/>
  <c r="G37" i="26"/>
  <c r="F36" i="26"/>
  <c r="G36" i="26"/>
  <c r="F35" i="26"/>
  <c r="O35" i="26"/>
  <c r="G35" i="26" s="1"/>
  <c r="G34" i="26"/>
  <c r="F34" i="26"/>
  <c r="G33" i="26"/>
  <c r="F33" i="26"/>
  <c r="G32" i="26"/>
  <c r="F32" i="26"/>
  <c r="G31" i="26"/>
  <c r="F31" i="26"/>
  <c r="G30" i="26"/>
  <c r="F30" i="26"/>
  <c r="F29" i="26"/>
  <c r="O29" i="26"/>
  <c r="G29" i="26" s="1"/>
  <c r="G28" i="26"/>
  <c r="F28" i="26"/>
  <c r="F27" i="26"/>
  <c r="G27" i="26"/>
  <c r="G26" i="26"/>
  <c r="F26" i="26"/>
  <c r="F24" i="26"/>
  <c r="G24" i="26"/>
  <c r="G23" i="26"/>
  <c r="F23" i="26"/>
  <c r="G22" i="26"/>
  <c r="F20" i="26"/>
  <c r="L20" i="26"/>
  <c r="G20" i="26" s="1"/>
  <c r="F19" i="26"/>
  <c r="G18" i="26"/>
  <c r="F18" i="26"/>
  <c r="G17" i="26"/>
  <c r="F17" i="26"/>
  <c r="F16" i="26"/>
  <c r="O16" i="26"/>
  <c r="G16" i="26" s="1"/>
  <c r="F15" i="26"/>
  <c r="L15" i="26"/>
  <c r="G15" i="26" s="1"/>
  <c r="F14" i="26"/>
  <c r="L14" i="26"/>
  <c r="G14" i="26" s="1"/>
  <c r="G13" i="26"/>
  <c r="F13" i="26"/>
  <c r="F42" i="26"/>
  <c r="G41" i="26"/>
  <c r="F41" i="26"/>
  <c r="F40" i="26"/>
  <c r="G40" i="26"/>
  <c r="F39" i="26"/>
  <c r="F4" i="26" l="1"/>
  <c r="G4" i="26"/>
  <c r="G3" i="26"/>
  <c r="F3" i="26"/>
  <c r="E32" i="25" l="1"/>
  <c r="D162" i="4"/>
  <c r="D164" i="4" s="1"/>
  <c r="C162" i="4"/>
  <c r="C164" i="4" s="1"/>
  <c r="B162" i="4"/>
  <c r="B164" i="4" s="1"/>
  <c r="D161" i="4"/>
  <c r="D163" i="4" s="1"/>
  <c r="C161" i="4"/>
  <c r="C163" i="4" s="1"/>
  <c r="B161" i="4"/>
  <c r="B163" i="4" s="1"/>
  <c r="B100" i="4"/>
  <c r="B101" i="4" s="1"/>
  <c r="B83" i="4"/>
  <c r="B87" i="4" s="1"/>
  <c r="B88" i="4" l="1"/>
  <c r="B89" i="4"/>
  <c r="B90" i="4" l="1"/>
  <c r="B91" i="4" s="1"/>
  <c r="B112" i="4" s="1"/>
  <c r="B113" i="4" s="1"/>
  <c r="M96" i="4" s="1"/>
  <c r="H99" i="4" l="1"/>
  <c r="S96" i="4"/>
  <c r="R96" i="4"/>
  <c r="O96" i="4"/>
  <c r="K96" i="4"/>
  <c r="H96" i="4"/>
  <c r="H104" i="4"/>
  <c r="B115" i="4"/>
  <c r="E115" i="4" s="1"/>
  <c r="H105" i="4"/>
  <c r="N96" i="4"/>
  <c r="H97" i="4"/>
  <c r="P96" i="4"/>
  <c r="Q96" i="4"/>
  <c r="H102" i="4"/>
  <c r="H101" i="4"/>
  <c r="B114" i="4"/>
  <c r="E114" i="4" s="1"/>
  <c r="H106" i="4"/>
  <c r="H103" i="4"/>
  <c r="H98" i="4"/>
  <c r="J96" i="4"/>
  <c r="L96" i="4"/>
  <c r="H100" i="4"/>
  <c r="G115" i="4" l="1"/>
</calcChain>
</file>

<file path=xl/sharedStrings.xml><?xml version="1.0" encoding="utf-8"?>
<sst xmlns="http://schemas.openxmlformats.org/spreadsheetml/2006/main" count="10038" uniqueCount="459">
  <si>
    <t>Berechnung der Verbesserungen der spezifischen Verkehrsmitteldaten</t>
  </si>
  <si>
    <t>Wenn Verbesserungsfaktoren verwendet wurden, sollte die komplette Funktion neu ausgeführt werden. Dies verändert alle spezifischen Werte und erzeugt neu Plots.</t>
  </si>
  <si>
    <t>Veranschaulichen der spezfischen Verkehrsmitteldaten</t>
  </si>
  <si>
    <t xml:space="preserve">Die Verbesserungsfaktoren werden im Tabellenblatt "Plots" grafisch dargestellt. </t>
  </si>
  <si>
    <t>Berechnung der Referenzstrecken und Verbesserungen</t>
  </si>
  <si>
    <t xml:space="preserve">Die Emissionen der Referenzstrecken und die Verbesserungen werden berechnet. </t>
  </si>
  <si>
    <t>Erklärung</t>
  </si>
  <si>
    <t>Auf der Übersichtsseite finden Sie alle Hyperlinks zu den jeweiligen Tabellenblättern. Zusätzlich werden diese kurz beschrieben und die Änderungsmöglichkeiten aufgezeigt.</t>
  </si>
  <si>
    <t>Name des Tabellenblatts</t>
  </si>
  <si>
    <t>Beschreibung</t>
  </si>
  <si>
    <t>Start</t>
  </si>
  <si>
    <t>Von Tabellenblatt "Start" werden die einzelnen Funktionen aufgerufen. Auf allen anderen Tabellenblättern befindet sich ein Button um zum Startblatt zurück zukehren.</t>
  </si>
  <si>
    <t>Daten</t>
  </si>
  <si>
    <t>Plots</t>
  </si>
  <si>
    <t>Hier werden die Plots zu den fertigen Tabellenblättern dargestellt. Im Tabellenblatt "Start können diese neu erzeugt werden.</t>
  </si>
  <si>
    <t>Technologiedatenbasis</t>
  </si>
  <si>
    <t>Verbesserungsfaktoren</t>
  </si>
  <si>
    <t>rf_pv_verbindungen</t>
  </si>
  <si>
    <t>rf_pv_erg</t>
  </si>
  <si>
    <t>rf_pv_erg_styp</t>
  </si>
  <si>
    <t>rf_pv_erg_styp_Trendszenario</t>
  </si>
  <si>
    <t>rf_pv_erg_ver_Trendszenario</t>
  </si>
  <si>
    <t>rf_pv_erg_styp_Klassisch</t>
  </si>
  <si>
    <t>rf_pv_erg_ver_Klassisch</t>
  </si>
  <si>
    <t>rf_pv_strecken</t>
  </si>
  <si>
    <t>rf_pv_städte</t>
  </si>
  <si>
    <t>rf_pv_typen</t>
  </si>
  <si>
    <t>rf_gv</t>
  </si>
  <si>
    <t>Allgemeine Daten</t>
  </si>
  <si>
    <t>THG</t>
  </si>
  <si>
    <t>PM</t>
  </si>
  <si>
    <t>Energieverbrauch</t>
  </si>
  <si>
    <t>Unfallrisiko</t>
  </si>
  <si>
    <t>Auslastung</t>
  </si>
  <si>
    <t>Pod_Straße_Small</t>
  </si>
  <si>
    <t>Pod_Straße_Big</t>
  </si>
  <si>
    <t>Pod_Schiene_Nah</t>
  </si>
  <si>
    <t>Pod_Schiene_Fern</t>
  </si>
  <si>
    <t>Times</t>
  </si>
  <si>
    <t>Peak-Hours</t>
  </si>
  <si>
    <t>h</t>
  </si>
  <si>
    <t>Cost-based analysis of autonomus vehicle</t>
  </si>
  <si>
    <t>rel. Peak rides</t>
  </si>
  <si>
    <t>Off-Peak-Hours</t>
  </si>
  <si>
    <t>rel. Off-peak rides</t>
  </si>
  <si>
    <t>Night Hours</t>
  </si>
  <si>
    <t>rel. Night rides</t>
  </si>
  <si>
    <t>Operation Hours</t>
  </si>
  <si>
    <t>Verkehrsbewegungen AC</t>
  </si>
  <si>
    <t>Tagesbevölkerung</t>
  </si>
  <si>
    <t>Personen</t>
  </si>
  <si>
    <t>Pendleratlas</t>
  </si>
  <si>
    <t>Fahrten pro Tag</t>
  </si>
  <si>
    <t>Fahrten/Tag</t>
  </si>
  <si>
    <t>MID</t>
  </si>
  <si>
    <t># Fahrten</t>
  </si>
  <si>
    <t>Fahrten</t>
  </si>
  <si>
    <t>av. Trip length</t>
  </si>
  <si>
    <t>km</t>
  </si>
  <si>
    <t>Aufteilung auf Peaks</t>
  </si>
  <si>
    <t># Fahrten Peak</t>
  </si>
  <si>
    <t># Fahrten Off-Peak</t>
  </si>
  <si>
    <t># Fahrten Night</t>
  </si>
  <si>
    <t>max. Fahrten pro Stunde</t>
  </si>
  <si>
    <t>Fahrten/h</t>
  </si>
  <si>
    <t>max. Fahrten pro Stunde Pod</t>
  </si>
  <si>
    <t>Modal Split</t>
  </si>
  <si>
    <t>NMIV</t>
  </si>
  <si>
    <t>Pod</t>
  </si>
  <si>
    <t>MIV</t>
  </si>
  <si>
    <t>Daten zum Pod</t>
  </si>
  <si>
    <t>av. Auslastung</t>
  </si>
  <si>
    <t>av. Speed</t>
  </si>
  <si>
    <t>km/h</t>
  </si>
  <si>
    <t>rides per hour</t>
  </si>
  <si>
    <t>Plätze small Pod</t>
  </si>
  <si>
    <t>Plätze big Pod</t>
  </si>
  <si>
    <t>rel road</t>
  </si>
  <si>
    <t>rel track</t>
  </si>
  <si>
    <t>rel small Pod</t>
  </si>
  <si>
    <t>rel big Pod</t>
  </si>
  <si>
    <t>rel Empty Rides</t>
  </si>
  <si>
    <t>rel Maintance Rides</t>
  </si>
  <si>
    <t>Ergebnis Pod</t>
  </si>
  <si>
    <t># all rides (incl. Maintance, empty)</t>
  </si>
  <si>
    <t>per hour</t>
  </si>
  <si>
    <t># required pods</t>
  </si>
  <si>
    <t>Pods</t>
  </si>
  <si>
    <t># required road carrier</t>
  </si>
  <si>
    <t>Carrier Road</t>
  </si>
  <si>
    <t># required train carrier</t>
  </si>
  <si>
    <t>Carrier Train</t>
  </si>
  <si>
    <t>Verteilung Small</t>
  </si>
  <si>
    <t>Urban</t>
  </si>
  <si>
    <t>Intercity</t>
  </si>
  <si>
    <t>Langstrecke</t>
  </si>
  <si>
    <t>rel. Road</t>
  </si>
  <si>
    <t>rel. Train</t>
  </si>
  <si>
    <t>rel. Air</t>
  </si>
  <si>
    <t>Verteilung Big</t>
  </si>
  <si>
    <t>Fahrleistung</t>
  </si>
  <si>
    <t>Fahrleistung road small</t>
  </si>
  <si>
    <t>Pods verschleißen ähnlich schnell wie die Carrier</t>
  </si>
  <si>
    <t>Fahrleistung road big</t>
  </si>
  <si>
    <t>Lebenserwartung</t>
  </si>
  <si>
    <t>Fahrleistung carrier train</t>
  </si>
  <si>
    <t>https://www.handelsblatt.com/technik/das-technologie-update/weisheit-der-woche/schienenverkehr-welche-strecke-legt-ein-zug-insgesamt-zurueck/8896436.html?ticket=ST-2281540-OIq7uafKHBymdleO2znV-ap4</t>
  </si>
  <si>
    <t>Herstellungskosten</t>
  </si>
  <si>
    <t>Schnittstelle</t>
  </si>
  <si>
    <t>Eur.</t>
  </si>
  <si>
    <t>Pod small</t>
  </si>
  <si>
    <t>Pod big</t>
  </si>
  <si>
    <t>Carrier Road small</t>
  </si>
  <si>
    <t>Carrier Road big</t>
  </si>
  <si>
    <t>Carrier train</t>
  </si>
  <si>
    <t>Kosten für einen kompletten Zug (Statista) um 2/3 reduziert da nur Antriebstechnik notwendig.</t>
  </si>
  <si>
    <t>Sonstiges</t>
  </si>
  <si>
    <t># Pod small auf carrier train</t>
  </si>
  <si>
    <t># Pod big auf carrier train</t>
  </si>
  <si>
    <t># Schnittstellen je Carrier</t>
  </si>
  <si>
    <t># Schnittstellen je Pod</t>
  </si>
  <si>
    <t>av. Energieverbrauch Carrier small</t>
  </si>
  <si>
    <t>GJ/km</t>
  </si>
  <si>
    <t>s. Arbeit</t>
  </si>
  <si>
    <t>av. Energieverbrauch Carrier big</t>
  </si>
  <si>
    <t>av. Energieverbrauch Carrier train</t>
  </si>
  <si>
    <t>Wert für den Fernverkehr wird angenommen um der geringeren Anzahl an Halten gerecht zu werden</t>
  </si>
  <si>
    <t>Betriebskosten</t>
  </si>
  <si>
    <t>Versicherung</t>
  </si>
  <si>
    <t>Eur./a</t>
  </si>
  <si>
    <t>Wartung</t>
  </si>
  <si>
    <t>Eur./km</t>
  </si>
  <si>
    <t>Reinigung</t>
  </si>
  <si>
    <t>Reifen</t>
  </si>
  <si>
    <t>Profit Margin</t>
  </si>
  <si>
    <t>Energiekosten</t>
  </si>
  <si>
    <t>Eur./GJ</t>
  </si>
  <si>
    <t>Haushaltsstrom -&gt; Annahme gleich Spritkosten</t>
  </si>
  <si>
    <t>ges. Kosten</t>
  </si>
  <si>
    <t>Pod Small</t>
  </si>
  <si>
    <t>Eur. pro km</t>
  </si>
  <si>
    <t>Pod Big</t>
  </si>
  <si>
    <t>Eur. pro Pkm</t>
  </si>
  <si>
    <t>Verkehrsmittel</t>
  </si>
  <si>
    <t>Kategorien</t>
  </si>
  <si>
    <t>Klassisch</t>
  </si>
  <si>
    <t>Trendszenario</t>
  </si>
  <si>
    <t>Autonom</t>
  </si>
  <si>
    <t>Optimiert</t>
  </si>
  <si>
    <t>zu Fuss</t>
  </si>
  <si>
    <t>NOx</t>
  </si>
  <si>
    <t>Verfuegbarkeit</t>
  </si>
  <si>
    <t>Kosten</t>
  </si>
  <si>
    <t>Fahrrad</t>
  </si>
  <si>
    <t>E-Bike</t>
  </si>
  <si>
    <t>Bus</t>
  </si>
  <si>
    <t>Tram</t>
  </si>
  <si>
    <t>Preis pro Ticket</t>
  </si>
  <si>
    <t>U-Bahn</t>
  </si>
  <si>
    <t>Zug-Nahverkehr</t>
  </si>
  <si>
    <t>Zug-Fernverkehr</t>
  </si>
  <si>
    <t>Preis pro Pkm in Peak Zeiten - eine Woche im Voraus gekauft (Achtungs aus 2016)</t>
  </si>
  <si>
    <t>Quelle: https://ec.europa.eu/transport/sites/transport/files/modes/rail/studies/doc/2016-04-price-quality-rail-pax-services-final-report.pdf - S.73</t>
  </si>
  <si>
    <t>Flugzeug</t>
  </si>
  <si>
    <t>lNutzfahrzeuge</t>
  </si>
  <si>
    <t>Lkw</t>
  </si>
  <si>
    <t>Güterzug</t>
  </si>
  <si>
    <t>Binnenschiffe</t>
  </si>
  <si>
    <t>Bike-Sharing</t>
  </si>
  <si>
    <t>Taxi</t>
  </si>
  <si>
    <t>Faktor</t>
  </si>
  <si>
    <t>ist_Strom</t>
  </si>
  <si>
    <t>ja</t>
  </si>
  <si>
    <t>Im Trendszenario leichter Anstieg durch Anstieg der Gehälter</t>
  </si>
  <si>
    <t>Allgemein</t>
  </si>
  <si>
    <t>index</t>
  </si>
  <si>
    <t>Strecken_Typ</t>
  </si>
  <si>
    <t>Name_Verbindung</t>
  </si>
  <si>
    <t>Transferzeit</t>
  </si>
  <si>
    <t>Wartezeit</t>
  </si>
  <si>
    <t>Fahrtzeit</t>
  </si>
  <si>
    <t>Length</t>
  </si>
  <si>
    <t>mode_1</t>
  </si>
  <si>
    <t>mode_length_1</t>
  </si>
  <si>
    <t>mode_costs_1</t>
  </si>
  <si>
    <t>mode_2</t>
  </si>
  <si>
    <t>mode_length_2</t>
  </si>
  <si>
    <t>mode_costs_2</t>
  </si>
  <si>
    <t>mode_3</t>
  </si>
  <si>
    <t>mode_length_3</t>
  </si>
  <si>
    <t>mode_costs_3</t>
  </si>
  <si>
    <t>mode_4</t>
  </si>
  <si>
    <t>mode_length_4</t>
  </si>
  <si>
    <t>mode_costs_4</t>
  </si>
  <si>
    <t>mode_5</t>
  </si>
  <si>
    <t>mode_length_5</t>
  </si>
  <si>
    <t>mode_costs_5</t>
  </si>
  <si>
    <t>mode_6</t>
  </si>
  <si>
    <t>mode_length_6</t>
  </si>
  <si>
    <t>mode_costs_6</t>
  </si>
  <si>
    <t>UK</t>
  </si>
  <si>
    <t xml:space="preserve"> </t>
  </si>
  <si>
    <t>I</t>
  </si>
  <si>
    <t>UL</t>
  </si>
  <si>
    <t>L</t>
  </si>
  <si>
    <t>Stadt_ID_Start</t>
  </si>
  <si>
    <t>Stadt_Start</t>
  </si>
  <si>
    <t>Stadt_ID_Ende</t>
  </si>
  <si>
    <t>Stadt_Ende</t>
  </si>
  <si>
    <t>Luftlinie</t>
  </si>
  <si>
    <t>Startpunkt</t>
  </si>
  <si>
    <t>Endpunkt</t>
  </si>
  <si>
    <t>München, Landeshauptstadt</t>
  </si>
  <si>
    <t>Hilton am Englischen Garten</t>
  </si>
  <si>
    <t>Werner von Simens Straße 1</t>
  </si>
  <si>
    <t>Aachen, Stadt</t>
  </si>
  <si>
    <t>Aachen HBF</t>
  </si>
  <si>
    <t>Peliserkerstraße 69</t>
  </si>
  <si>
    <t>Emden</t>
  </si>
  <si>
    <t>Dat Otto Hus</t>
  </si>
  <si>
    <t>Dithmarscher Str. 29</t>
  </si>
  <si>
    <t>Mülheim an der Ruhr, Stadt</t>
  </si>
  <si>
    <t>Mülheim Hauptbahnhof</t>
  </si>
  <si>
    <t>Westerstede, Stadt</t>
  </si>
  <si>
    <t>Landessparkasse zu Oldenburg</t>
  </si>
  <si>
    <t>Flöha, Stadt</t>
  </si>
  <si>
    <t>Bahnhof Flöha-Plaue</t>
  </si>
  <si>
    <t>TSV Flöha 1848 e.V., T</t>
  </si>
  <si>
    <t>Hessisch Lichtenau, Stadt</t>
  </si>
  <si>
    <t>Sudetenstraße (Wohnsiedlung)</t>
  </si>
  <si>
    <t>Richterinstdustrie (Industriestraße)</t>
  </si>
  <si>
    <t>Berlin, Stadt</t>
  </si>
  <si>
    <t>Potsdamer Platz</t>
  </si>
  <si>
    <t>Pergamonmuseum</t>
  </si>
  <si>
    <t>Eickendorf</t>
  </si>
  <si>
    <t>Grossmühlingen</t>
  </si>
  <si>
    <t>Bahnhof Eicklingen</t>
  </si>
  <si>
    <t>Lebensmittelmarkt Padberg</t>
  </si>
  <si>
    <t>Ramberg</t>
  </si>
  <si>
    <t>Dernbach</t>
  </si>
  <si>
    <t>Grundschule Ramberg</t>
  </si>
  <si>
    <t>Dernbacher Haus</t>
  </si>
  <si>
    <t>Hamburg</t>
  </si>
  <si>
    <t>Kösterbergstraße 82</t>
  </si>
  <si>
    <t>Zirkusweg 1</t>
  </si>
  <si>
    <t>Daiserstraße 27</t>
  </si>
  <si>
    <t xml:space="preserve">Gewerbegebiet Südost </t>
  </si>
  <si>
    <t>Essen</t>
  </si>
  <si>
    <t>Langenfeldstraße 153</t>
  </si>
  <si>
    <t>Museum Folkwang</t>
  </si>
  <si>
    <t>Hannover</t>
  </si>
  <si>
    <t>Reuterdamm 33</t>
  </si>
  <si>
    <t>KRH Klinikum Siloah</t>
  </si>
  <si>
    <t>Ansbach</t>
  </si>
  <si>
    <t>Scharnhorststraße 24</t>
  </si>
  <si>
    <t>Georg-Oberer-Weg 2</t>
  </si>
  <si>
    <t>Herrieden</t>
  </si>
  <si>
    <t>Bayernring 86</t>
  </si>
  <si>
    <t>Böttingen</t>
  </si>
  <si>
    <t>Hardtstraße 41</t>
  </si>
  <si>
    <t>Gardelegen</t>
  </si>
  <si>
    <t>Marie-Curie-Allee 40</t>
  </si>
  <si>
    <t>Kurze Str. 1</t>
  </si>
  <si>
    <t>Halbendorf</t>
  </si>
  <si>
    <t>Edelstraße 63</t>
  </si>
  <si>
    <t>Garmisch-Partenkirchen</t>
  </si>
  <si>
    <t>Oberau</t>
  </si>
  <si>
    <t>Amerikanische Kaserne</t>
  </si>
  <si>
    <t>Schwimbad oberau</t>
  </si>
  <si>
    <t>Frankfurt (Oder)</t>
  </si>
  <si>
    <t>Elektro Jahn GmbH</t>
  </si>
  <si>
    <t>Mittelweg</t>
  </si>
  <si>
    <t>Fulda</t>
  </si>
  <si>
    <t>Neuhof</t>
  </si>
  <si>
    <t>Hochschule Fulda</t>
  </si>
  <si>
    <t>Dorfgemeinschaftshaus Dorfborn</t>
  </si>
  <si>
    <t>Schleswig</t>
  </si>
  <si>
    <t>toom Baumarkt</t>
  </si>
  <si>
    <t>Fliegerhorst Schleswig</t>
  </si>
  <si>
    <t>Appen</t>
  </si>
  <si>
    <t>Tabea Klinik</t>
  </si>
  <si>
    <t>Spielplatz Appen</t>
  </si>
  <si>
    <t>Borgsdorf</t>
  </si>
  <si>
    <t>Kinder und Jugenreitverein Blankenfelde</t>
  </si>
  <si>
    <t>Drachen Splielplatz</t>
  </si>
  <si>
    <t>Leipzig</t>
  </si>
  <si>
    <t>Taucha</t>
  </si>
  <si>
    <t>Völkerschlachtdenkmal</t>
  </si>
  <si>
    <t>AC Taucha Sportplatz</t>
  </si>
  <si>
    <t>Stendal</t>
  </si>
  <si>
    <t>Goldbeck</t>
  </si>
  <si>
    <t>Altstadt-Hotel</t>
  </si>
  <si>
    <t>Feldstraße</t>
  </si>
  <si>
    <t>Potsdam</t>
  </si>
  <si>
    <t>Museumsverband des Landes Brandenburg</t>
  </si>
  <si>
    <t>Kinder-Kunst-Museum e.V.</t>
  </si>
  <si>
    <t>Roetgen</t>
  </si>
  <si>
    <t>Max Plank Institut</t>
  </si>
  <si>
    <t>FC Roetgen</t>
  </si>
  <si>
    <t>Frankfurt am Main</t>
  </si>
  <si>
    <t>Bad Hersfeld</t>
  </si>
  <si>
    <t>Zoo</t>
  </si>
  <si>
    <t>Museum der Stadt</t>
  </si>
  <si>
    <t>Stuttgart</t>
  </si>
  <si>
    <t>Dinkelscherben</t>
  </si>
  <si>
    <t>Universität</t>
  </si>
  <si>
    <t>Von-Rauhenberg 3</t>
  </si>
  <si>
    <t>Augsburg</t>
  </si>
  <si>
    <t>Bodman-Ludwigshafen</t>
  </si>
  <si>
    <t>Universitätsklinikum</t>
  </si>
  <si>
    <t>BeRie Tech GmbH</t>
  </si>
  <si>
    <t>Kraiburg am Inn</t>
  </si>
  <si>
    <t>Olympiaschanze</t>
  </si>
  <si>
    <t>Apotheke am Inn</t>
  </si>
  <si>
    <t>Rostock</t>
  </si>
  <si>
    <t>Neustrelitz</t>
  </si>
  <si>
    <t>Zoo Rostock</t>
  </si>
  <si>
    <t>Hirschportal</t>
  </si>
  <si>
    <t>Mitwitz</t>
  </si>
  <si>
    <t>Gemünden am Main</t>
  </si>
  <si>
    <t>Wasserschloss</t>
  </si>
  <si>
    <t>Amtsgericht</t>
  </si>
  <si>
    <t>Varite Theater</t>
  </si>
  <si>
    <t>KIK München Giesing</t>
  </si>
  <si>
    <t>Lüneburg</t>
  </si>
  <si>
    <t>Köln</t>
  </si>
  <si>
    <t>Siegburger Straße 57</t>
  </si>
  <si>
    <t>Wolfsburg</t>
  </si>
  <si>
    <t>Emmering</t>
  </si>
  <si>
    <t>Suhlgarten 20</t>
  </si>
  <si>
    <t>KfH Med. Versorgungszentrum</t>
  </si>
  <si>
    <t>Strecken_Typ_ID</t>
  </si>
  <si>
    <t>Strecken Name</t>
  </si>
  <si>
    <t>Urban-Kurzstrecke</t>
  </si>
  <si>
    <t>Urban-Langstrecke</t>
  </si>
  <si>
    <t>N</t>
  </si>
  <si>
    <t>F</t>
  </si>
  <si>
    <t xml:space="preserve">Köln </t>
  </si>
  <si>
    <t>Aachen</t>
  </si>
  <si>
    <t>Ferdinand-Porsche Str. 1</t>
  </si>
  <si>
    <t>Campus Boulevard 30</t>
  </si>
  <si>
    <t>Bremen</t>
  </si>
  <si>
    <t>Passau</t>
  </si>
  <si>
    <t>Klinikum</t>
  </si>
  <si>
    <t>Index</t>
  </si>
  <si>
    <t>Stadt_ID</t>
  </si>
  <si>
    <t>Stadt_Name</t>
  </si>
  <si>
    <t>Stadt_Typ</t>
  </si>
  <si>
    <t>Stadt_Größe</t>
  </si>
  <si>
    <t>Megastadt</t>
  </si>
  <si>
    <t>Großstadt</t>
  </si>
  <si>
    <t>Mittelstadt</t>
  </si>
  <si>
    <t>Kleinstadt</t>
  </si>
  <si>
    <t>Landgemeinde</t>
  </si>
  <si>
    <t>Nürnberg</t>
  </si>
  <si>
    <t>Magdeburg</t>
  </si>
  <si>
    <t>Nienburg</t>
  </si>
  <si>
    <t xml:space="preserve">Allgemeine Daten zur Bevölkerung - den Emissionsfaktoren und dem Bruttoinlandsprodukt </t>
  </si>
  <si>
    <t>Bevölkerung</t>
  </si>
  <si>
    <t>BIP pro Kopf</t>
  </si>
  <si>
    <t>€/Person</t>
  </si>
  <si>
    <t>spez_Emissionsfaktor_THG</t>
  </si>
  <si>
    <t>g - mj</t>
  </si>
  <si>
    <t>spez_Emissionsfaktor_NOx</t>
  </si>
  <si>
    <t>spez_Emissionsfaktor_PM</t>
  </si>
  <si>
    <t>Daten zum Fahrrad/ E-Bike</t>
  </si>
  <si>
    <t>Gesamt</t>
  </si>
  <si>
    <t>Anzahl</t>
  </si>
  <si>
    <t>Energieverbrauch in Wh</t>
  </si>
  <si>
    <t>Geschwindigkeit</t>
  </si>
  <si>
    <t>Einheit</t>
  </si>
  <si>
    <t>Rad_insgesamt</t>
  </si>
  <si>
    <t>Daten zur Bevölkerungsverteilung</t>
  </si>
  <si>
    <t>Preise ÖPNV (gilt für Bus, U-Bahn, Tram und in Ausnahmen S-Bahn)</t>
  </si>
  <si>
    <t>Monatskarte Erw.</t>
  </si>
  <si>
    <t>av. Preis pro Fahrt</t>
  </si>
  <si>
    <t>use Monatskarte</t>
  </si>
  <si>
    <t>Einzelfahrt EW</t>
  </si>
  <si>
    <t>JA</t>
  </si>
  <si>
    <t xml:space="preserve">Quelle: ADAC - Preisunterschiede 2019 </t>
  </si>
  <si>
    <t>Anpassungen der Fahrzeiten je Verkehrsmittel</t>
  </si>
  <si>
    <t xml:space="preserve">Besetzungsgrade </t>
  </si>
  <si>
    <t>Besetzungsgrad (pooling)</t>
  </si>
  <si>
    <t>Besetzungsgrad (autonomes Carsharing)</t>
  </si>
  <si>
    <t>Verkehrsleistung MIV (OMM)</t>
  </si>
  <si>
    <t>Anteil von Gesamt</t>
  </si>
  <si>
    <t>pooling</t>
  </si>
  <si>
    <t>autonomes Carsharing</t>
  </si>
  <si>
    <t>Kosten ride-pooling /autonomes Carsharing</t>
  </si>
  <si>
    <t>Pod_Straße</t>
  </si>
  <si>
    <t>HRW</t>
  </si>
  <si>
    <t>Hagebaumarkt westerstede</t>
  </si>
  <si>
    <t>Oranienburg</t>
  </si>
  <si>
    <t>Holste</t>
  </si>
  <si>
    <t>Schloss Oranienburg</t>
  </si>
  <si>
    <t>Flugplatz Hellingst</t>
  </si>
  <si>
    <t>Eberdingen</t>
  </si>
  <si>
    <t>Dohma</t>
  </si>
  <si>
    <t>Rathausstraße 6</t>
  </si>
  <si>
    <t>Zum Heideberg 13</t>
  </si>
  <si>
    <t>Modal_Choice</t>
  </si>
  <si>
    <t>ÖV</t>
  </si>
  <si>
    <t>Streckentyp</t>
  </si>
  <si>
    <t>Pod_Big</t>
  </si>
  <si>
    <t>Pod_Small</t>
  </si>
  <si>
    <t>Zeilenbeschriftungen</t>
  </si>
  <si>
    <t>Gesamtergebnis</t>
  </si>
  <si>
    <t>Summe von Klassisch</t>
  </si>
  <si>
    <t>Summe von Trendszenario</t>
  </si>
  <si>
    <t>Summe von Autonom</t>
  </si>
  <si>
    <t>Summe von Optimiert</t>
  </si>
  <si>
    <t>Summe von Pod</t>
  </si>
  <si>
    <t>Zug</t>
  </si>
  <si>
    <t>Acchtung für dem Pod wird das Szenario OMM als Ausgang gewählt</t>
  </si>
  <si>
    <t>Pod_Schiene_Nah_Small</t>
  </si>
  <si>
    <t>Pod_Schiene_Nah_Big</t>
  </si>
  <si>
    <t>Pod_Schiene_Fern_Small</t>
  </si>
  <si>
    <t>Pod_Schiene_Fern_Big</t>
  </si>
  <si>
    <t>Pod_Schiene_Cargo</t>
  </si>
  <si>
    <t>Pod_Cargo</t>
  </si>
  <si>
    <t>Nutzlast</t>
  </si>
  <si>
    <t>Koste pro Tkm</t>
  </si>
  <si>
    <t>2 Einheiten</t>
  </si>
  <si>
    <t>1 Einheit</t>
  </si>
  <si>
    <t>Pod_Schiene_Cargo_Small_Nah</t>
  </si>
  <si>
    <t>Pod_Schiene_Cargo_Big_Nah</t>
  </si>
  <si>
    <t>Pod_Schiene_Cargo_Small_Fern</t>
  </si>
  <si>
    <t>Pod_Schiene_Cargo_Big_Fern</t>
  </si>
  <si>
    <t>Kosten Zug-km</t>
  </si>
  <si>
    <t>Kosten Einheit</t>
  </si>
  <si>
    <t>Nah</t>
  </si>
  <si>
    <t>Fern</t>
  </si>
  <si>
    <t>Small</t>
  </si>
  <si>
    <t>Big</t>
  </si>
  <si>
    <t>Cargo Big</t>
  </si>
  <si>
    <t>Cargo Small</t>
  </si>
  <si>
    <t>Anteil an Vollkosten</t>
  </si>
  <si>
    <t>Pod_Straße_Cargo_Small</t>
  </si>
  <si>
    <t>Pod_Straße_Cargo_Big</t>
  </si>
  <si>
    <t>Kombiniert</t>
  </si>
  <si>
    <t>Direktlauf</t>
  </si>
  <si>
    <t xml:space="preserve">g CO2-eq/Pkm </t>
  </si>
  <si>
    <t>g/Pkm</t>
  </si>
  <si>
    <t>Tödlicher Unfall pro eine Milliarde Personenkilometer</t>
  </si>
  <si>
    <t>Euro</t>
  </si>
  <si>
    <t>%</t>
  </si>
  <si>
    <t>g/Tkm</t>
  </si>
  <si>
    <t>g CO2-eq/Tkm</t>
  </si>
  <si>
    <t>MJ/Tkm</t>
  </si>
  <si>
    <t>Tödlicher Unfall pro eine Milliarde Tonnenkilometer</t>
  </si>
  <si>
    <t>MJ/Pkm</t>
  </si>
  <si>
    <t>MJ</t>
  </si>
  <si>
    <t>min</t>
  </si>
  <si>
    <t>m</t>
  </si>
  <si>
    <t>g</t>
  </si>
  <si>
    <t>g CO2-eq</t>
  </si>
  <si>
    <t>Tödliche Unfälle je eine Milliarde Personenkilometer</t>
  </si>
  <si>
    <t>Einheiten</t>
  </si>
  <si>
    <t>Tödliche Unfälle je eine Milliarde Tonnenkilometer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</si>
</sst>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0.000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9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2" fillId="0" borderId="0"/>
    <xf numFmtId="0" fontId="16" fillId="0" borderId="0" applyNumberFormat="0" applyFill="0" applyBorder="0" applyAlignment="0" applyProtection="0"/>
    <xf numFmtId="0" fontId="22" fillId="0" borderId="0" applyNumberFormat="0" applyFont="0" applyFill="0" applyBorder="0" applyAlignment="0" applyProtection="0"/>
    <xf numFmtId="0" fontId="17" fillId="0" borderId="0"/>
    <xf numFmtId="0" fontId="23" fillId="10" borderId="0" applyNumberFormat="0" applyBorder="0" applyAlignment="0" applyProtection="0"/>
  </cellStyleXfs>
  <cellXfs count="151">
    <xf numFmtId="0" fontId="0" fillId="0" borderId="0" xfId="0"/>
    <xf numFmtId="0" fontId="14" fillId="2" borderId="1" xfId="3" applyFont="1" applyFill="1" applyBorder="1"/>
    <xf numFmtId="0" fontId="12" fillId="2" borderId="2" xfId="3" applyFill="1" applyBorder="1"/>
    <xf numFmtId="0" fontId="12" fillId="2" borderId="3" xfId="3" applyFill="1" applyBorder="1"/>
    <xf numFmtId="0" fontId="12" fillId="2" borderId="4" xfId="3" applyFill="1" applyBorder="1"/>
    <xf numFmtId="0" fontId="12" fillId="2" borderId="0" xfId="3" applyFill="1"/>
    <xf numFmtId="0" fontId="12" fillId="2" borderId="6" xfId="3" applyFill="1" applyBorder="1"/>
    <xf numFmtId="0" fontId="12" fillId="2" borderId="7" xfId="3" applyFill="1" applyBorder="1"/>
    <xf numFmtId="0" fontId="12" fillId="2" borderId="9" xfId="3" applyFill="1" applyBorder="1"/>
    <xf numFmtId="0" fontId="12" fillId="2" borderId="10" xfId="3" applyFill="1" applyBorder="1"/>
    <xf numFmtId="0" fontId="12" fillId="2" borderId="11" xfId="3" applyFill="1" applyBorder="1"/>
    <xf numFmtId="0" fontId="12" fillId="2" borderId="0" xfId="3" applyFill="1" applyAlignment="1">
      <alignment horizontal="center" vertical="center"/>
    </xf>
    <xf numFmtId="0" fontId="14" fillId="2" borderId="12" xfId="3" applyFont="1" applyFill="1" applyBorder="1"/>
    <xf numFmtId="0" fontId="16" fillId="2" borderId="12" xfId="4" applyFill="1" applyBorder="1" applyAlignment="1">
      <alignment horizontal="left" vertical="center"/>
    </xf>
    <xf numFmtId="0" fontId="12" fillId="2" borderId="12" xfId="3" applyFill="1" applyBorder="1" applyAlignment="1">
      <alignment horizontal="center" vertical="center" wrapText="1"/>
    </xf>
    <xf numFmtId="0" fontId="12" fillId="2" borderId="12" xfId="3" applyFill="1" applyBorder="1" applyAlignment="1">
      <alignment horizontal="center" wrapText="1"/>
    </xf>
    <xf numFmtId="0" fontId="16" fillId="2" borderId="0" xfId="4" applyFill="1"/>
    <xf numFmtId="2" fontId="0" fillId="0" borderId="0" xfId="0" applyNumberFormat="1"/>
    <xf numFmtId="0" fontId="14" fillId="0" borderId="0" xfId="0" applyFont="1"/>
    <xf numFmtId="9" fontId="0" fillId="0" borderId="0" xfId="0" applyNumberFormat="1"/>
    <xf numFmtId="49" fontId="0" fillId="0" borderId="0" xfId="0" applyNumberFormat="1"/>
    <xf numFmtId="1" fontId="0" fillId="0" borderId="0" xfId="0" applyNumberFormat="1"/>
    <xf numFmtId="15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1" applyNumberFormat="1" applyFont="1"/>
    <xf numFmtId="0" fontId="0" fillId="0" borderId="0" xfId="0" applyAlignment="1">
      <alignment horizontal="center" vertical="center" wrapText="1"/>
    </xf>
    <xf numFmtId="0" fontId="16" fillId="0" borderId="0" xfId="4"/>
    <xf numFmtId="0" fontId="14" fillId="0" borderId="0" xfId="3" applyFont="1"/>
    <xf numFmtId="0" fontId="14" fillId="0" borderId="0" xfId="3" applyFont="1" applyAlignment="1">
      <alignment horizontal="left" vertical="center"/>
    </xf>
    <xf numFmtId="0" fontId="14" fillId="0" borderId="0" xfId="3" applyFont="1" applyAlignment="1">
      <alignment horizontal="right"/>
    </xf>
    <xf numFmtId="0" fontId="14" fillId="0" borderId="0" xfId="3" applyFont="1" applyAlignment="1">
      <alignment horizontal="center" vertical="top"/>
    </xf>
    <xf numFmtId="0" fontId="14" fillId="0" borderId="0" xfId="3" applyFont="1" applyAlignment="1">
      <alignment vertical="top"/>
    </xf>
    <xf numFmtId="0" fontId="12" fillId="0" borderId="0" xfId="3"/>
    <xf numFmtId="0" fontId="12" fillId="0" borderId="0" xfId="3" applyAlignment="1">
      <alignment vertical="top"/>
    </xf>
    <xf numFmtId="0" fontId="12" fillId="0" borderId="0" xfId="3" applyAlignment="1">
      <alignment horizontal="left" vertical="center"/>
    </xf>
    <xf numFmtId="0" fontId="12" fillId="0" borderId="0" xfId="3" applyAlignment="1">
      <alignment horizontal="right"/>
    </xf>
    <xf numFmtId="15" fontId="12" fillId="0" borderId="0" xfId="3" applyNumberFormat="1" applyAlignment="1">
      <alignment vertical="top"/>
    </xf>
    <xf numFmtId="0" fontId="14" fillId="0" borderId="0" xfId="3" applyFont="1" applyAlignment="1">
      <alignment horizontal="left"/>
    </xf>
    <xf numFmtId="0" fontId="14" fillId="0" borderId="0" xfId="3" applyFont="1" applyAlignment="1">
      <alignment horizontal="left" vertical="top"/>
    </xf>
    <xf numFmtId="165" fontId="12" fillId="0" borderId="0" xfId="3" applyNumberFormat="1"/>
    <xf numFmtId="0" fontId="12" fillId="3" borderId="0" xfId="3" applyFill="1"/>
    <xf numFmtId="0" fontId="12" fillId="3" borderId="0" xfId="3" applyFill="1" applyAlignment="1">
      <alignment horizontal="right"/>
    </xf>
    <xf numFmtId="0" fontId="13" fillId="0" borderId="0" xfId="3" applyFont="1"/>
    <xf numFmtId="0" fontId="13" fillId="4" borderId="0" xfId="3" applyFont="1" applyFill="1"/>
    <xf numFmtId="0" fontId="13" fillId="4" borderId="0" xfId="3" applyFont="1" applyFill="1" applyAlignment="1">
      <alignment horizontal="right"/>
    </xf>
    <xf numFmtId="0" fontId="18" fillId="4" borderId="0" xfId="0" applyFont="1" applyFill="1"/>
    <xf numFmtId="0" fontId="12" fillId="4" borderId="0" xfId="3" applyFill="1"/>
    <xf numFmtId="0" fontId="12" fillId="4" borderId="0" xfId="3" applyFill="1" applyAlignment="1">
      <alignment horizontal="right"/>
    </xf>
    <xf numFmtId="0" fontId="12" fillId="4" borderId="0" xfId="0" applyFont="1" applyFill="1"/>
    <xf numFmtId="0" fontId="12" fillId="4" borderId="0" xfId="0" applyFont="1" applyFill="1" applyAlignment="1">
      <alignment horizontal="right"/>
    </xf>
    <xf numFmtId="0" fontId="12" fillId="0" borderId="0" xfId="0" applyFont="1"/>
    <xf numFmtId="0" fontId="12" fillId="5" borderId="0" xfId="3" applyFill="1"/>
    <xf numFmtId="0" fontId="12" fillId="5" borderId="0" xfId="3" applyFill="1" applyAlignment="1">
      <alignment horizontal="right"/>
    </xf>
    <xf numFmtId="0" fontId="12" fillId="5" borderId="0" xfId="0" applyFont="1" applyFill="1"/>
    <xf numFmtId="0" fontId="12" fillId="5" borderId="0" xfId="0" applyFont="1" applyFill="1" applyAlignment="1">
      <alignment horizontal="right"/>
    </xf>
    <xf numFmtId="0" fontId="12" fillId="6" borderId="0" xfId="0" applyFont="1" applyFill="1"/>
    <xf numFmtId="0" fontId="12" fillId="6" borderId="0" xfId="0" applyFont="1" applyFill="1" applyAlignment="1">
      <alignment horizontal="right"/>
    </xf>
    <xf numFmtId="0" fontId="12" fillId="7" borderId="0" xfId="3" applyFill="1"/>
    <xf numFmtId="0" fontId="12" fillId="7" borderId="0" xfId="0" applyFont="1" applyFill="1"/>
    <xf numFmtId="0" fontId="12" fillId="7" borderId="0" xfId="0" applyFont="1" applyFill="1" applyAlignment="1">
      <alignment horizontal="right"/>
    </xf>
    <xf numFmtId="0" fontId="12" fillId="7" borderId="0" xfId="3" applyFill="1" applyAlignment="1">
      <alignment horizontal="right"/>
    </xf>
    <xf numFmtId="0" fontId="12" fillId="8" borderId="0" xfId="0" applyFont="1" applyFill="1"/>
    <xf numFmtId="0" fontId="12" fillId="8" borderId="0" xfId="0" applyFont="1" applyFill="1" applyAlignment="1">
      <alignment horizontal="right"/>
    </xf>
    <xf numFmtId="0" fontId="12" fillId="9" borderId="0" xfId="3" applyFill="1"/>
    <xf numFmtId="0" fontId="12" fillId="9" borderId="0" xfId="3" applyFill="1" applyAlignment="1">
      <alignment horizontal="right"/>
    </xf>
    <xf numFmtId="0" fontId="0" fillId="0" borderId="0" xfId="0" applyAlignment="1">
      <alignment horizontal="left"/>
    </xf>
    <xf numFmtId="3" fontId="12" fillId="0" borderId="0" xfId="3" applyNumberFormat="1"/>
    <xf numFmtId="3" fontId="19" fillId="0" borderId="0" xfId="0" applyNumberFormat="1" applyFont="1"/>
    <xf numFmtId="0" fontId="12" fillId="0" borderId="6" xfId="3" applyBorder="1"/>
    <xf numFmtId="0" fontId="12" fillId="0" borderId="7" xfId="3" applyBorder="1"/>
    <xf numFmtId="0" fontId="12" fillId="0" borderId="2" xfId="3" applyBorder="1"/>
    <xf numFmtId="0" fontId="12" fillId="0" borderId="3" xfId="3" applyBorder="1"/>
    <xf numFmtId="0" fontId="15" fillId="0" borderId="0" xfId="3" applyFont="1" applyAlignment="1">
      <alignment horizontal="center" vertical="top"/>
    </xf>
    <xf numFmtId="0" fontId="20" fillId="0" borderId="0" xfId="3" applyFont="1" applyAlignment="1">
      <alignment vertical="top"/>
    </xf>
    <xf numFmtId="0" fontId="20" fillId="0" borderId="0" xfId="3" applyFont="1"/>
    <xf numFmtId="0" fontId="20" fillId="0" borderId="0" xfId="3" applyFont="1" applyAlignment="1">
      <alignment horizontal="center" vertical="top"/>
    </xf>
    <xf numFmtId="0" fontId="15" fillId="0" borderId="0" xfId="3" applyFont="1"/>
    <xf numFmtId="0" fontId="12" fillId="0" borderId="9" xfId="3" applyBorder="1"/>
    <xf numFmtId="0" fontId="12" fillId="0" borderId="10" xfId="3" applyBorder="1"/>
    <xf numFmtId="0" fontId="12" fillId="0" borderId="11" xfId="3" applyBorder="1"/>
    <xf numFmtId="0" fontId="21" fillId="0" borderId="0" xfId="3" applyFont="1" applyAlignment="1">
      <alignment horizontal="center" vertical="top"/>
    </xf>
    <xf numFmtId="0" fontId="12" fillId="0" borderId="6" xfId="3" applyBorder="1" applyAlignment="1">
      <alignment horizontal="center"/>
    </xf>
    <xf numFmtId="0" fontId="12" fillId="0" borderId="0" xfId="3" applyAlignment="1">
      <alignment horizontal="center"/>
    </xf>
    <xf numFmtId="0" fontId="12" fillId="0" borderId="7" xfId="3" applyBorder="1" applyAlignment="1">
      <alignment horizontal="center"/>
    </xf>
    <xf numFmtId="15" fontId="12" fillId="0" borderId="9" xfId="3" applyNumberFormat="1" applyBorder="1"/>
    <xf numFmtId="15" fontId="12" fillId="0" borderId="10" xfId="3" applyNumberFormat="1" applyBorder="1"/>
    <xf numFmtId="15" fontId="12" fillId="0" borderId="11" xfId="3" applyNumberFormat="1" applyBorder="1"/>
    <xf numFmtId="15" fontId="12" fillId="0" borderId="0" xfId="3" applyNumberFormat="1"/>
    <xf numFmtId="15" fontId="12" fillId="0" borderId="6" xfId="3" applyNumberFormat="1" applyBorder="1"/>
    <xf numFmtId="15" fontId="12" fillId="0" borderId="7" xfId="3" applyNumberFormat="1" applyBorder="1"/>
    <xf numFmtId="14" fontId="12" fillId="0" borderId="0" xfId="3" applyNumberFormat="1"/>
    <xf numFmtId="2" fontId="12" fillId="0" borderId="0" xfId="3" applyNumberFormat="1"/>
    <xf numFmtId="2" fontId="12" fillId="0" borderId="0" xfId="3" applyNumberFormat="1" applyAlignment="1">
      <alignment horizontal="right"/>
    </xf>
    <xf numFmtId="2" fontId="12" fillId="4" borderId="0" xfId="3" applyNumberFormat="1" applyFill="1"/>
    <xf numFmtId="0" fontId="12" fillId="0" borderId="7" xfId="3" applyBorder="1" applyAlignment="1">
      <alignment horizontal="right"/>
    </xf>
    <xf numFmtId="15" fontId="14" fillId="0" borderId="0" xfId="3" applyNumberFormat="1" applyFont="1" applyAlignment="1">
      <alignment vertical="top"/>
    </xf>
    <xf numFmtId="15" fontId="12" fillId="0" borderId="7" xfId="3" applyNumberFormat="1" applyBorder="1" applyAlignment="1">
      <alignment horizontal="right"/>
    </xf>
    <xf numFmtId="15" fontId="12" fillId="0" borderId="0" xfId="3" applyNumberFormat="1" applyAlignment="1">
      <alignment horizontal="right"/>
    </xf>
    <xf numFmtId="15" fontId="14" fillId="4" borderId="0" xfId="3" applyNumberFormat="1" applyFont="1" applyFill="1" applyAlignment="1">
      <alignment vertical="top"/>
    </xf>
    <xf numFmtId="0" fontId="14" fillId="4" borderId="0" xfId="3" applyFont="1" applyFill="1" applyAlignment="1">
      <alignment vertical="top"/>
    </xf>
    <xf numFmtId="0" fontId="14" fillId="4" borderId="0" xfId="3" applyFont="1" applyFill="1"/>
    <xf numFmtId="0" fontId="14" fillId="0" borderId="7" xfId="3" applyFont="1" applyBorder="1" applyAlignment="1">
      <alignment horizontal="left" vertical="top"/>
    </xf>
    <xf numFmtId="0" fontId="11" fillId="0" borderId="0" xfId="3" applyFont="1" applyAlignment="1">
      <alignment horizontal="right"/>
    </xf>
    <xf numFmtId="0" fontId="11" fillId="0" borderId="0" xfId="3" applyFont="1"/>
    <xf numFmtId="0" fontId="10" fillId="0" borderId="0" xfId="3" applyFont="1" applyAlignment="1">
      <alignment horizontal="right"/>
    </xf>
    <xf numFmtId="0" fontId="10" fillId="0" borderId="0" xfId="3" applyFont="1"/>
    <xf numFmtId="0" fontId="0" fillId="0" borderId="0" xfId="0" applyAlignment="1">
      <alignment horizontal="right"/>
    </xf>
    <xf numFmtId="0" fontId="9" fillId="0" borderId="0" xfId="3" applyFont="1"/>
    <xf numFmtId="0" fontId="9" fillId="0" borderId="0" xfId="3" applyFont="1" applyAlignment="1">
      <alignment horizontal="right"/>
    </xf>
    <xf numFmtId="0" fontId="9" fillId="4" borderId="0" xfId="3" applyFont="1" applyFill="1" applyAlignment="1">
      <alignment horizontal="right"/>
    </xf>
    <xf numFmtId="0" fontId="9" fillId="5" borderId="0" xfId="3" applyFont="1" applyFill="1"/>
    <xf numFmtId="0" fontId="8" fillId="0" borderId="0" xfId="3" applyFont="1" applyAlignment="1">
      <alignment horizontal="right"/>
    </xf>
    <xf numFmtId="0" fontId="12" fillId="0" borderId="0" xfId="3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2" applyNumberFormat="1" applyFont="1"/>
    <xf numFmtId="0" fontId="7" fillId="0" borderId="0" xfId="3" applyFont="1"/>
    <xf numFmtId="0" fontId="6" fillId="0" borderId="0" xfId="3" applyFont="1"/>
    <xf numFmtId="0" fontId="5" fillId="0" borderId="0" xfId="3" applyFont="1" applyFill="1"/>
    <xf numFmtId="2" fontId="23" fillId="10" borderId="0" xfId="7" applyNumberFormat="1"/>
    <xf numFmtId="0" fontId="4" fillId="0" borderId="0" xfId="3" applyFont="1"/>
    <xf numFmtId="0" fontId="4" fillId="0" borderId="0" xfId="3" applyFont="1" applyAlignment="1">
      <alignment vertical="top"/>
    </xf>
    <xf numFmtId="0" fontId="4" fillId="0" borderId="0" xfId="0" applyFont="1"/>
    <xf numFmtId="0" fontId="0" fillId="0" borderId="0" xfId="0" applyAlignment="1">
      <alignment horizontal="left" indent="2"/>
    </xf>
    <xf numFmtId="0" fontId="3" fillId="0" borderId="0" xfId="3" applyFont="1"/>
    <xf numFmtId="0" fontId="2" fillId="0" borderId="0" xfId="3" applyFont="1"/>
    <xf numFmtId="0" fontId="1" fillId="9" borderId="0" xfId="3" applyFont="1" applyFill="1" applyAlignment="1">
      <alignment horizontal="right"/>
    </xf>
    <xf numFmtId="0" fontId="12" fillId="2" borderId="5" xfId="3" applyFill="1" applyBorder="1" applyAlignment="1">
      <alignment horizontal="center" vertical="center" wrapText="1"/>
    </xf>
    <xf numFmtId="0" fontId="12" fillId="2" borderId="8" xfId="3" applyFill="1" applyBorder="1" applyAlignment="1">
      <alignment horizontal="center" vertical="center" wrapText="1"/>
    </xf>
    <xf numFmtId="0" fontId="12" fillId="2" borderId="6" xfId="3" applyFill="1" applyBorder="1" applyAlignment="1">
      <alignment horizontal="center"/>
    </xf>
    <xf numFmtId="0" fontId="12" fillId="2" borderId="0" xfId="3" applyFill="1" applyAlignment="1">
      <alignment horizontal="center"/>
    </xf>
    <xf numFmtId="0" fontId="12" fillId="2" borderId="7" xfId="3" applyFill="1" applyBorder="1" applyAlignment="1">
      <alignment horizontal="center"/>
    </xf>
    <xf numFmtId="0" fontId="12" fillId="2" borderId="9" xfId="3" applyFill="1" applyBorder="1" applyAlignment="1">
      <alignment horizontal="center"/>
    </xf>
    <xf numFmtId="0" fontId="12" fillId="2" borderId="10" xfId="3" applyFill="1" applyBorder="1" applyAlignment="1">
      <alignment horizontal="center"/>
    </xf>
    <xf numFmtId="0" fontId="12" fillId="2" borderId="11" xfId="3" applyFill="1" applyBorder="1" applyAlignment="1">
      <alignment horizontal="center"/>
    </xf>
    <xf numFmtId="0" fontId="12" fillId="2" borderId="5" xfId="3" applyFill="1" applyBorder="1" applyAlignment="1">
      <alignment horizontal="center" vertical="center"/>
    </xf>
    <xf numFmtId="0" fontId="12" fillId="2" borderId="8" xfId="3" applyFill="1" applyBorder="1" applyAlignment="1">
      <alignment horizontal="center" vertical="center"/>
    </xf>
    <xf numFmtId="0" fontId="14" fillId="2" borderId="2" xfId="3" applyFont="1" applyFill="1" applyBorder="1" applyAlignment="1">
      <alignment horizontal="left"/>
    </xf>
    <xf numFmtId="0" fontId="14" fillId="2" borderId="4" xfId="3" applyFont="1" applyFill="1" applyBorder="1" applyAlignment="1">
      <alignment horizontal="left"/>
    </xf>
    <xf numFmtId="0" fontId="12" fillId="2" borderId="6" xfId="3" applyFill="1" applyBorder="1" applyAlignment="1">
      <alignment horizontal="center" vertical="center" wrapText="1"/>
    </xf>
    <xf numFmtId="0" fontId="12" fillId="2" borderId="7" xfId="3" applyFill="1" applyBorder="1" applyAlignment="1">
      <alignment horizontal="center" vertical="center" wrapText="1"/>
    </xf>
    <xf numFmtId="0" fontId="12" fillId="2" borderId="9" xfId="3" applyFill="1" applyBorder="1" applyAlignment="1">
      <alignment horizontal="center" vertical="center" wrapText="1"/>
    </xf>
    <xf numFmtId="0" fontId="12" fillId="2" borderId="11" xfId="3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2" fillId="0" borderId="0" xfId="3" applyAlignment="1">
      <alignment horizontal="center" vertical="center"/>
    </xf>
    <xf numFmtId="0" fontId="12" fillId="0" borderId="0" xfId="3" applyAlignment="1">
      <alignment horizontal="center"/>
    </xf>
    <xf numFmtId="0" fontId="14" fillId="0" borderId="2" xfId="3" applyFont="1" applyBorder="1" applyAlignment="1">
      <alignment horizontal="center"/>
    </xf>
    <xf numFmtId="0" fontId="14" fillId="0" borderId="3" xfId="3" applyFont="1" applyBorder="1" applyAlignment="1">
      <alignment horizontal="center"/>
    </xf>
    <xf numFmtId="0" fontId="14" fillId="0" borderId="4" xfId="3" applyFont="1" applyBorder="1" applyAlignment="1">
      <alignment horizontal="center"/>
    </xf>
  </cellXfs>
  <cellStyles count="8">
    <cellStyle name="Gut" xfId="7" builtinId="26"/>
    <cellStyle name="Link" xfId="4" builtinId="8"/>
    <cellStyle name="Prozent" xfId="2" builtinId="5"/>
    <cellStyle name="Standard" xfId="0" builtinId="0"/>
    <cellStyle name="Standard 2" xfId="3" xr:uid="{30875ACC-4AC0-4DBD-B00D-C7538F0C89AA}"/>
    <cellStyle name="Standard 3" xfId="6" xr:uid="{5552C95D-F79A-47E5-BAE9-EC3044A6FA67}"/>
    <cellStyle name="Standard 4" xfId="5" xr:uid="{E2A987FE-AC6B-451C-96D3-00C7EE92043A}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[190910_Bewertungstool_v03.xlsm]Tabelle1!PivotTable1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Kosten pro Weg: Urban-Kurzstrecke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Tabelle1!$B$3</c:f>
              <c:strCache>
                <c:ptCount val="1"/>
                <c:pt idx="0">
                  <c:v>Summe von Klassisch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Tabelle1!$A$4:$A$11</c:f>
              <c:multiLvlStrCache>
                <c:ptCount val="6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  <c:pt idx="5">
                    <c:v>zu Fuss</c:v>
                  </c:pt>
                </c:lvl>
                <c:lvl>
                  <c:pt idx="0">
                    <c:v>UK</c:v>
                  </c:pt>
                </c:lvl>
              </c:multiLvlStrCache>
            </c:multiLvlStrRef>
          </c:cat>
          <c:val>
            <c:numRef>
              <c:f>Tabelle1!$B$4:$B$11</c:f>
              <c:numCache>
                <c:formatCode>General</c:formatCode>
                <c:ptCount val="6"/>
                <c:pt idx="0">
                  <c:v>2.5392408181257591E-4</c:v>
                </c:pt>
                <c:pt idx="1">
                  <c:v>1.0982113048199489</c:v>
                </c:pt>
                <c:pt idx="2">
                  <c:v>0.29859952724135991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454-44F3-9AF8-2DF8EEB81223}"/>
            </c:ext>
          </c:extLst>
        </c:ser>
        <c:ser>
          <c:idx val="1"/>
          <c:order val="1"/>
          <c:tx>
            <c:strRef>
              <c:f>Tabelle1!$C$3</c:f>
              <c:strCache>
                <c:ptCount val="1"/>
                <c:pt idx="0">
                  <c:v>Summe von Trendszenario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Tabelle1!$A$4:$A$11</c:f>
              <c:multiLvlStrCache>
                <c:ptCount val="6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  <c:pt idx="5">
                    <c:v>zu Fuss</c:v>
                  </c:pt>
                </c:lvl>
                <c:lvl>
                  <c:pt idx="0">
                    <c:v>UK</c:v>
                  </c:pt>
                </c:lvl>
              </c:multiLvlStrCache>
            </c:multiLvlStrRef>
          </c:cat>
          <c:val>
            <c:numRef>
              <c:f>Tabelle1!$C$4:$C$11</c:f>
              <c:numCache>
                <c:formatCode>General</c:formatCode>
                <c:ptCount val="6"/>
                <c:pt idx="0">
                  <c:v>1.1749666650500908E-4</c:v>
                </c:pt>
                <c:pt idx="1">
                  <c:v>0.81482295216911438</c:v>
                </c:pt>
                <c:pt idx="2">
                  <c:v>0.11903099573763432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454-44F3-9AF8-2DF8EEB81223}"/>
            </c:ext>
          </c:extLst>
        </c:ser>
        <c:ser>
          <c:idx val="2"/>
          <c:order val="2"/>
          <c:tx>
            <c:strRef>
              <c:f>Tabelle1!$D$3</c:f>
              <c:strCache>
                <c:ptCount val="1"/>
                <c:pt idx="0">
                  <c:v>Summe von Autonom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Tabelle1!$A$4:$A$11</c:f>
              <c:multiLvlStrCache>
                <c:ptCount val="6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  <c:pt idx="5">
                    <c:v>zu Fuss</c:v>
                  </c:pt>
                </c:lvl>
                <c:lvl>
                  <c:pt idx="0">
                    <c:v>UK</c:v>
                  </c:pt>
                </c:lvl>
              </c:multiLvlStrCache>
            </c:multiLvlStrRef>
          </c:cat>
          <c:val>
            <c:numRef>
              <c:f>Tabelle1!$D$4:$D$11</c:f>
              <c:numCache>
                <c:formatCode>General</c:formatCode>
                <c:ptCount val="6"/>
                <c:pt idx="0">
                  <c:v>1.1749666650500908E-4</c:v>
                </c:pt>
                <c:pt idx="1">
                  <c:v>0.73018976875808062</c:v>
                </c:pt>
                <c:pt idx="2">
                  <c:v>0.10908080271271987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454-44F3-9AF8-2DF8EEB81223}"/>
            </c:ext>
          </c:extLst>
        </c:ser>
        <c:ser>
          <c:idx val="3"/>
          <c:order val="3"/>
          <c:tx>
            <c:strRef>
              <c:f>Tabelle1!$E$3</c:f>
              <c:strCache>
                <c:ptCount val="1"/>
                <c:pt idx="0">
                  <c:v>Summe von Optimiert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Tabelle1!$A$4:$A$11</c:f>
              <c:multiLvlStrCache>
                <c:ptCount val="6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  <c:pt idx="5">
                    <c:v>zu Fuss</c:v>
                  </c:pt>
                </c:lvl>
                <c:lvl>
                  <c:pt idx="0">
                    <c:v>UK</c:v>
                  </c:pt>
                </c:lvl>
              </c:multiLvlStrCache>
            </c:multiLvlStrRef>
          </c:cat>
          <c:val>
            <c:numRef>
              <c:f>Tabelle1!$E$4:$E$11</c:f>
              <c:numCache>
                <c:formatCode>General</c:formatCode>
                <c:ptCount val="6"/>
                <c:pt idx="0">
                  <c:v>1.1749666650500908E-4</c:v>
                </c:pt>
                <c:pt idx="1">
                  <c:v>0.71432752798308319</c:v>
                </c:pt>
                <c:pt idx="2">
                  <c:v>0.10908080271271987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54-44F3-9AF8-2DF8EEB81223}"/>
            </c:ext>
          </c:extLst>
        </c:ser>
        <c:ser>
          <c:idx val="4"/>
          <c:order val="4"/>
          <c:tx>
            <c:strRef>
              <c:f>Tabelle1!$F$3</c:f>
              <c:strCache>
                <c:ptCount val="1"/>
                <c:pt idx="0">
                  <c:v>Summe von Pod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Tabelle1!$A$4:$A$11</c:f>
              <c:multiLvlStrCache>
                <c:ptCount val="6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  <c:pt idx="5">
                    <c:v>zu Fuss</c:v>
                  </c:pt>
                </c:lvl>
                <c:lvl>
                  <c:pt idx="0">
                    <c:v>UK</c:v>
                  </c:pt>
                </c:lvl>
              </c:multiLvlStrCache>
            </c:multiLvlStrRef>
          </c:cat>
          <c:val>
            <c:numRef>
              <c:f>Tabelle1!$F$4:$F$11</c:f>
              <c:numCache>
                <c:formatCode>General</c:formatCode>
                <c:ptCount val="6"/>
                <c:pt idx="0">
                  <c:v>1.1749666650500908E-4</c:v>
                </c:pt>
                <c:pt idx="1">
                  <c:v>0.71432752798308319</c:v>
                </c:pt>
                <c:pt idx="3">
                  <c:v>0.34983266219563625</c:v>
                </c:pt>
                <c:pt idx="4">
                  <c:v>0.32902671744414558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54-44F3-9AF8-2DF8EEB81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7250911"/>
        <c:axId val="2038552063"/>
      </c:barChart>
      <c:catAx>
        <c:axId val="204725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38552063"/>
        <c:crosses val="autoZero"/>
        <c:auto val="1"/>
        <c:lblAlgn val="ctr"/>
        <c:lblOffset val="100"/>
        <c:noMultiLvlLbl val="0"/>
      </c:catAx>
      <c:valAx>
        <c:axId val="203855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Kostne pro Weg [Euro]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725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[190910_Bewertungstool_v03.xlsm]Tabelle2!PivotTable2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508148038633407E-2"/>
          <c:y val="0.10522981530121124"/>
          <c:w val="0.71845091676586725"/>
          <c:h val="0.615863801111724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Tabelle2!$B$1</c:f>
              <c:strCache>
                <c:ptCount val="1"/>
                <c:pt idx="0">
                  <c:v>Summe von Klassisch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Tabelle2!$B$2:$B$7</c:f>
              <c:numCache>
                <c:formatCode>General</c:formatCode>
                <c:ptCount val="2"/>
                <c:pt idx="0">
                  <c:v>1114.3999999999999</c:v>
                </c:pt>
                <c:pt idx="1">
                  <c:v>1795.4194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2-4215-A29F-C3745B0DD6F3}"/>
            </c:ext>
          </c:extLst>
        </c:ser>
        <c:ser>
          <c:idx val="1"/>
          <c:order val="1"/>
          <c:tx>
            <c:strRef>
              <c:f>Tabelle2!$C$1</c:f>
              <c:strCache>
                <c:ptCount val="1"/>
                <c:pt idx="0">
                  <c:v>Summe von Trendszenario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Tabelle2!$C$2:$C$7</c:f>
              <c:numCache>
                <c:formatCode>General</c:formatCode>
                <c:ptCount val="2"/>
                <c:pt idx="0">
                  <c:v>704.85799999999995</c:v>
                </c:pt>
                <c:pt idx="1">
                  <c:v>1148.2443955000001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F2-4215-A29F-C3745B0DD6F3}"/>
            </c:ext>
          </c:extLst>
        </c:ser>
        <c:ser>
          <c:idx val="2"/>
          <c:order val="2"/>
          <c:tx>
            <c:strRef>
              <c:f>Tabelle2!$D$1</c:f>
              <c:strCache>
                <c:ptCount val="1"/>
                <c:pt idx="0">
                  <c:v>Summe von Autonom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Tabelle2!$D$2:$D$7</c:f>
              <c:numCache>
                <c:formatCode>General</c:formatCode>
                <c:ptCount val="2"/>
                <c:pt idx="0">
                  <c:v>557.45074</c:v>
                </c:pt>
                <c:pt idx="1">
                  <c:v>991.46236980500021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F2-4215-A29F-C3745B0DD6F3}"/>
            </c:ext>
          </c:extLst>
        </c:ser>
        <c:ser>
          <c:idx val="3"/>
          <c:order val="3"/>
          <c:tx>
            <c:strRef>
              <c:f>Tabelle2!$E$1</c:f>
              <c:strCache>
                <c:ptCount val="1"/>
                <c:pt idx="0">
                  <c:v>Summe von Optimiert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Tabelle2!$E$2:$E$7</c:f>
              <c:numCache>
                <c:formatCode>General</c:formatCode>
                <c:ptCount val="2"/>
                <c:pt idx="0">
                  <c:v>543.51447150000001</c:v>
                </c:pt>
                <c:pt idx="1">
                  <c:v>952.34426546542704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F2-4215-A29F-C3745B0DD6F3}"/>
            </c:ext>
          </c:extLst>
        </c:ser>
        <c:ser>
          <c:idx val="4"/>
          <c:order val="4"/>
          <c:tx>
            <c:strRef>
              <c:f>Tabelle2!$F$1</c:f>
              <c:strCache>
                <c:ptCount val="1"/>
                <c:pt idx="0">
                  <c:v>Summe von Pod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Tabelle2!$F$2:$F$7</c:f>
              <c:numCache>
                <c:formatCode>General</c:formatCode>
                <c:ptCount val="2"/>
                <c:pt idx="0">
                  <c:v>434.66763648582696</c:v>
                </c:pt>
                <c:pt idx="1">
                  <c:v>816.39399994606913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F2-4215-A29F-C3745B0DD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931215"/>
        <c:axId val="276428223"/>
      </c:barChart>
      <c:catAx>
        <c:axId val="255931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6428223"/>
        <c:crosses val="autoZero"/>
        <c:auto val="1"/>
        <c:lblAlgn val="ctr"/>
        <c:lblOffset val="100"/>
        <c:noMultiLvlLbl val="0"/>
      </c:catAx>
      <c:valAx>
        <c:axId val="27642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55931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2</xdr:row>
          <xdr:rowOff>57150</xdr:rowOff>
        </xdr:from>
        <xdr:to>
          <xdr:col>4</xdr:col>
          <xdr:colOff>485775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8</xdr:row>
          <xdr:rowOff>76200</xdr:rowOff>
        </xdr:from>
        <xdr:to>
          <xdr:col>4</xdr:col>
          <xdr:colOff>476250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14</xdr:row>
          <xdr:rowOff>28575</xdr:rowOff>
        </xdr:from>
        <xdr:to>
          <xdr:col>4</xdr:col>
          <xdr:colOff>466725</xdr:colOff>
          <xdr:row>16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754" name="IntercityAuslastung">
          <a:extLst>
            <a:ext uri="{FF2B5EF4-FFF2-40B4-BE49-F238E27FC236}">
              <a16:creationId xmlns:a16="http://schemas.microsoft.com/office/drawing/2014/main" id="{00000000-0008-0000-0200-0000F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776" name="LangstreckeAuslastung">
          <a:extLst>
            <a:ext uri="{FF2B5EF4-FFF2-40B4-BE49-F238E27FC236}">
              <a16:creationId xmlns:a16="http://schemas.microsoft.com/office/drawing/2014/main" id="{00000000-0008-0000-0200-00000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476250</xdr:colOff>
      <xdr:row>0</xdr:row>
      <xdr:rowOff>0</xdr:rowOff>
    </xdr:from>
    <xdr:to>
      <xdr:col>39</xdr:col>
      <xdr:colOff>111125</xdr:colOff>
      <xdr:row>33</xdr:row>
      <xdr:rowOff>34290</xdr:rowOff>
    </xdr:to>
    <xdr:pic>
      <xdr:nvPicPr>
        <xdr:cNvPr id="798" name="Urban-KurzstreckeAuslastung">
          <a:extLst>
            <a:ext uri="{FF2B5EF4-FFF2-40B4-BE49-F238E27FC236}">
              <a16:creationId xmlns:a16="http://schemas.microsoft.com/office/drawing/2014/main" id="{00000000-0008-0000-0200-00001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0" y="0"/>
          <a:ext cx="11391900" cy="63119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361</xdr:row>
      <xdr:rowOff>187507</xdr:rowOff>
    </xdr:from>
    <xdr:to>
      <xdr:col>12</xdr:col>
      <xdr:colOff>533400</xdr:colOff>
      <xdr:row>395</xdr:row>
      <xdr:rowOff>3357</xdr:rowOff>
    </xdr:to>
    <xdr:pic>
      <xdr:nvPicPr>
        <xdr:cNvPr id="820" name="Urban-LangstreckeAuslastung">
          <a:extLst>
            <a:ext uri="{FF2B5EF4-FFF2-40B4-BE49-F238E27FC236}">
              <a16:creationId xmlns:a16="http://schemas.microsoft.com/office/drawing/2014/main" id="{00000000-0008-0000-0200-00003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958007"/>
          <a:ext cx="11391900" cy="63017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19" name="IntercityUnfallrisiko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91900" cy="63207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251</xdr:row>
      <xdr:rowOff>34292</xdr:rowOff>
    </xdr:from>
    <xdr:to>
      <xdr:col>12</xdr:col>
      <xdr:colOff>533400</xdr:colOff>
      <xdr:row>284</xdr:row>
      <xdr:rowOff>72392</xdr:rowOff>
    </xdr:to>
    <xdr:pic>
      <xdr:nvPicPr>
        <xdr:cNvPr id="33" name="Grafik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49792"/>
          <a:ext cx="11391900" cy="6324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327</xdr:row>
      <xdr:rowOff>72392</xdr:rowOff>
    </xdr:from>
    <xdr:to>
      <xdr:col>12</xdr:col>
      <xdr:colOff>533400</xdr:colOff>
      <xdr:row>360</xdr:row>
      <xdr:rowOff>77472</xdr:rowOff>
    </xdr:to>
    <xdr:pic>
      <xdr:nvPicPr>
        <xdr:cNvPr id="39" name="LangstreckeUnfallrisiko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365892"/>
          <a:ext cx="11391900" cy="6291580"/>
        </a:xfrm>
        <a:prstGeom prst="rect">
          <a:avLst/>
        </a:prstGeom>
      </xdr:spPr>
    </xdr:pic>
    <xdr:clientData/>
  </xdr:twoCellAnchor>
  <xdr:twoCellAnchor editAs="oneCell">
    <xdr:from>
      <xdr:col>12</xdr:col>
      <xdr:colOff>758825</xdr:colOff>
      <xdr:row>326</xdr:row>
      <xdr:rowOff>181887</xdr:rowOff>
    </xdr:from>
    <xdr:to>
      <xdr:col>25</xdr:col>
      <xdr:colOff>378460</xdr:colOff>
      <xdr:row>360</xdr:row>
      <xdr:rowOff>34567</xdr:rowOff>
    </xdr:to>
    <xdr:pic>
      <xdr:nvPicPr>
        <xdr:cNvPr id="911" name="Urban-LangstreckeUnfallrisiko">
          <a:extLst>
            <a:ext uri="{FF2B5EF4-FFF2-40B4-BE49-F238E27FC236}">
              <a16:creationId xmlns:a16="http://schemas.microsoft.com/office/drawing/2014/main" id="{00000000-0008-0000-0200-00008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7325" y="62284887"/>
          <a:ext cx="11383010" cy="6329680"/>
        </a:xfrm>
        <a:prstGeom prst="rect">
          <a:avLst/>
        </a:prstGeom>
      </xdr:spPr>
    </xdr:pic>
    <xdr:clientData/>
  </xdr:twoCellAnchor>
  <xdr:twoCellAnchor editAs="oneCell">
    <xdr:from>
      <xdr:col>26</xdr:col>
      <xdr:colOff>803278</xdr:colOff>
      <xdr:row>0</xdr:row>
      <xdr:rowOff>0</xdr:rowOff>
    </xdr:from>
    <xdr:to>
      <xdr:col>39</xdr:col>
      <xdr:colOff>453393</xdr:colOff>
      <xdr:row>33</xdr:row>
      <xdr:rowOff>34291</xdr:rowOff>
    </xdr:to>
    <xdr:pic>
      <xdr:nvPicPr>
        <xdr:cNvPr id="951" name="Urban-KurzstreckeUnfallrisiko">
          <a:extLst>
            <a:ext uri="{FF2B5EF4-FFF2-40B4-BE49-F238E27FC236}">
              <a16:creationId xmlns:a16="http://schemas.microsoft.com/office/drawing/2014/main" id="{00000000-0008-0000-0200-0000B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2578" y="0"/>
          <a:ext cx="11454765" cy="61112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1" name="IntercityEnergieverbrauch">
          <a:extLst>
            <a:ext uri="{FF2B5EF4-FFF2-40B4-BE49-F238E27FC236}">
              <a16:creationId xmlns:a16="http://schemas.microsoft.com/office/drawing/2014/main" id="{00000000-0008-0000-0200-00002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3" name="IntercityFahrtzeit">
          <a:extLst>
            <a:ext uri="{FF2B5EF4-FFF2-40B4-BE49-F238E27FC236}">
              <a16:creationId xmlns:a16="http://schemas.microsoft.com/office/drawing/2014/main" id="{00000000-0008-0000-0200-00002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5" name="IntercityKosten">
          <a:extLst>
            <a:ext uri="{FF2B5EF4-FFF2-40B4-BE49-F238E27FC236}">
              <a16:creationId xmlns:a16="http://schemas.microsoft.com/office/drawing/2014/main" id="{00000000-0008-0000-0200-00002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7" name="IntercityLength">
          <a:extLst>
            <a:ext uri="{FF2B5EF4-FFF2-40B4-BE49-F238E27FC236}">
              <a16:creationId xmlns:a16="http://schemas.microsoft.com/office/drawing/2014/main" id="{00000000-0008-0000-0200-00003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9" name="IntercityNOx">
          <a:extLst>
            <a:ext uri="{FF2B5EF4-FFF2-40B4-BE49-F238E27FC236}">
              <a16:creationId xmlns:a16="http://schemas.microsoft.com/office/drawing/2014/main" id="{00000000-0008-0000-0200-00003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2" name="IntercityPM">
          <a:extLst>
            <a:ext uri="{FF2B5EF4-FFF2-40B4-BE49-F238E27FC236}">
              <a16:creationId xmlns:a16="http://schemas.microsoft.com/office/drawing/2014/main" id="{00000000-0008-0000-0200-00003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4" name="IntercityTHG">
          <a:extLst>
            <a:ext uri="{FF2B5EF4-FFF2-40B4-BE49-F238E27FC236}">
              <a16:creationId xmlns:a16="http://schemas.microsoft.com/office/drawing/2014/main" id="{00000000-0008-0000-0200-00003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6" name="IntercityTransferzeit">
          <a:extLst>
            <a:ext uri="{FF2B5EF4-FFF2-40B4-BE49-F238E27FC236}">
              <a16:creationId xmlns:a16="http://schemas.microsoft.com/office/drawing/2014/main" id="{00000000-0008-0000-0200-00003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8" name="IntercityWartezeit">
          <a:extLst>
            <a:ext uri="{FF2B5EF4-FFF2-40B4-BE49-F238E27FC236}">
              <a16:creationId xmlns:a16="http://schemas.microsoft.com/office/drawing/2014/main" id="{00000000-0008-0000-0200-00003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30" name="LangstreckeEnergieverbrauch">
          <a:extLst>
            <a:ext uri="{FF2B5EF4-FFF2-40B4-BE49-F238E27FC236}">
              <a16:creationId xmlns:a16="http://schemas.microsoft.com/office/drawing/2014/main" id="{00000000-0008-0000-0200-00003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960" name="LangstreckeFahrtzeit">
          <a:extLst>
            <a:ext uri="{FF2B5EF4-FFF2-40B4-BE49-F238E27FC236}">
              <a16:creationId xmlns:a16="http://schemas.microsoft.com/office/drawing/2014/main" id="{00000000-0008-0000-0200-0000C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</xdr:row>
      <xdr:rowOff>112396</xdr:rowOff>
    </xdr:from>
    <xdr:to>
      <xdr:col>12</xdr:col>
      <xdr:colOff>533400</xdr:colOff>
      <xdr:row>177</xdr:row>
      <xdr:rowOff>117476</xdr:rowOff>
    </xdr:to>
    <xdr:pic>
      <xdr:nvPicPr>
        <xdr:cNvPr id="962" name="LangstreckeKosten">
          <a:extLst>
            <a:ext uri="{FF2B5EF4-FFF2-40B4-BE49-F238E27FC236}">
              <a16:creationId xmlns:a16="http://schemas.microsoft.com/office/drawing/2014/main" id="{00000000-0008-0000-0200-0000C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29996"/>
          <a:ext cx="11430000" cy="608203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</xdr:row>
      <xdr:rowOff>3170</xdr:rowOff>
    </xdr:from>
    <xdr:to>
      <xdr:col>12</xdr:col>
      <xdr:colOff>533400</xdr:colOff>
      <xdr:row>142</xdr:row>
      <xdr:rowOff>34920</xdr:rowOff>
    </xdr:to>
    <xdr:pic>
      <xdr:nvPicPr>
        <xdr:cNvPr id="964" name="LangstreckeLength">
          <a:extLst>
            <a:ext uri="{FF2B5EF4-FFF2-40B4-BE49-F238E27FC236}">
              <a16:creationId xmlns:a16="http://schemas.microsoft.com/office/drawing/2014/main" id="{00000000-0008-0000-0200-0000C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75520"/>
          <a:ext cx="11430000" cy="6108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216</xdr:row>
      <xdr:rowOff>73651</xdr:rowOff>
    </xdr:from>
    <xdr:to>
      <xdr:col>12</xdr:col>
      <xdr:colOff>533400</xdr:colOff>
      <xdr:row>249</xdr:row>
      <xdr:rowOff>80001</xdr:rowOff>
    </xdr:to>
    <xdr:pic>
      <xdr:nvPicPr>
        <xdr:cNvPr id="966" name="LangstreckeNOx">
          <a:extLst>
            <a:ext uri="{FF2B5EF4-FFF2-40B4-BE49-F238E27FC236}">
              <a16:creationId xmlns:a16="http://schemas.microsoft.com/office/drawing/2014/main" id="{00000000-0008-0000-0200-0000C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850051"/>
          <a:ext cx="11430000" cy="6083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251</xdr:row>
      <xdr:rowOff>34292</xdr:rowOff>
    </xdr:from>
    <xdr:to>
      <xdr:col>12</xdr:col>
      <xdr:colOff>533400</xdr:colOff>
      <xdr:row>284</xdr:row>
      <xdr:rowOff>72392</xdr:rowOff>
    </xdr:to>
    <xdr:pic>
      <xdr:nvPicPr>
        <xdr:cNvPr id="968" name="LangstreckePM">
          <a:extLst>
            <a:ext uri="{FF2B5EF4-FFF2-40B4-BE49-F238E27FC236}">
              <a16:creationId xmlns:a16="http://schemas.microsoft.com/office/drawing/2014/main" id="{00000000-0008-0000-0200-0000C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255942"/>
          <a:ext cx="11430000" cy="61150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180</xdr:row>
      <xdr:rowOff>41272</xdr:rowOff>
    </xdr:from>
    <xdr:to>
      <xdr:col>12</xdr:col>
      <xdr:colOff>533400</xdr:colOff>
      <xdr:row>213</xdr:row>
      <xdr:rowOff>73022</xdr:rowOff>
    </xdr:to>
    <xdr:pic>
      <xdr:nvPicPr>
        <xdr:cNvPr id="970" name="LangstreckeTHG">
          <a:extLst>
            <a:ext uri="{FF2B5EF4-FFF2-40B4-BE49-F238E27FC236}">
              <a16:creationId xmlns:a16="http://schemas.microsoft.com/office/drawing/2014/main" id="{00000000-0008-0000-0200-0000C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188272"/>
          <a:ext cx="11430000" cy="6108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154940</xdr:rowOff>
    </xdr:from>
    <xdr:to>
      <xdr:col>12</xdr:col>
      <xdr:colOff>533400</xdr:colOff>
      <xdr:row>66</xdr:row>
      <xdr:rowOff>0</xdr:rowOff>
    </xdr:to>
    <xdr:pic>
      <xdr:nvPicPr>
        <xdr:cNvPr id="972" name="LangstreckeTransferzeit">
          <a:extLst>
            <a:ext uri="{FF2B5EF4-FFF2-40B4-BE49-F238E27FC236}">
              <a16:creationId xmlns:a16="http://schemas.microsoft.com/office/drawing/2014/main" id="{00000000-0008-0000-0200-0000C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7740"/>
          <a:ext cx="11430000" cy="6106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2722</xdr:rowOff>
    </xdr:from>
    <xdr:to>
      <xdr:col>12</xdr:col>
      <xdr:colOff>533400</xdr:colOff>
      <xdr:row>101</xdr:row>
      <xdr:rowOff>34472</xdr:rowOff>
    </xdr:to>
    <xdr:pic>
      <xdr:nvPicPr>
        <xdr:cNvPr id="974" name="LangstreckeWartezeit">
          <a:extLst>
            <a:ext uri="{FF2B5EF4-FFF2-40B4-BE49-F238E27FC236}">
              <a16:creationId xmlns:a16="http://schemas.microsoft.com/office/drawing/2014/main" id="{00000000-0008-0000-0200-0000C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24922"/>
          <a:ext cx="11430000" cy="6108700"/>
        </a:xfrm>
        <a:prstGeom prst="rect">
          <a:avLst/>
        </a:prstGeom>
      </xdr:spPr>
    </xdr:pic>
    <xdr:clientData/>
  </xdr:twoCellAnchor>
  <xdr:twoCellAnchor editAs="oneCell">
    <xdr:from>
      <xdr:col>27</xdr:col>
      <xdr:colOff>269870</xdr:colOff>
      <xdr:row>0</xdr:row>
      <xdr:rowOff>0</xdr:rowOff>
    </xdr:from>
    <xdr:to>
      <xdr:col>39</xdr:col>
      <xdr:colOff>803270</xdr:colOff>
      <xdr:row>33</xdr:row>
      <xdr:rowOff>34472</xdr:rowOff>
    </xdr:to>
    <xdr:pic>
      <xdr:nvPicPr>
        <xdr:cNvPr id="976" name="Urban-KurzstreckeEnergieverbrauch">
          <a:extLst>
            <a:ext uri="{FF2B5EF4-FFF2-40B4-BE49-F238E27FC236}">
              <a16:creationId xmlns:a16="http://schemas.microsoft.com/office/drawing/2014/main" id="{00000000-0008-0000-0200-0000D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87220" y="0"/>
          <a:ext cx="11430000" cy="6111422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41270</xdr:colOff>
      <xdr:row>0</xdr:row>
      <xdr:rowOff>0</xdr:rowOff>
    </xdr:from>
    <xdr:to>
      <xdr:col>39</xdr:col>
      <xdr:colOff>574670</xdr:colOff>
      <xdr:row>33</xdr:row>
      <xdr:rowOff>2540</xdr:rowOff>
    </xdr:to>
    <xdr:pic>
      <xdr:nvPicPr>
        <xdr:cNvPr id="978" name="Urban-KurzstreckeFahrtzeit">
          <a:extLst>
            <a:ext uri="{FF2B5EF4-FFF2-40B4-BE49-F238E27FC236}">
              <a16:creationId xmlns:a16="http://schemas.microsoft.com/office/drawing/2014/main" id="{00000000-0008-0000-0200-0000D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8620" y="0"/>
          <a:ext cx="11430000" cy="6079490"/>
        </a:xfrm>
        <a:prstGeom prst="rect">
          <a:avLst/>
        </a:prstGeom>
      </xdr:spPr>
    </xdr:pic>
    <xdr:clientData/>
  </xdr:twoCellAnchor>
  <xdr:twoCellAnchor editAs="oneCell">
    <xdr:from>
      <xdr:col>26</xdr:col>
      <xdr:colOff>607058</xdr:colOff>
      <xdr:row>0</xdr:row>
      <xdr:rowOff>0</xdr:rowOff>
    </xdr:from>
    <xdr:to>
      <xdr:col>39</xdr:col>
      <xdr:colOff>231773</xdr:colOff>
      <xdr:row>33</xdr:row>
      <xdr:rowOff>34290</xdr:rowOff>
    </xdr:to>
    <xdr:pic>
      <xdr:nvPicPr>
        <xdr:cNvPr id="980" name="Urban-KurzstreckeKosten">
          <a:extLst>
            <a:ext uri="{FF2B5EF4-FFF2-40B4-BE49-F238E27FC236}">
              <a16:creationId xmlns:a16="http://schemas.microsoft.com/office/drawing/2014/main" id="{00000000-0008-0000-0200-0000D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16358" y="0"/>
          <a:ext cx="11429365" cy="6111240"/>
        </a:xfrm>
        <a:prstGeom prst="rect">
          <a:avLst/>
        </a:prstGeom>
      </xdr:spPr>
    </xdr:pic>
    <xdr:clientData/>
  </xdr:twoCellAnchor>
  <xdr:twoCellAnchor editAs="oneCell">
    <xdr:from>
      <xdr:col>26</xdr:col>
      <xdr:colOff>492122</xdr:colOff>
      <xdr:row>0</xdr:row>
      <xdr:rowOff>0</xdr:rowOff>
    </xdr:from>
    <xdr:to>
      <xdr:col>39</xdr:col>
      <xdr:colOff>118107</xdr:colOff>
      <xdr:row>33</xdr:row>
      <xdr:rowOff>2540</xdr:rowOff>
    </xdr:to>
    <xdr:pic>
      <xdr:nvPicPr>
        <xdr:cNvPr id="982" name="Urban-KurzstreckeLength">
          <a:extLst>
            <a:ext uri="{FF2B5EF4-FFF2-40B4-BE49-F238E27FC236}">
              <a16:creationId xmlns:a16="http://schemas.microsoft.com/office/drawing/2014/main" id="{00000000-0008-0000-0200-0000D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01422" y="0"/>
          <a:ext cx="11430635" cy="6079490"/>
        </a:xfrm>
        <a:prstGeom prst="rect">
          <a:avLst/>
        </a:prstGeom>
      </xdr:spPr>
    </xdr:pic>
    <xdr:clientData/>
  </xdr:twoCellAnchor>
  <xdr:twoCellAnchor editAs="oneCell">
    <xdr:from>
      <xdr:col>26</xdr:col>
      <xdr:colOff>416558</xdr:colOff>
      <xdr:row>0</xdr:row>
      <xdr:rowOff>0</xdr:rowOff>
    </xdr:from>
    <xdr:to>
      <xdr:col>39</xdr:col>
      <xdr:colOff>41273</xdr:colOff>
      <xdr:row>33</xdr:row>
      <xdr:rowOff>34472</xdr:rowOff>
    </xdr:to>
    <xdr:pic>
      <xdr:nvPicPr>
        <xdr:cNvPr id="984" name="Urban-KurzstreckeNOx">
          <a:extLst>
            <a:ext uri="{FF2B5EF4-FFF2-40B4-BE49-F238E27FC236}">
              <a16:creationId xmlns:a16="http://schemas.microsoft.com/office/drawing/2014/main" id="{00000000-0008-0000-0200-0000D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25858" y="0"/>
          <a:ext cx="11429365" cy="6111422"/>
        </a:xfrm>
        <a:prstGeom prst="rect">
          <a:avLst/>
        </a:prstGeom>
      </xdr:spPr>
    </xdr:pic>
    <xdr:clientData/>
  </xdr:twoCellAnchor>
  <xdr:twoCellAnchor editAs="oneCell">
    <xdr:from>
      <xdr:col>26</xdr:col>
      <xdr:colOff>422278</xdr:colOff>
      <xdr:row>0</xdr:row>
      <xdr:rowOff>0</xdr:rowOff>
    </xdr:from>
    <xdr:to>
      <xdr:col>39</xdr:col>
      <xdr:colOff>72393</xdr:colOff>
      <xdr:row>33</xdr:row>
      <xdr:rowOff>2541</xdr:rowOff>
    </xdr:to>
    <xdr:pic>
      <xdr:nvPicPr>
        <xdr:cNvPr id="986" name="Urban-KurzstreckePM">
          <a:extLst>
            <a:ext uri="{FF2B5EF4-FFF2-40B4-BE49-F238E27FC236}">
              <a16:creationId xmlns:a16="http://schemas.microsoft.com/office/drawing/2014/main" id="{00000000-0008-0000-0200-0000D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31578" y="0"/>
          <a:ext cx="11454765" cy="6079491"/>
        </a:xfrm>
        <a:prstGeom prst="rect">
          <a:avLst/>
        </a:prstGeom>
      </xdr:spPr>
    </xdr:pic>
    <xdr:clientData/>
  </xdr:twoCellAnchor>
  <xdr:twoCellAnchor editAs="oneCell">
    <xdr:from>
      <xdr:col>26</xdr:col>
      <xdr:colOff>301622</xdr:colOff>
      <xdr:row>0</xdr:row>
      <xdr:rowOff>0</xdr:rowOff>
    </xdr:from>
    <xdr:to>
      <xdr:col>38</xdr:col>
      <xdr:colOff>835022</xdr:colOff>
      <xdr:row>33</xdr:row>
      <xdr:rowOff>2540</xdr:rowOff>
    </xdr:to>
    <xdr:pic>
      <xdr:nvPicPr>
        <xdr:cNvPr id="988" name="Urban-KurzstreckeTHG">
          <a:extLst>
            <a:ext uri="{FF2B5EF4-FFF2-40B4-BE49-F238E27FC236}">
              <a16:creationId xmlns:a16="http://schemas.microsoft.com/office/drawing/2014/main" id="{00000000-0008-0000-0200-0000D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0922" y="0"/>
          <a:ext cx="11430000" cy="6079490"/>
        </a:xfrm>
        <a:prstGeom prst="rect">
          <a:avLst/>
        </a:prstGeom>
      </xdr:spPr>
    </xdr:pic>
    <xdr:clientData/>
  </xdr:twoCellAnchor>
  <xdr:twoCellAnchor editAs="oneCell">
    <xdr:from>
      <xdr:col>26</xdr:col>
      <xdr:colOff>111761</xdr:colOff>
      <xdr:row>0</xdr:row>
      <xdr:rowOff>0</xdr:rowOff>
    </xdr:from>
    <xdr:to>
      <xdr:col>38</xdr:col>
      <xdr:colOff>645161</xdr:colOff>
      <xdr:row>33</xdr:row>
      <xdr:rowOff>34290</xdr:rowOff>
    </xdr:to>
    <xdr:pic>
      <xdr:nvPicPr>
        <xdr:cNvPr id="990" name="Urban-KurzstreckeTransferzeit">
          <a:extLst>
            <a:ext uri="{FF2B5EF4-FFF2-40B4-BE49-F238E27FC236}">
              <a16:creationId xmlns:a16="http://schemas.microsoft.com/office/drawing/2014/main" id="{00000000-0008-0000-0200-0000D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1061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26</xdr:col>
      <xdr:colOff>416558</xdr:colOff>
      <xdr:row>0</xdr:row>
      <xdr:rowOff>0</xdr:rowOff>
    </xdr:from>
    <xdr:to>
      <xdr:col>39</xdr:col>
      <xdr:colOff>41273</xdr:colOff>
      <xdr:row>33</xdr:row>
      <xdr:rowOff>2540</xdr:rowOff>
    </xdr:to>
    <xdr:pic>
      <xdr:nvPicPr>
        <xdr:cNvPr id="992" name="Urban-KurzstreckeWartezeit">
          <a:extLst>
            <a:ext uri="{FF2B5EF4-FFF2-40B4-BE49-F238E27FC236}">
              <a16:creationId xmlns:a16="http://schemas.microsoft.com/office/drawing/2014/main" id="{00000000-0008-0000-0200-0000E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25858" y="0"/>
          <a:ext cx="11429365" cy="6079490"/>
        </a:xfrm>
        <a:prstGeom prst="rect">
          <a:avLst/>
        </a:prstGeom>
      </xdr:spPr>
    </xdr:pic>
    <xdr:clientData/>
  </xdr:twoCellAnchor>
  <xdr:twoCellAnchor editAs="oneCell">
    <xdr:from>
      <xdr:col>12</xdr:col>
      <xdr:colOff>345440</xdr:colOff>
      <xdr:row>284</xdr:row>
      <xdr:rowOff>73118</xdr:rowOff>
    </xdr:from>
    <xdr:to>
      <xdr:col>24</xdr:col>
      <xdr:colOff>878840</xdr:colOff>
      <xdr:row>317</xdr:row>
      <xdr:rowOff>79468</xdr:rowOff>
    </xdr:to>
    <xdr:pic>
      <xdr:nvPicPr>
        <xdr:cNvPr id="994" name="Urban-LangstreckeEnergieverbrauch">
          <a:extLst>
            <a:ext uri="{FF2B5EF4-FFF2-40B4-BE49-F238E27FC236}">
              <a16:creationId xmlns:a16="http://schemas.microsoft.com/office/drawing/2014/main" id="{00000000-0008-0000-0200-0000E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2040" y="52371718"/>
          <a:ext cx="11430000" cy="6083300"/>
        </a:xfrm>
        <a:prstGeom prst="rect">
          <a:avLst/>
        </a:prstGeom>
      </xdr:spPr>
    </xdr:pic>
    <xdr:clientData/>
  </xdr:twoCellAnchor>
  <xdr:twoCellAnchor editAs="oneCell">
    <xdr:from>
      <xdr:col>12</xdr:col>
      <xdr:colOff>758825</xdr:colOff>
      <xdr:row>69</xdr:row>
      <xdr:rowOff>2722</xdr:rowOff>
    </xdr:from>
    <xdr:to>
      <xdr:col>25</xdr:col>
      <xdr:colOff>377190</xdr:colOff>
      <xdr:row>102</xdr:row>
      <xdr:rowOff>34472</xdr:rowOff>
    </xdr:to>
    <xdr:pic>
      <xdr:nvPicPr>
        <xdr:cNvPr id="996" name="Urban-LangstreckeFahrtzeit">
          <a:extLst>
            <a:ext uri="{FF2B5EF4-FFF2-40B4-BE49-F238E27FC236}">
              <a16:creationId xmlns:a16="http://schemas.microsoft.com/office/drawing/2014/main" id="{00000000-0008-0000-0200-0000E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5425" y="12709072"/>
          <a:ext cx="11423015" cy="6108700"/>
        </a:xfrm>
        <a:prstGeom prst="rect">
          <a:avLst/>
        </a:prstGeom>
      </xdr:spPr>
    </xdr:pic>
    <xdr:clientData/>
  </xdr:twoCellAnchor>
  <xdr:twoCellAnchor editAs="oneCell">
    <xdr:from>
      <xdr:col>12</xdr:col>
      <xdr:colOff>834390</xdr:colOff>
      <xdr:row>145</xdr:row>
      <xdr:rowOff>153941</xdr:rowOff>
    </xdr:from>
    <xdr:to>
      <xdr:col>25</xdr:col>
      <xdr:colOff>456565</xdr:colOff>
      <xdr:row>179</xdr:row>
      <xdr:rowOff>2811</xdr:rowOff>
    </xdr:to>
    <xdr:pic>
      <xdr:nvPicPr>
        <xdr:cNvPr id="998" name="Urban-LangstreckeKosten">
          <a:extLst>
            <a:ext uri="{FF2B5EF4-FFF2-40B4-BE49-F238E27FC236}">
              <a16:creationId xmlns:a16="http://schemas.microsoft.com/office/drawing/2014/main" id="{00000000-0008-0000-0200-0000E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0990" y="26855691"/>
          <a:ext cx="11426825" cy="6109970"/>
        </a:xfrm>
        <a:prstGeom prst="rect">
          <a:avLst/>
        </a:prstGeom>
      </xdr:spPr>
    </xdr:pic>
    <xdr:clientData/>
  </xdr:twoCellAnchor>
  <xdr:twoCellAnchor editAs="oneCell">
    <xdr:from>
      <xdr:col>12</xdr:col>
      <xdr:colOff>720725</xdr:colOff>
      <xdr:row>109</xdr:row>
      <xdr:rowOff>3716</xdr:rowOff>
    </xdr:from>
    <xdr:to>
      <xdr:col>25</xdr:col>
      <xdr:colOff>341630</xdr:colOff>
      <xdr:row>142</xdr:row>
      <xdr:rowOff>35466</xdr:rowOff>
    </xdr:to>
    <xdr:pic>
      <xdr:nvPicPr>
        <xdr:cNvPr id="1000" name="Urban-LangstreckeLength">
          <a:extLst>
            <a:ext uri="{FF2B5EF4-FFF2-40B4-BE49-F238E27FC236}">
              <a16:creationId xmlns:a16="http://schemas.microsoft.com/office/drawing/2014/main" id="{00000000-0008-0000-0200-0000E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7325" y="20076066"/>
          <a:ext cx="11425555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269240</xdr:colOff>
      <xdr:row>216</xdr:row>
      <xdr:rowOff>34379</xdr:rowOff>
    </xdr:from>
    <xdr:to>
      <xdr:col>25</xdr:col>
      <xdr:colOff>834390</xdr:colOff>
      <xdr:row>249</xdr:row>
      <xdr:rowOff>40911</xdr:rowOff>
    </xdr:to>
    <xdr:pic>
      <xdr:nvPicPr>
        <xdr:cNvPr id="1002" name="Urban-LangstreckeNOx">
          <a:extLst>
            <a:ext uri="{FF2B5EF4-FFF2-40B4-BE49-F238E27FC236}">
              <a16:creationId xmlns:a16="http://schemas.microsoft.com/office/drawing/2014/main" id="{00000000-0008-0000-0200-0000E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73890" y="39810779"/>
          <a:ext cx="11461750" cy="6083482"/>
        </a:xfrm>
        <a:prstGeom prst="rect">
          <a:avLst/>
        </a:prstGeom>
      </xdr:spPr>
    </xdr:pic>
    <xdr:clientData/>
  </xdr:twoCellAnchor>
  <xdr:twoCellAnchor editAs="oneCell">
    <xdr:from>
      <xdr:col>12</xdr:col>
      <xdr:colOff>460375</xdr:colOff>
      <xdr:row>248</xdr:row>
      <xdr:rowOff>155485</xdr:rowOff>
    </xdr:from>
    <xdr:to>
      <xdr:col>25</xdr:col>
      <xdr:colOff>78740</xdr:colOff>
      <xdr:row>282</xdr:row>
      <xdr:rowOff>545</xdr:rowOff>
    </xdr:to>
    <xdr:pic>
      <xdr:nvPicPr>
        <xdr:cNvPr id="1004" name="Urban-LangstreckePM">
          <a:extLst>
            <a:ext uri="{FF2B5EF4-FFF2-40B4-BE49-F238E27FC236}">
              <a16:creationId xmlns:a16="http://schemas.microsoft.com/office/drawing/2014/main" id="{00000000-0008-0000-0200-0000E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6975" y="45824685"/>
          <a:ext cx="11423015" cy="6106160"/>
        </a:xfrm>
        <a:prstGeom prst="rect">
          <a:avLst/>
        </a:prstGeom>
      </xdr:spPr>
    </xdr:pic>
    <xdr:clientData/>
  </xdr:twoCellAnchor>
  <xdr:twoCellAnchor editAs="oneCell">
    <xdr:from>
      <xdr:col>13</xdr:col>
      <xdr:colOff>189230</xdr:colOff>
      <xdr:row>181</xdr:row>
      <xdr:rowOff>149039</xdr:rowOff>
    </xdr:from>
    <xdr:to>
      <xdr:col>25</xdr:col>
      <xdr:colOff>722630</xdr:colOff>
      <xdr:row>214</xdr:row>
      <xdr:rowOff>150309</xdr:rowOff>
    </xdr:to>
    <xdr:pic>
      <xdr:nvPicPr>
        <xdr:cNvPr id="1006" name="Urban-LangstreckeTHG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3880" y="33480189"/>
          <a:ext cx="11430000" cy="6078220"/>
        </a:xfrm>
        <a:prstGeom prst="rect">
          <a:avLst/>
        </a:prstGeom>
      </xdr:spPr>
    </xdr:pic>
    <xdr:clientData/>
  </xdr:twoCellAnchor>
  <xdr:twoCellAnchor editAs="oneCell">
    <xdr:from>
      <xdr:col>13</xdr:col>
      <xdr:colOff>78740</xdr:colOff>
      <xdr:row>0</xdr:row>
      <xdr:rowOff>0</xdr:rowOff>
    </xdr:from>
    <xdr:to>
      <xdr:col>25</xdr:col>
      <xdr:colOff>612140</xdr:colOff>
      <xdr:row>33</xdr:row>
      <xdr:rowOff>34290</xdr:rowOff>
    </xdr:to>
    <xdr:pic>
      <xdr:nvPicPr>
        <xdr:cNvPr id="1008" name="Urban-LangstreckeTransferzeit">
          <a:extLst>
            <a:ext uri="{FF2B5EF4-FFF2-40B4-BE49-F238E27FC236}">
              <a16:creationId xmlns:a16="http://schemas.microsoft.com/office/drawing/2014/main" id="{00000000-0008-0000-0200-0000F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339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12</xdr:col>
      <xdr:colOff>872490</xdr:colOff>
      <xdr:row>34</xdr:row>
      <xdr:rowOff>3175</xdr:rowOff>
    </xdr:from>
    <xdr:to>
      <xdr:col>25</xdr:col>
      <xdr:colOff>492125</xdr:colOff>
      <xdr:row>67</xdr:row>
      <xdr:rowOff>41275</xdr:rowOff>
    </xdr:to>
    <xdr:pic>
      <xdr:nvPicPr>
        <xdr:cNvPr id="1010" name="Urban-LangstreckeWartezeit">
          <a:extLst>
            <a:ext uri="{FF2B5EF4-FFF2-40B4-BE49-F238E27FC236}">
              <a16:creationId xmlns:a16="http://schemas.microsoft.com/office/drawing/2014/main" id="{00000000-0008-0000-0200-0000F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9090" y="6264275"/>
          <a:ext cx="11424285" cy="61150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3" name="NEnergieverbrauch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5" name="NFahrtzei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" name="NKoste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9" name="NLength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11" name="NNOx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13" name="NPM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15" name="NTHG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17" name="NTransferzeit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20" name="NWartezeit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22" name="FEnergieverbrauch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24" name="FFahrtzei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26" name="FKosten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28" name="FLength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30" name="FNOx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32" name="FPM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35" name="FTHG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37" name="FTransferzeit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40" name="FWartezeit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14760" cy="60540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132715</xdr:colOff>
      <xdr:row>17</xdr:row>
      <xdr:rowOff>12065</xdr:rowOff>
    </xdr:from>
    <xdr:to>
      <xdr:col>7</xdr:col>
      <xdr:colOff>17145</xdr:colOff>
      <xdr:row>34</xdr:row>
      <xdr:rowOff>75565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654050</xdr:colOff>
      <xdr:row>18</xdr:row>
      <xdr:rowOff>38100</xdr:rowOff>
    </xdr:from>
    <xdr:to>
      <xdr:col>5</xdr:col>
      <xdr:colOff>782320</xdr:colOff>
      <xdr:row>36</xdr:row>
      <xdr:rowOff>64770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0b4604e14a354f9/Dokumente/Studium/Bachelorarbeit/10_Tools/development_ba_v04/dev/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Übersicht"/>
      <sheetName val="Daten"/>
      <sheetName val="Plots"/>
      <sheetName val="Technologiedaten_POD"/>
      <sheetName val="Technologiedatenbasis"/>
      <sheetName val="Verbesserungsfaktoren"/>
      <sheetName val="rf_pv_ver_basis"/>
      <sheetName val="rf_pv_ver_klassisch"/>
      <sheetName val="rf_pv_ver_Trend"/>
      <sheetName val="rf_pv_ver_Autonom"/>
      <sheetName val="rf_pv_ver_Optimiert"/>
      <sheetName val="rf_pv_ver_Pod"/>
      <sheetName val="rf_pv_strecken"/>
      <sheetName val="rf_pv_typen"/>
      <sheetName val="rf_pv_erg"/>
      <sheetName val="rf_pv_erg_styp"/>
      <sheetName val="rf_gv_ver_basis"/>
      <sheetName val="rf_gv_ver_Klassisch"/>
      <sheetName val="rf_gv_ver_Trend"/>
      <sheetName val="rf_gv_ver_Autonom"/>
      <sheetName val="rf_gv_ver_Optimiert"/>
      <sheetName val="rf_gv_ver_Pod"/>
      <sheetName val="rf_gv_erg"/>
      <sheetName val="rf_gv_strecken"/>
      <sheetName val="rf_städte"/>
      <sheetName val="Allgemeine Daten"/>
      <sheetName val="dev"/>
    </sheetNames>
    <definedNames>
      <definedName name="create_plots"/>
      <definedName name="improvement"/>
      <definedName name="referenzstrecke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Meyer-Hollatz" refreshedDate="43738.624796990742" createdVersion="6" refreshedVersion="6" minRefreshableVersion="3" recordCount="220" xr:uid="{CF6634A0-AEE0-41AF-92C4-3143397785C0}">
  <cacheSource type="worksheet">
    <worksheetSource ref="A1:H221" sheet="rf_pv_erg_styp"/>
  </cacheSource>
  <cacheFields count="8">
    <cacheField name="Streckentyp" numFmtId="0">
      <sharedItems count="4">
        <s v="I"/>
        <s v="L"/>
        <s v="UK"/>
        <s v="UL"/>
      </sharedItems>
    </cacheField>
    <cacheField name="Modal_Choice" numFmtId="0">
      <sharedItems count="7">
        <s v="MIV"/>
        <s v="Pod_Big"/>
        <s v="Pod_Small"/>
        <s v="ÖV"/>
        <s v="Flugzeug"/>
        <s v="Fahrrad"/>
        <s v="zu Fuss"/>
      </sharedItems>
    </cacheField>
    <cacheField name="Kategorien" numFmtId="0">
      <sharedItems count="11">
        <s v="Auslastung"/>
        <s v="Energieverbrauch"/>
        <s v="Fahrtzeit"/>
        <s v="Kosten"/>
        <s v="Length"/>
        <s v="NOx"/>
        <s v="PM"/>
        <s v="THG"/>
        <s v="Transferzeit"/>
        <s v="Unfallrisiko"/>
        <s v="Wartezeit"/>
      </sharedItems>
    </cacheField>
    <cacheField name="Klassisch" numFmtId="0">
      <sharedItems containsString="0" containsBlank="1" containsNumber="1" minValue="0" maxValue="594409.30822851427"/>
    </cacheField>
    <cacheField name="Trendszenario" numFmtId="0">
      <sharedItems containsString="0" containsBlank="1" containsNumber="1" minValue="0" maxValue="604807.68292442593"/>
    </cacheField>
    <cacheField name="Autonom" numFmtId="0">
      <sharedItems containsString="0" containsBlank="1" containsNumber="1" minValue="0" maxValue="601861.52574877697"/>
    </cacheField>
    <cacheField name="Optimiert" numFmtId="0">
      <sharedItems containsString="0" containsBlank="1" containsNumber="1" minValue="0" maxValue="602702.78222273488"/>
    </cacheField>
    <cacheField name="Pod" numFmtId="0">
      <sharedItems containsString="0" containsBlank="1" containsNumber="1" minValue="0" maxValue="563141.143216383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Meyer-Hollatz" refreshedDate="43738.624796990742" createdVersion="6" refreshedVersion="6" minRefreshableVersion="3" recordCount="44" xr:uid="{B3A36923-EC55-40EA-9E43-AED193CDEC42}">
  <cacheSource type="worksheet">
    <worksheetSource ref="A1:H45" sheet="rf_gv_erg"/>
  </cacheSource>
  <cacheFields count="8">
    <cacheField name="Streckentyp" numFmtId="0">
      <sharedItems count="2">
        <s v="N"/>
        <s v="F"/>
      </sharedItems>
    </cacheField>
    <cacheField name="Modal_Choice" numFmtId="0">
      <sharedItems count="2">
        <s v="Kombiniert"/>
        <s v="Direktlauf"/>
      </sharedItems>
    </cacheField>
    <cacheField name="Kategorien" numFmtId="0">
      <sharedItems count="11">
        <s v="Auslastung"/>
        <s v="Energieverbrauch"/>
        <s v="Fahrtzeit"/>
        <s v="Kosten"/>
        <s v="Length"/>
        <s v="NOx"/>
        <s v="PM"/>
        <s v="THG"/>
        <s v="Transferzeit"/>
        <s v="Unfallrisiko"/>
        <s v="Wartezeit"/>
      </sharedItems>
    </cacheField>
    <cacheField name="Klassisch" numFmtId="0">
      <sharedItems containsSemiMixedTypes="0" containsString="0" containsNumber="1" minValue="0" maxValue="810700"/>
    </cacheField>
    <cacheField name="Trendszenario" numFmtId="0">
      <sharedItems containsString="0" containsBlank="1" containsNumber="1" minValue="0" maxValue="915399.99999999988"/>
    </cacheField>
    <cacheField name="Autonom" numFmtId="0">
      <sharedItems containsString="0" containsBlank="1" containsNumber="1" minValue="0" maxValue="851720"/>
    </cacheField>
    <cacheField name="Optimiert" numFmtId="0">
      <sharedItems containsString="0" containsBlank="1" containsNumber="1" minValue="0" maxValue="851720"/>
    </cacheField>
    <cacheField name="Pod" numFmtId="0">
      <sharedItems containsSemiMixedTypes="0" containsString="0" containsNumber="1" minValue="0" maxValue="7926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x v="0"/>
    <x v="0"/>
    <x v="0"/>
    <n v="0"/>
    <n v="0"/>
    <n v="0"/>
    <n v="0"/>
    <n v="0"/>
  </r>
  <r>
    <x v="0"/>
    <x v="0"/>
    <x v="1"/>
    <n v="376.34720744611832"/>
    <n v="261.48079597071717"/>
    <n v="234.73178349009072"/>
    <n v="229.23130737000278"/>
    <n v="229.23130737000278"/>
  </r>
  <r>
    <x v="0"/>
    <x v="0"/>
    <x v="2"/>
    <n v="189.58916397676802"/>
    <n v="220.21653679714481"/>
    <n v="204.91723146161485"/>
    <n v="204.91723146161485"/>
    <n v="204.91723146161485"/>
  </r>
  <r>
    <x v="0"/>
    <x v="0"/>
    <x v="3"/>
    <n v="59.443051028726366"/>
    <n v="76.270133792480635"/>
    <n v="73.803176556415423"/>
    <n v="70.722585827037562"/>
    <n v="70.722585827037562"/>
  </r>
  <r>
    <x v="0"/>
    <x v="0"/>
    <x v="4"/>
    <n v="198446.65849419782"/>
    <n v="230509.67716477945"/>
    <n v="214500.19959449762"/>
    <n v="214500.19959449762"/>
    <n v="214500.19959449762"/>
  </r>
  <r>
    <x v="0"/>
    <x v="0"/>
    <x v="5"/>
    <n v="67.346342385094871"/>
    <n v="49.92115319659213"/>
    <n v="44.735994747961925"/>
    <n v="43.764174612481092"/>
    <n v="43.764174612481092"/>
  </r>
  <r>
    <x v="0"/>
    <x v="0"/>
    <x v="6"/>
    <n v="79.230991041288064"/>
    <n v="58.638713970549858"/>
    <n v="52.633869706148793"/>
    <n v="51.406563208833582"/>
    <n v="51.406563208833582"/>
  </r>
  <r>
    <x v="0"/>
    <x v="0"/>
    <x v="7"/>
    <n v="27532.769386847605"/>
    <n v="20376.953104766075"/>
    <n v="18294.971573582778"/>
    <n v="17863.780715069668"/>
    <n v="17863.780715069668"/>
  </r>
  <r>
    <x v="0"/>
    <x v="0"/>
    <x v="8"/>
    <n v="189.58916397676802"/>
    <n v="220.21653679714481"/>
    <n v="204.91723146161485"/>
    <n v="204.91723146161485"/>
    <n v="204.91723146161485"/>
  </r>
  <r>
    <x v="0"/>
    <x v="0"/>
    <x v="9"/>
    <n v="2.6844974074855141"/>
    <n v="1.194519272614786"/>
    <n v="1.075777757905283"/>
    <n v="1.075777757905283"/>
    <n v="1.075777757905283"/>
  </r>
  <r>
    <x v="0"/>
    <x v="0"/>
    <x v="10"/>
    <n v="0"/>
    <n v="0"/>
    <n v="0"/>
    <n v="0"/>
    <n v="0"/>
  </r>
  <r>
    <x v="0"/>
    <x v="1"/>
    <x v="0"/>
    <m/>
    <m/>
    <m/>
    <m/>
    <n v="0"/>
  </r>
  <r>
    <x v="0"/>
    <x v="1"/>
    <x v="1"/>
    <m/>
    <m/>
    <m/>
    <m/>
    <n v="89.733582381556801"/>
  </r>
  <r>
    <x v="0"/>
    <x v="1"/>
    <x v="2"/>
    <m/>
    <m/>
    <m/>
    <m/>
    <n v="175.51772821475819"/>
  </r>
  <r>
    <x v="0"/>
    <x v="1"/>
    <x v="3"/>
    <m/>
    <m/>
    <m/>
    <m/>
    <n v="0"/>
  </r>
  <r>
    <x v="0"/>
    <x v="1"/>
    <x v="4"/>
    <m/>
    <m/>
    <m/>
    <m/>
    <n v="240631.05696556024"/>
  </r>
  <r>
    <x v="0"/>
    <x v="1"/>
    <x v="5"/>
    <m/>
    <m/>
    <m/>
    <m/>
    <n v="3.177827416343165"/>
  </r>
  <r>
    <x v="0"/>
    <x v="1"/>
    <x v="6"/>
    <m/>
    <m/>
    <m/>
    <m/>
    <n v="0.2167097265032342"/>
  </r>
  <r>
    <x v="0"/>
    <x v="1"/>
    <x v="7"/>
    <m/>
    <m/>
    <m/>
    <m/>
    <n v="2775.2607712307672"/>
  </r>
  <r>
    <x v="0"/>
    <x v="1"/>
    <x v="8"/>
    <m/>
    <m/>
    <m/>
    <m/>
    <n v="184.82297182338505"/>
  </r>
  <r>
    <x v="0"/>
    <x v="1"/>
    <x v="9"/>
    <m/>
    <m/>
    <m/>
    <m/>
    <n v="0.75076078882199804"/>
  </r>
  <r>
    <x v="0"/>
    <x v="1"/>
    <x v="10"/>
    <m/>
    <m/>
    <m/>
    <m/>
    <n v="9.3052436086268457"/>
  </r>
  <r>
    <x v="0"/>
    <x v="2"/>
    <x v="0"/>
    <m/>
    <m/>
    <m/>
    <m/>
    <n v="0"/>
  </r>
  <r>
    <x v="0"/>
    <x v="2"/>
    <x v="1"/>
    <m/>
    <m/>
    <m/>
    <m/>
    <n v="346.62026737077548"/>
  </r>
  <r>
    <x v="0"/>
    <x v="2"/>
    <x v="2"/>
    <m/>
    <m/>
    <m/>
    <m/>
    <n v="170.75596490948902"/>
  </r>
  <r>
    <x v="0"/>
    <x v="2"/>
    <x v="3"/>
    <m/>
    <m/>
    <m/>
    <m/>
    <n v="0"/>
  </r>
  <r>
    <x v="0"/>
    <x v="2"/>
    <x v="4"/>
    <m/>
    <m/>
    <m/>
    <m/>
    <n v="240631.05696556024"/>
  </r>
  <r>
    <x v="0"/>
    <x v="2"/>
    <x v="5"/>
    <m/>
    <m/>
    <m/>
    <m/>
    <n v="4.4409172333793467"/>
  </r>
  <r>
    <x v="0"/>
    <x v="2"/>
    <x v="6"/>
    <m/>
    <m/>
    <m/>
    <m/>
    <n v="2.9551381809109594"/>
  </r>
  <r>
    <x v="0"/>
    <x v="2"/>
    <x v="7"/>
    <m/>
    <m/>
    <m/>
    <m/>
    <n v="9567.8927108868302"/>
  </r>
  <r>
    <x v="0"/>
    <x v="2"/>
    <x v="8"/>
    <m/>
    <m/>
    <m/>
    <m/>
    <n v="179.90826618216511"/>
  </r>
  <r>
    <x v="0"/>
    <x v="2"/>
    <x v="9"/>
    <m/>
    <m/>
    <m/>
    <m/>
    <n v="0.81756363855076353"/>
  </r>
  <r>
    <x v="0"/>
    <x v="2"/>
    <x v="10"/>
    <m/>
    <m/>
    <m/>
    <m/>
    <n v="9.1523012726760857"/>
  </r>
  <r>
    <x v="0"/>
    <x v="3"/>
    <x v="0"/>
    <n v="0"/>
    <n v="0"/>
    <n v="0"/>
    <n v="0"/>
    <m/>
  </r>
  <r>
    <x v="0"/>
    <x v="3"/>
    <x v="1"/>
    <n v="165.25605339603973"/>
    <n v="126.31809796558878"/>
    <n v="113.83019149911698"/>
    <n v="113.83019149911698"/>
    <m/>
  </r>
  <r>
    <x v="0"/>
    <x v="3"/>
    <x v="2"/>
    <n v="188.92384141864352"/>
    <n v="192.45005719596548"/>
    <n v="182.67852032992198"/>
    <n v="182.67852032992198"/>
    <m/>
  </r>
  <r>
    <x v="0"/>
    <x v="3"/>
    <x v="3"/>
    <n v="41.984319615605742"/>
    <n v="42.566270884479195"/>
    <n v="36.54655117635982"/>
    <n v="36.526403914929055"/>
    <m/>
  </r>
  <r>
    <x v="0"/>
    <x v="3"/>
    <x v="4"/>
    <n v="236166.55970953326"/>
    <n v="238373.42913000309"/>
    <n v="238373.42913000309"/>
    <n v="238373.42913000309"/>
    <m/>
  </r>
  <r>
    <x v="0"/>
    <x v="3"/>
    <x v="5"/>
    <n v="24.695747947575079"/>
    <n v="3.3116901063851198"/>
    <n v="3.0226204572720681"/>
    <n v="3.0226204572720681"/>
    <m/>
  </r>
  <r>
    <x v="0"/>
    <x v="3"/>
    <x v="6"/>
    <n v="0.66974274164506298"/>
    <n v="3.0502655028327441E-2"/>
    <n v="2.7752713382211705E-2"/>
    <n v="2.7752713382211705E-2"/>
    <m/>
  </r>
  <r>
    <x v="0"/>
    <x v="3"/>
    <x v="7"/>
    <n v="11795.246286965647"/>
    <n v="3710.0765229399417"/>
    <n v="3350.1864087127751"/>
    <n v="3350.1864087127751"/>
    <m/>
  </r>
  <r>
    <x v="0"/>
    <x v="3"/>
    <x v="8"/>
    <n v="251.40087858529563"/>
    <n v="255.40141660489601"/>
    <n v="244.95200770731753"/>
    <n v="238.93405717541049"/>
    <m/>
  </r>
  <r>
    <x v="0"/>
    <x v="3"/>
    <x v="9"/>
    <n v="1.0784282258749778"/>
    <n v="0.79547826487048301"/>
    <n v="0.78552748697161978"/>
    <n v="0.78552748697161978"/>
    <m/>
  </r>
  <r>
    <x v="0"/>
    <x v="3"/>
    <x v="10"/>
    <n v="62.477037166652138"/>
    <n v="62.951359408930514"/>
    <n v="62.273487377395526"/>
    <n v="56.255536845488493"/>
    <m/>
  </r>
  <r>
    <x v="1"/>
    <x v="4"/>
    <x v="0"/>
    <n v="214.92918012440106"/>
    <n v="225.1515542237147"/>
    <n v="221.76287039757034"/>
    <n v="239.84493558239143"/>
    <n v="239.84493558239143"/>
  </r>
  <r>
    <x v="1"/>
    <x v="4"/>
    <x v="1"/>
    <n v="728.19268623857772"/>
    <n v="456.51058184907339"/>
    <n v="450.53244646413395"/>
    <n v="452.30397298095858"/>
    <n v="452.30397298095858"/>
  </r>
  <r>
    <x v="1"/>
    <x v="4"/>
    <x v="2"/>
    <n v="224.94162561958709"/>
    <n v="229.00879325764237"/>
    <n v="227.11149167144902"/>
    <n v="228.57379097530105"/>
    <n v="228.57379097530105"/>
  </r>
  <r>
    <x v="1"/>
    <x v="4"/>
    <x v="3"/>
    <n v="95.132890123834017"/>
    <n v="104.0414458498778"/>
    <n v="66.701293892722944"/>
    <n v="66.021017800270442"/>
    <n v="66.021017800270442"/>
  </r>
  <r>
    <x v="1"/>
    <x v="4"/>
    <x v="4"/>
    <n v="498822.49782973382"/>
    <n v="508327.44436218881"/>
    <n v="506329.2779394674"/>
    <n v="509602.7402317613"/>
    <n v="509602.7402317613"/>
  </r>
  <r>
    <x v="1"/>
    <x v="4"/>
    <x v="5"/>
    <n v="235.44256055729838"/>
    <n v="141.91983140729764"/>
    <n v="141.21174322436337"/>
    <n v="141.55196226835392"/>
    <n v="141.55196226835392"/>
  </r>
  <r>
    <x v="1"/>
    <x v="4"/>
    <x v="6"/>
    <n v="27.189181051319053"/>
    <n v="17.912714026521002"/>
    <n v="17.162660580431748"/>
    <n v="17.560095482914903"/>
    <n v="17.560095482914903"/>
  </r>
  <r>
    <x v="1"/>
    <x v="4"/>
    <x v="7"/>
    <n v="92513.789262438964"/>
    <n v="56532.902743157931"/>
    <n v="56197.010325371077"/>
    <n v="56334.998616939141"/>
    <n v="56334.998616939141"/>
  </r>
  <r>
    <x v="1"/>
    <x v="4"/>
    <x v="8"/>
    <n v="327.8833188965898"/>
    <n v="333.01039537131004"/>
    <n v="330.63433287285795"/>
    <n v="331.72000803139355"/>
    <n v="331.72000803139355"/>
  </r>
  <r>
    <x v="1"/>
    <x v="4"/>
    <x v="9"/>
    <n v="0.48086448989161162"/>
    <n v="0.28559849049252417"/>
    <n v="0.27565366369025324"/>
    <n v="0.27911312358776608"/>
    <n v="0.27911312358776608"/>
  </r>
  <r>
    <x v="1"/>
    <x v="4"/>
    <x v="10"/>
    <n v="102.94169327700274"/>
    <n v="104.00160211366764"/>
    <n v="103.52284120140892"/>
    <n v="103.1462170560925"/>
    <n v="103.1462170560925"/>
  </r>
  <r>
    <x v="1"/>
    <x v="0"/>
    <x v="0"/>
    <n v="0"/>
    <n v="0"/>
    <n v="0"/>
    <n v="0"/>
    <n v="0"/>
  </r>
  <r>
    <x v="1"/>
    <x v="0"/>
    <x v="1"/>
    <n v="982.51048852639883"/>
    <n v="684.14024739308593"/>
    <n v="614.17414373476197"/>
    <n v="599.8585106565024"/>
    <n v="599.8585106565024"/>
  </r>
  <r>
    <x v="1"/>
    <x v="0"/>
    <x v="2"/>
    <n v="413.34275219125885"/>
    <n v="481.00650649754982"/>
    <n v="447.59406864999812"/>
    <n v="447.59406864999812"/>
    <n v="447.59406864999812"/>
  </r>
  <r>
    <x v="1"/>
    <x v="0"/>
    <x v="3"/>
    <n v="155.69739364852833"/>
    <n v="199.82507687312426"/>
    <n v="193.20315469548021"/>
    <n v="185.18030133358099"/>
    <n v="185.18030133358099"/>
  </r>
  <r>
    <x v="1"/>
    <x v="0"/>
    <x v="4"/>
    <n v="520400.69927331695"/>
    <n v="604807.68292442593"/>
    <n v="563141.14321638341"/>
    <n v="563141.14321638341"/>
    <n v="563141.14321638341"/>
  </r>
  <r>
    <x v="1"/>
    <x v="0"/>
    <x v="5"/>
    <n v="176.04104304783607"/>
    <n v="130.15082619654996"/>
    <n v="116.63666362729279"/>
    <n v="114.10738794753838"/>
    <n v="114.10738794753838"/>
  </r>
  <r>
    <x v="1"/>
    <x v="0"/>
    <x v="6"/>
    <n v="205.86181930662141"/>
    <n v="152.61589431467357"/>
    <n v="136.98743032987861"/>
    <n v="133.79322148203659"/>
    <n v="133.79322148203659"/>
  </r>
  <r>
    <x v="1"/>
    <x v="0"/>
    <x v="7"/>
    <n v="71870.707505951796"/>
    <n v="53162.803021754822"/>
    <n v="47732.156590230945"/>
    <n v="46609.931898693743"/>
    <n v="46609.931898693743"/>
  </r>
  <r>
    <x v="1"/>
    <x v="0"/>
    <x v="8"/>
    <n v="413.34275219125885"/>
    <n v="481.00650649754982"/>
    <n v="447.59406864999812"/>
    <n v="447.59406864999812"/>
    <n v="447.59406864999812"/>
  </r>
  <r>
    <x v="1"/>
    <x v="0"/>
    <x v="9"/>
    <n v="2.1971085456141077"/>
    <n v="0.9811473269439297"/>
    <n v="0.88351341887719381"/>
    <n v="0.88351341887719381"/>
    <n v="0.88351341887719381"/>
  </r>
  <r>
    <x v="1"/>
    <x v="0"/>
    <x v="10"/>
    <n v="0"/>
    <n v="0"/>
    <n v="0"/>
    <n v="0"/>
    <n v="0"/>
  </r>
  <r>
    <x v="1"/>
    <x v="1"/>
    <x v="0"/>
    <m/>
    <m/>
    <m/>
    <m/>
    <n v="0"/>
  </r>
  <r>
    <x v="1"/>
    <x v="1"/>
    <x v="1"/>
    <m/>
    <m/>
    <m/>
    <m/>
    <n v="317.26938387482494"/>
  </r>
  <r>
    <x v="1"/>
    <x v="1"/>
    <x v="2"/>
    <m/>
    <m/>
    <m/>
    <m/>
    <n v="248.87767476827736"/>
  </r>
  <r>
    <x v="1"/>
    <x v="1"/>
    <x v="3"/>
    <m/>
    <m/>
    <m/>
    <m/>
    <n v="52.338066172386405"/>
  </r>
  <r>
    <x v="1"/>
    <x v="1"/>
    <x v="4"/>
    <m/>
    <m/>
    <m/>
    <m/>
    <n v="547752.90531719488"/>
  </r>
  <r>
    <x v="1"/>
    <x v="1"/>
    <x v="5"/>
    <m/>
    <m/>
    <m/>
    <m/>
    <n v="72.963921718346015"/>
  </r>
  <r>
    <x v="1"/>
    <x v="1"/>
    <x v="6"/>
    <m/>
    <m/>
    <m/>
    <m/>
    <n v="5.6792823022516741"/>
  </r>
  <r>
    <x v="1"/>
    <x v="1"/>
    <x v="7"/>
    <m/>
    <m/>
    <m/>
    <m/>
    <n v="30496.837417562052"/>
  </r>
  <r>
    <x v="1"/>
    <x v="1"/>
    <x v="8"/>
    <m/>
    <m/>
    <m/>
    <m/>
    <n v="305.66855739533293"/>
  </r>
  <r>
    <x v="1"/>
    <x v="1"/>
    <x v="9"/>
    <m/>
    <m/>
    <m/>
    <m/>
    <n v="0.41848068301967856"/>
  </r>
  <r>
    <x v="1"/>
    <x v="1"/>
    <x v="10"/>
    <m/>
    <m/>
    <m/>
    <m/>
    <n v="56.790882627055609"/>
  </r>
  <r>
    <x v="1"/>
    <x v="2"/>
    <x v="0"/>
    <m/>
    <m/>
    <m/>
    <m/>
    <n v="0"/>
  </r>
  <r>
    <x v="1"/>
    <x v="2"/>
    <x v="1"/>
    <m/>
    <m/>
    <m/>
    <m/>
    <n v="644.27271574321196"/>
  </r>
  <r>
    <x v="1"/>
    <x v="2"/>
    <x v="2"/>
    <m/>
    <m/>
    <m/>
    <m/>
    <n v="244.63411248365014"/>
  </r>
  <r>
    <x v="1"/>
    <x v="2"/>
    <x v="3"/>
    <m/>
    <m/>
    <m/>
    <m/>
    <n v="52.338066172386405"/>
  </r>
  <r>
    <x v="1"/>
    <x v="2"/>
    <x v="4"/>
    <m/>
    <m/>
    <m/>
    <m/>
    <n v="547752.90531719488"/>
  </r>
  <r>
    <x v="1"/>
    <x v="2"/>
    <x v="5"/>
    <m/>
    <m/>
    <m/>
    <m/>
    <n v="74.452489723952908"/>
  </r>
  <r>
    <x v="1"/>
    <x v="2"/>
    <x v="6"/>
    <m/>
    <m/>
    <m/>
    <m/>
    <n v="10.591518121186333"/>
  </r>
  <r>
    <x v="1"/>
    <x v="2"/>
    <x v="7"/>
    <m/>
    <m/>
    <m/>
    <m/>
    <n v="39243.743819455747"/>
  </r>
  <r>
    <x v="1"/>
    <x v="2"/>
    <x v="8"/>
    <m/>
    <m/>
    <m/>
    <m/>
    <n v="300.2021412627127"/>
  </r>
  <r>
    <x v="1"/>
    <x v="2"/>
    <x v="9"/>
    <m/>
    <m/>
    <m/>
    <m/>
    <n v="0.46435519967940314"/>
  </r>
  <r>
    <x v="1"/>
    <x v="2"/>
    <x v="10"/>
    <m/>
    <m/>
    <m/>
    <m/>
    <n v="55.568028779062601"/>
  </r>
  <r>
    <x v="1"/>
    <x v="3"/>
    <x v="0"/>
    <n v="247.83488812651959"/>
    <n v="252.89124700928011"/>
    <n v="252.46028125765702"/>
    <n v="254.55102531509976"/>
    <m/>
  </r>
  <r>
    <x v="1"/>
    <x v="3"/>
    <x v="1"/>
    <n v="320.1077270569408"/>
    <n v="244.80485181111479"/>
    <n v="220.33685327120224"/>
    <n v="220.75422447824067"/>
    <m/>
  </r>
  <r>
    <x v="1"/>
    <x v="3"/>
    <x v="2"/>
    <n v="336.85299556005907"/>
    <n v="341.57034353902361"/>
    <n v="324.39043888012816"/>
    <n v="325.0449992803828"/>
    <m/>
  </r>
  <r>
    <x v="1"/>
    <x v="3"/>
    <x v="3"/>
    <n v="115.78798434113131"/>
    <n v="119.2502009161847"/>
    <n v="94.990748526294624"/>
    <n v="94.790305196004454"/>
    <m/>
  </r>
  <r>
    <x v="1"/>
    <x v="3"/>
    <x v="4"/>
    <n v="594409.30822851427"/>
    <n v="602485.3461544984"/>
    <n v="601861.52574877697"/>
    <n v="602702.78222273488"/>
    <m/>
  </r>
  <r>
    <x v="1"/>
    <x v="3"/>
    <x v="5"/>
    <n v="9.3184788925369002"/>
    <n v="3.990788616587718"/>
    <n v="3.5953527776972596"/>
    <n v="3.6760907708578938"/>
    <m/>
  </r>
  <r>
    <x v="1"/>
    <x v="3"/>
    <x v="6"/>
    <n v="5.3689583893874824"/>
    <n v="2.3131049686156659"/>
    <n v="2.0763808790965408"/>
    <n v="2.1700626297529197"/>
    <m/>
  </r>
  <r>
    <x v="1"/>
    <x v="3"/>
    <x v="7"/>
    <n v="23039.804914188844"/>
    <n v="6946.7598345802835"/>
    <n v="6253.2508946557173"/>
    <n v="6285.7419813248598"/>
    <m/>
  </r>
  <r>
    <x v="1"/>
    <x v="3"/>
    <x v="8"/>
    <n v="397.29368132508449"/>
    <n v="402.34130546240198"/>
    <n v="384.99483904800377"/>
    <n v="379.84249051108969"/>
    <m/>
  </r>
  <r>
    <x v="1"/>
    <x v="3"/>
    <x v="9"/>
    <n v="0.87827917263831723"/>
    <n v="0.67615187473706839"/>
    <n v="0.67150284660345927"/>
    <n v="0.6717946135839854"/>
    <m/>
  </r>
  <r>
    <x v="1"/>
    <x v="3"/>
    <x v="10"/>
    <n v="60.440685765025421"/>
    <n v="60.770961923378387"/>
    <n v="60.604400167875674"/>
    <n v="54.797491230706989"/>
    <m/>
  </r>
  <r>
    <x v="2"/>
    <x v="5"/>
    <x v="0"/>
    <n v="2.7572439335347823"/>
    <n v="2.7010727932185992"/>
    <n v="2.7010727932185992"/>
    <n v="2.7010727932185992"/>
    <n v="2.7010727932185992"/>
  </r>
  <r>
    <x v="2"/>
    <x v="5"/>
    <x v="1"/>
    <n v="2.1160340151047995E-3"/>
    <n v="2.0258045949139498E-2"/>
    <n v="2.0258045949139498E-2"/>
    <n v="2.0258045949139498E-2"/>
    <n v="2.0258045949139498E-2"/>
  </r>
  <r>
    <x v="2"/>
    <x v="5"/>
    <x v="2"/>
    <n v="9.4975133170409638"/>
    <n v="8.7585118355337102"/>
    <n v="8.7585118355337102"/>
    <n v="8.7585118355337102"/>
    <n v="8.7585118355337102"/>
  </r>
  <r>
    <x v="2"/>
    <x v="5"/>
    <x v="3"/>
    <n v="1.4812238105733596E-4"/>
    <n v="1.4180632164397646E-3"/>
    <n v="1.4180632164397646E-3"/>
    <n v="1.4180632164397646E-3"/>
    <n v="1.4180632164397646E-3"/>
  </r>
  <r>
    <x v="2"/>
    <x v="5"/>
    <x v="4"/>
    <n v="2757.2439335347817"/>
    <n v="2701.0727932185991"/>
    <n v="2701.0727932185991"/>
    <n v="2701.0727932185991"/>
    <n v="2701.0727932185991"/>
  </r>
  <r>
    <x v="2"/>
    <x v="5"/>
    <x v="5"/>
    <n v="2.5392408181257591E-4"/>
    <n v="1.1749666650500908E-4"/>
    <n v="1.1749666650500908E-4"/>
    <n v="1.1749666650500908E-4"/>
    <n v="1.1749666650500908E-4"/>
  </r>
  <r>
    <x v="2"/>
    <x v="5"/>
    <x v="6"/>
    <n v="0"/>
    <n v="2.0258045949139499E-6"/>
    <n v="2.0258045949139499E-6"/>
    <n v="2.0258045949139499E-6"/>
    <n v="2.0258045949139499E-6"/>
  </r>
  <r>
    <x v="2"/>
    <x v="5"/>
    <x v="7"/>
    <n v="0.30987202117194684"/>
    <n v="0.52063178089288509"/>
    <n v="0.52063178089288509"/>
    <n v="0.52063178089288509"/>
    <n v="0.52063178089288509"/>
  </r>
  <r>
    <x v="2"/>
    <x v="5"/>
    <x v="8"/>
    <n v="9.4975133170409638"/>
    <n v="8.7585118355337102"/>
    <n v="8.7585118355337102"/>
    <n v="8.7585118355337102"/>
    <n v="8.7585118355337102"/>
  </r>
  <r>
    <x v="2"/>
    <x v="5"/>
    <x v="9"/>
    <n v="9.5905747605529275"/>
    <n v="4.1436573896648996"/>
    <n v="3.7292916506984093"/>
    <n v="3.7292916506984093"/>
    <n v="3.7292916506984093"/>
  </r>
  <r>
    <x v="2"/>
    <x v="5"/>
    <x v="10"/>
    <n v="0"/>
    <n v="0"/>
    <n v="0"/>
    <n v="0"/>
    <n v="0"/>
  </r>
  <r>
    <x v="2"/>
    <x v="0"/>
    <x v="0"/>
    <n v="0"/>
    <n v="0"/>
    <n v="0"/>
    <n v="0"/>
    <n v="0"/>
  </r>
  <r>
    <x v="2"/>
    <x v="0"/>
    <x v="1"/>
    <n v="6.1370631739938322"/>
    <n v="4.2679413528238399"/>
    <n v="3.8313386719674929"/>
    <n v="3.7415588110565139"/>
    <n v="3.7415588110565139"/>
  </r>
  <r>
    <x v="2"/>
    <x v="0"/>
    <x v="2"/>
    <n v="10.280555779556842"/>
    <n v="11.90611313791276"/>
    <n v="11.11388906292748"/>
    <n v="11.11388906292748"/>
    <n v="11.11388906292748"/>
  </r>
  <r>
    <x v="2"/>
    <x v="0"/>
    <x v="3"/>
    <n v="0.96933297816607844"/>
    <n v="1.2447873659960915"/>
    <n v="1.2046300686271407"/>
    <n v="1.1543480564578417"/>
    <n v="1.1543480564578417"/>
  </r>
  <r>
    <x v="2"/>
    <x v="0"/>
    <x v="4"/>
    <n v="3408.8971870531022"/>
    <n v="3938.0595595406767"/>
    <n v="3676.7496950603663"/>
    <n v="3676.7496950603663"/>
    <n v="3676.7496950603663"/>
  </r>
  <r>
    <x v="2"/>
    <x v="0"/>
    <x v="5"/>
    <n v="1.0982113048199489"/>
    <n v="0.81482295216911438"/>
    <n v="0.73018976875808062"/>
    <n v="0.71432752798308319"/>
    <n v="0.71432752798308319"/>
  </r>
  <r>
    <x v="2"/>
    <x v="0"/>
    <x v="6"/>
    <n v="1.2920132997881753"/>
    <n v="0.95711270612525512"/>
    <n v="0.85910044844429545"/>
    <n v="0.83906810865798254"/>
    <n v="0.83906810865798254"/>
  </r>
  <r>
    <x v="2"/>
    <x v="0"/>
    <x v="7"/>
    <n v="448.97462167639094"/>
    <n v="332.59666537852615"/>
    <n v="298.61415037292011"/>
    <n v="291.57616775864892"/>
    <n v="291.57616775864892"/>
  </r>
  <r>
    <x v="2"/>
    <x v="0"/>
    <x v="8"/>
    <n v="10.280555779556842"/>
    <n v="11.90611313791276"/>
    <n v="11.11388906292748"/>
    <n v="11.11388906292748"/>
    <n v="11.11388906292748"/>
  </r>
  <r>
    <x v="2"/>
    <x v="0"/>
    <x v="9"/>
    <n v="2.8549014491365892"/>
    <n v="1.2381692564030093"/>
    <n v="1.1304941760851317"/>
    <n v="1.1304941760851317"/>
    <n v="1.1304941760851317"/>
  </r>
  <r>
    <x v="2"/>
    <x v="0"/>
    <x v="10"/>
    <n v="0"/>
    <n v="0"/>
    <n v="0"/>
    <n v="0"/>
    <n v="0"/>
  </r>
  <r>
    <x v="2"/>
    <x v="1"/>
    <x v="0"/>
    <m/>
    <m/>
    <m/>
    <m/>
    <n v="0"/>
  </r>
  <r>
    <x v="2"/>
    <x v="1"/>
    <x v="1"/>
    <m/>
    <m/>
    <m/>
    <m/>
    <n v="1.5556836378069063"/>
  </r>
  <r>
    <x v="2"/>
    <x v="1"/>
    <x v="2"/>
    <m/>
    <m/>
    <m/>
    <m/>
    <n v="16.957689453308063"/>
  </r>
  <r>
    <x v="2"/>
    <x v="1"/>
    <x v="3"/>
    <m/>
    <m/>
    <m/>
    <m/>
    <n v="0"/>
  </r>
  <r>
    <x v="2"/>
    <x v="1"/>
    <x v="4"/>
    <m/>
    <m/>
    <m/>
    <m/>
    <n v="3761.2799205148749"/>
  </r>
  <r>
    <x v="2"/>
    <x v="1"/>
    <x v="5"/>
    <m/>
    <m/>
    <m/>
    <m/>
    <n v="0.34983266219563625"/>
  </r>
  <r>
    <x v="2"/>
    <x v="1"/>
    <x v="6"/>
    <m/>
    <m/>
    <m/>
    <m/>
    <n v="2.6797887065262871E-2"/>
  </r>
  <r>
    <x v="2"/>
    <x v="1"/>
    <x v="7"/>
    <m/>
    <m/>
    <m/>
    <m/>
    <n v="100.14442490372474"/>
  </r>
  <r>
    <x v="2"/>
    <x v="1"/>
    <x v="8"/>
    <m/>
    <m/>
    <m/>
    <m/>
    <n v="19.846597720805505"/>
  </r>
  <r>
    <x v="2"/>
    <x v="1"/>
    <x v="9"/>
    <m/>
    <m/>
    <m/>
    <m/>
    <n v="0.91341845502680363"/>
  </r>
  <r>
    <x v="2"/>
    <x v="1"/>
    <x v="10"/>
    <m/>
    <m/>
    <m/>
    <m/>
    <n v="2.888908267497444"/>
  </r>
  <r>
    <x v="2"/>
    <x v="2"/>
    <x v="0"/>
    <m/>
    <m/>
    <m/>
    <m/>
    <n v="0"/>
  </r>
  <r>
    <x v="2"/>
    <x v="2"/>
    <x v="1"/>
    <m/>
    <m/>
    <m/>
    <m/>
    <n v="2.9846643668982029"/>
  </r>
  <r>
    <x v="2"/>
    <x v="2"/>
    <x v="2"/>
    <m/>
    <m/>
    <m/>
    <m/>
    <n v="13.925206627128697"/>
  </r>
  <r>
    <x v="2"/>
    <x v="2"/>
    <x v="3"/>
    <m/>
    <m/>
    <m/>
    <m/>
    <n v="0"/>
  </r>
  <r>
    <x v="2"/>
    <x v="2"/>
    <x v="4"/>
    <m/>
    <m/>
    <m/>
    <m/>
    <n v="3761.2799205148749"/>
  </r>
  <r>
    <x v="2"/>
    <x v="2"/>
    <x v="5"/>
    <m/>
    <m/>
    <m/>
    <m/>
    <n v="0.32902671744414558"/>
  </r>
  <r>
    <x v="2"/>
    <x v="2"/>
    <x v="6"/>
    <m/>
    <m/>
    <m/>
    <m/>
    <n v="0.37485135339336206"/>
  </r>
  <r>
    <x v="2"/>
    <x v="2"/>
    <x v="7"/>
    <m/>
    <m/>
    <m/>
    <m/>
    <n v="161.31945882944015"/>
  </r>
  <r>
    <x v="2"/>
    <x v="2"/>
    <x v="8"/>
    <m/>
    <m/>
    <m/>
    <m/>
    <n v="16.451026117086087"/>
  </r>
  <r>
    <x v="2"/>
    <x v="2"/>
    <x v="9"/>
    <m/>
    <m/>
    <m/>
    <m/>
    <n v="1.376642897865139"/>
  </r>
  <r>
    <x v="2"/>
    <x v="2"/>
    <x v="10"/>
    <m/>
    <m/>
    <m/>
    <m/>
    <n v="2.5258194899573914"/>
  </r>
  <r>
    <x v="2"/>
    <x v="6"/>
    <x v="0"/>
    <n v="0"/>
    <n v="0"/>
    <n v="0"/>
    <n v="0"/>
    <n v="0"/>
  </r>
  <r>
    <x v="2"/>
    <x v="6"/>
    <x v="1"/>
    <n v="0"/>
    <n v="0"/>
    <n v="0"/>
    <n v="0"/>
    <n v="0"/>
  </r>
  <r>
    <x v="2"/>
    <x v="6"/>
    <x v="2"/>
    <n v="31.460886999584382"/>
    <n v="31.788590252563644"/>
    <n v="31.788590252563644"/>
    <n v="31.788590252563644"/>
    <n v="31.788590252563644"/>
  </r>
  <r>
    <x v="2"/>
    <x v="6"/>
    <x v="3"/>
    <n v="0"/>
    <n v="0"/>
    <n v="0"/>
    <n v="0"/>
    <n v="0"/>
  </r>
  <r>
    <x v="2"/>
    <x v="6"/>
    <x v="4"/>
    <n v="2553.1615969094755"/>
    <n v="2579.7277400360563"/>
    <n v="2579.7277400360563"/>
    <n v="2579.7277400360563"/>
    <n v="2579.7277400360563"/>
  </r>
  <r>
    <x v="2"/>
    <x v="6"/>
    <x v="5"/>
    <n v="0"/>
    <n v="0"/>
    <n v="0"/>
    <n v="0"/>
    <n v="0"/>
  </r>
  <r>
    <x v="2"/>
    <x v="6"/>
    <x v="6"/>
    <n v="0"/>
    <n v="0"/>
    <n v="0"/>
    <n v="0"/>
    <n v="0"/>
  </r>
  <r>
    <x v="2"/>
    <x v="6"/>
    <x v="7"/>
    <n v="0"/>
    <n v="0"/>
    <n v="0"/>
    <n v="0"/>
    <n v="0"/>
  </r>
  <r>
    <x v="2"/>
    <x v="6"/>
    <x v="8"/>
    <n v="31.460886999584382"/>
    <n v="31.788590252563644"/>
    <n v="31.788590252563644"/>
    <n v="31.788590252563644"/>
    <n v="31.788590252563644"/>
  </r>
  <r>
    <x v="2"/>
    <x v="6"/>
    <x v="9"/>
    <n v="14.194144535719488"/>
    <n v="6.3268747240044698"/>
    <n v="5.6941872516040224"/>
    <n v="5.6941872516040224"/>
    <n v="5.6941872516040224"/>
  </r>
  <r>
    <x v="2"/>
    <x v="6"/>
    <x v="10"/>
    <n v="0"/>
    <n v="0"/>
    <n v="0"/>
    <n v="0"/>
    <n v="0"/>
  </r>
  <r>
    <x v="2"/>
    <x v="3"/>
    <x v="0"/>
    <n v="0"/>
    <n v="0"/>
    <n v="0"/>
    <n v="0"/>
    <m/>
  </r>
  <r>
    <x v="2"/>
    <x v="3"/>
    <x v="1"/>
    <n v="1.5068257796662017"/>
    <n v="1.1464812791441419"/>
    <n v="1.0585235098075561"/>
    <n v="1.0585235098075561"/>
    <m/>
  </r>
  <r>
    <x v="2"/>
    <x v="3"/>
    <x v="2"/>
    <n v="19.259209583245188"/>
    <n v="20.127803378644018"/>
    <n v="19.455781060534964"/>
    <n v="19.455781060534964"/>
    <m/>
  </r>
  <r>
    <x v="2"/>
    <x v="3"/>
    <x v="3"/>
    <n v="1.3645733784590592"/>
    <n v="1.4667273368508065"/>
    <n v="1.2338978784673527"/>
    <n v="1.2247353347259056"/>
    <m/>
  </r>
  <r>
    <x v="2"/>
    <x v="3"/>
    <x v="4"/>
    <n v="2871.5194142206719"/>
    <n v="2908.408024794624"/>
    <n v="2908.408024794624"/>
    <n v="2908.408024794624"/>
    <m/>
  </r>
  <r>
    <x v="2"/>
    <x v="3"/>
    <x v="5"/>
    <n v="0.29859952724135991"/>
    <n v="0.11903099573763432"/>
    <n v="0.10908080271271987"/>
    <n v="0.10908080271271987"/>
    <m/>
  </r>
  <r>
    <x v="2"/>
    <x v="3"/>
    <x v="6"/>
    <n v="2.402694062003362E-3"/>
    <n v="8.9336683034087943E-4"/>
    <n v="8.1915868240339785E-4"/>
    <n v="8.1915868240339785E-4"/>
    <m/>
  </r>
  <r>
    <x v="2"/>
    <x v="3"/>
    <x v="7"/>
    <n v="109.02448801700672"/>
    <n v="49.670269942227989"/>
    <n v="45.71247638054696"/>
    <n v="45.71247638054696"/>
    <m/>
  </r>
  <r>
    <x v="2"/>
    <x v="3"/>
    <x v="8"/>
    <n v="24.6605372543609"/>
    <n v="25.56279280289904"/>
    <n v="24.669351643775297"/>
    <n v="24.477446135981406"/>
    <m/>
  </r>
  <r>
    <x v="2"/>
    <x v="3"/>
    <x v="9"/>
    <n v="6.3985569080150446"/>
    <n v="2.9969808685474941"/>
    <n v="2.7132697110536039"/>
    <n v="2.7132697110536039"/>
    <m/>
  </r>
  <r>
    <x v="2"/>
    <x v="3"/>
    <x v="10"/>
    <n v="5.4013276711157161"/>
    <n v="5.4349894242550221"/>
    <n v="5.2135705832403332"/>
    <n v="5.0216650754464434"/>
    <m/>
  </r>
  <r>
    <x v="3"/>
    <x v="5"/>
    <x v="0"/>
    <n v="17.650647800983691"/>
    <n v="15.742667292822965"/>
    <n v="15.742667292822965"/>
    <n v="15.742667292822965"/>
    <n v="15.742667292822965"/>
  </r>
  <r>
    <x v="3"/>
    <x v="5"/>
    <x v="1"/>
    <n v="1.1045320025575942E-2"/>
    <n v="0.10579629642689897"/>
    <n v="0.10579629642689897"/>
    <n v="0.10579629642689897"/>
    <n v="0.10579629642689897"/>
  </r>
  <r>
    <x v="3"/>
    <x v="5"/>
    <x v="2"/>
    <n v="59.968608197579748"/>
    <n v="50.77979585730526"/>
    <n v="50.77979585730526"/>
    <n v="50.77979585730526"/>
    <n v="50.77979585730526"/>
  </r>
  <r>
    <x v="3"/>
    <x v="5"/>
    <x v="3"/>
    <n v="7.7317240179031578E-4"/>
    <n v="7.4057407498829267E-3"/>
    <n v="7.4057407498829267E-3"/>
    <n v="7.4057407498829267E-3"/>
    <n v="7.4057407498829267E-3"/>
  </r>
  <r>
    <x v="3"/>
    <x v="5"/>
    <x v="4"/>
    <n v="17650.64780098369"/>
    <n v="15742.667292822964"/>
    <n v="15742.667292822964"/>
    <n v="15742.667292822964"/>
    <n v="15742.667292822964"/>
  </r>
  <r>
    <x v="3"/>
    <x v="5"/>
    <x v="5"/>
    <n v="1.3254384030691128E-3"/>
    <n v="6.1361851927601392E-4"/>
    <n v="6.1361851927601392E-4"/>
    <n v="6.1361851927601392E-4"/>
    <n v="6.1361851927601392E-4"/>
  </r>
  <r>
    <x v="3"/>
    <x v="5"/>
    <x v="6"/>
    <n v="0"/>
    <n v="1.0579629642689895E-5"/>
    <n v="1.0579629642689895E-5"/>
    <n v="1.0579629642689895E-5"/>
    <n v="1.0579629642689895E-5"/>
  </r>
  <r>
    <x v="3"/>
    <x v="5"/>
    <x v="7"/>
    <n v="1.6174766645453404"/>
    <n v="2.7189648181713038"/>
    <n v="2.7189648181713038"/>
    <n v="2.7189648181713038"/>
    <n v="2.7189648181713038"/>
  </r>
  <r>
    <x v="3"/>
    <x v="5"/>
    <x v="8"/>
    <n v="59.968608197579748"/>
    <n v="50.77979585730526"/>
    <n v="50.77979585730526"/>
    <n v="50.77979585730526"/>
    <n v="50.77979585730526"/>
  </r>
  <r>
    <x v="3"/>
    <x v="5"/>
    <x v="9"/>
    <n v="11.616226796602596"/>
    <n v="4.5923236168466213"/>
    <n v="4.1330912551619594"/>
    <n v="4.1330912551619594"/>
    <n v="4.1330912551619594"/>
  </r>
  <r>
    <x v="3"/>
    <x v="5"/>
    <x v="10"/>
    <n v="0"/>
    <n v="0"/>
    <n v="0"/>
    <n v="0"/>
    <n v="0"/>
  </r>
  <r>
    <x v="3"/>
    <x v="0"/>
    <x v="0"/>
    <n v="0"/>
    <n v="0"/>
    <n v="0"/>
    <n v="0"/>
    <n v="0"/>
  </r>
  <r>
    <x v="3"/>
    <x v="0"/>
    <x v="1"/>
    <n v="37.286216041585391"/>
    <n v="26.006899167521848"/>
    <n v="23.346440422045404"/>
    <n v="22.799362663246981"/>
    <n v="22.799362663246981"/>
  </r>
  <r>
    <x v="3"/>
    <x v="0"/>
    <x v="2"/>
    <n v="36.784329803598965"/>
    <n v="42.859470563853172"/>
    <n v="39.912083945356514"/>
    <n v="39.912083945356514"/>
    <n v="39.912083945356514"/>
  </r>
  <r>
    <x v="3"/>
    <x v="0"/>
    <x v="3"/>
    <n v="5.8892597021472497"/>
    <n v="7.5856598842592078"/>
    <n v="7.3404693595947981"/>
    <n v="7.0340735794461668"/>
    <n v="7.0340735794461668"/>
  </r>
  <r>
    <x v="3"/>
    <x v="0"/>
    <x v="4"/>
    <n v="19936.83730102616"/>
    <n v="23206.769641005369"/>
    <n v="21614.46582630515"/>
    <n v="21614.46582630515"/>
    <n v="21614.46582630515"/>
  </r>
  <r>
    <x v="3"/>
    <x v="0"/>
    <x v="5"/>
    <n v="6.6722702390205439"/>
    <n v="4.9651615625935932"/>
    <n v="4.4494453225518136"/>
    <n v="4.3527880205171066"/>
    <n v="4.3527880205171066"/>
  </r>
  <r>
    <x v="3"/>
    <x v="0"/>
    <x v="6"/>
    <n v="7.8497296929653455"/>
    <n v="5.8322107972932304"/>
    <n v="5.2349685458261686"/>
    <n v="5.112900551483305"/>
    <n v="5.112900551483305"/>
  </r>
  <r>
    <x v="3"/>
    <x v="0"/>
    <x v="7"/>
    <n v="2727.7810683054577"/>
    <n v="2026.6932520593975"/>
    <n v="1819.6192160900771"/>
    <n v="1776.7329416404484"/>
    <n v="1776.7329416404484"/>
  </r>
  <r>
    <x v="3"/>
    <x v="0"/>
    <x v="8"/>
    <n v="36.784329803598965"/>
    <n v="42.859470563853172"/>
    <n v="39.912083945356514"/>
    <n v="39.912083945356514"/>
    <n v="39.912083945356514"/>
  </r>
  <r>
    <x v="3"/>
    <x v="0"/>
    <x v="9"/>
    <n v="2.9076433016838585"/>
    <n v="1.2862615739499157"/>
    <n v="1.1635570701573947"/>
    <n v="1.1635570701573947"/>
    <n v="1.1635570701573947"/>
  </r>
  <r>
    <x v="3"/>
    <x v="0"/>
    <x v="10"/>
    <n v="0"/>
    <n v="0"/>
    <n v="0"/>
    <n v="0"/>
    <n v="0"/>
  </r>
  <r>
    <x v="3"/>
    <x v="1"/>
    <x v="0"/>
    <m/>
    <m/>
    <m/>
    <m/>
    <n v="0"/>
  </r>
  <r>
    <x v="3"/>
    <x v="1"/>
    <x v="1"/>
    <m/>
    <m/>
    <m/>
    <m/>
    <n v="10.221006019902795"/>
  </r>
  <r>
    <x v="3"/>
    <x v="1"/>
    <x v="2"/>
    <m/>
    <m/>
    <m/>
    <m/>
    <n v="46.362039386200443"/>
  </r>
  <r>
    <x v="3"/>
    <x v="1"/>
    <x v="3"/>
    <m/>
    <m/>
    <m/>
    <m/>
    <n v="0"/>
  </r>
  <r>
    <x v="3"/>
    <x v="1"/>
    <x v="4"/>
    <m/>
    <m/>
    <m/>
    <m/>
    <n v="22209.412764836037"/>
  </r>
  <r>
    <x v="3"/>
    <x v="1"/>
    <x v="5"/>
    <m/>
    <m/>
    <m/>
    <m/>
    <n v="0.99900312329013485"/>
  </r>
  <r>
    <x v="3"/>
    <x v="1"/>
    <x v="6"/>
    <m/>
    <m/>
    <m/>
    <m/>
    <n v="7.4483490547029629E-2"/>
  </r>
  <r>
    <x v="3"/>
    <x v="1"/>
    <x v="7"/>
    <m/>
    <m/>
    <m/>
    <m/>
    <n v="428.56945921065739"/>
  </r>
  <r>
    <x v="3"/>
    <x v="1"/>
    <x v="8"/>
    <m/>
    <m/>
    <m/>
    <m/>
    <n v="52.882424373539926"/>
  </r>
  <r>
    <x v="3"/>
    <x v="1"/>
    <x v="9"/>
    <m/>
    <m/>
    <m/>
    <m/>
    <n v="0.75862355756818056"/>
  </r>
  <r>
    <x v="3"/>
    <x v="1"/>
    <x v="10"/>
    <m/>
    <m/>
    <m/>
    <m/>
    <n v="6.5203849873394795"/>
  </r>
  <r>
    <x v="3"/>
    <x v="2"/>
    <x v="0"/>
    <m/>
    <m/>
    <m/>
    <m/>
    <n v="0"/>
  </r>
  <r>
    <x v="3"/>
    <x v="2"/>
    <x v="1"/>
    <m/>
    <m/>
    <m/>
    <m/>
    <n v="32.944210884798444"/>
  </r>
  <r>
    <x v="3"/>
    <x v="2"/>
    <x v="2"/>
    <m/>
    <m/>
    <m/>
    <m/>
    <n v="41.552600536247517"/>
  </r>
  <r>
    <x v="3"/>
    <x v="2"/>
    <x v="3"/>
    <m/>
    <m/>
    <m/>
    <m/>
    <n v="0"/>
  </r>
  <r>
    <x v="3"/>
    <x v="2"/>
    <x v="4"/>
    <m/>
    <m/>
    <m/>
    <m/>
    <n v="22209.412764836037"/>
  </r>
  <r>
    <x v="3"/>
    <x v="2"/>
    <x v="5"/>
    <m/>
    <m/>
    <m/>
    <m/>
    <n v="1.0505761615062705"/>
  </r>
  <r>
    <x v="3"/>
    <x v="2"/>
    <x v="6"/>
    <m/>
    <m/>
    <m/>
    <m/>
    <n v="1.0360564712712068"/>
  </r>
  <r>
    <x v="3"/>
    <x v="2"/>
    <x v="7"/>
    <m/>
    <m/>
    <m/>
    <m/>
    <n v="1079.9729226057589"/>
  </r>
  <r>
    <x v="3"/>
    <x v="2"/>
    <x v="8"/>
    <m/>
    <m/>
    <m/>
    <m/>
    <n v="47.63427714734263"/>
  </r>
  <r>
    <x v="3"/>
    <x v="2"/>
    <x v="9"/>
    <m/>
    <m/>
    <m/>
    <m/>
    <n v="1.0454137895953477"/>
  </r>
  <r>
    <x v="3"/>
    <x v="2"/>
    <x v="10"/>
    <m/>
    <m/>
    <m/>
    <m/>
    <n v="6.0816766110951184"/>
  </r>
  <r>
    <x v="3"/>
    <x v="3"/>
    <x v="0"/>
    <n v="0"/>
    <n v="0"/>
    <n v="0"/>
    <n v="0"/>
    <m/>
  </r>
  <r>
    <x v="3"/>
    <x v="3"/>
    <x v="1"/>
    <n v="15.673058030079792"/>
    <n v="11.988189401243812"/>
    <n v="10.894033583430897"/>
    <n v="10.894033583430897"/>
    <m/>
  </r>
  <r>
    <x v="3"/>
    <x v="3"/>
    <x v="2"/>
    <n v="62.249688914027594"/>
    <n v="65.304302979034205"/>
    <n v="62.000349514300936"/>
    <n v="62.000349514300936"/>
    <m/>
  </r>
  <r>
    <x v="3"/>
    <x v="3"/>
    <x v="3"/>
    <n v="4.7394790119550576"/>
    <n v="4.9977841444308622"/>
    <n v="4.2387033664711851"/>
    <n v="4.2189063672247338"/>
    <m/>
  </r>
  <r>
    <x v="3"/>
    <x v="3"/>
    <x v="4"/>
    <n v="19070.352475115462"/>
    <n v="19369.556325345486"/>
    <n v="19369.556325345486"/>
    <n v="19369.556325345486"/>
    <m/>
  </r>
  <r>
    <x v="3"/>
    <x v="3"/>
    <x v="5"/>
    <n v="3.1634155308289276"/>
    <n v="0.89086728099376222"/>
    <n v="0.81552897152325732"/>
    <n v="0.81552897152325732"/>
    <m/>
  </r>
  <r>
    <x v="3"/>
    <x v="3"/>
    <x v="6"/>
    <n v="2.8478116531606937E-2"/>
    <n v="6.8900588623944086E-3"/>
    <n v="6.3025791271424355E-3"/>
    <n v="6.3025791271424355E-3"/>
    <m/>
  </r>
  <r>
    <x v="3"/>
    <x v="3"/>
    <x v="7"/>
    <n v="1125.6487236080404"/>
    <n v="455.76916664770931"/>
    <n v="415.24485541091497"/>
    <n v="415.24485541091497"/>
    <m/>
  </r>
  <r>
    <x v="3"/>
    <x v="3"/>
    <x v="8"/>
    <n v="85.233063708721403"/>
    <n v="88.542273759104589"/>
    <n v="84.609234802710418"/>
    <n v="82.74194967902018"/>
    <m/>
  </r>
  <r>
    <x v="3"/>
    <x v="3"/>
    <x v="9"/>
    <n v="2.3507915965331749"/>
    <n v="1.3193455037738802"/>
    <n v="1.2311410164053675"/>
    <n v="1.2311410164053675"/>
    <m/>
  </r>
  <r>
    <x v="3"/>
    <x v="3"/>
    <x v="10"/>
    <n v="22.983374794693809"/>
    <n v="23.237970780070391"/>
    <n v="22.608885288409482"/>
    <n v="20.741600164719237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x v="0"/>
    <n v="95.181000000000012"/>
    <m/>
    <m/>
    <m/>
    <n v="0"/>
  </r>
  <r>
    <x v="0"/>
    <x v="0"/>
    <x v="1"/>
    <n v="348.68140000000005"/>
    <n v="222.16661050000005"/>
    <n v="193.51065295500004"/>
    <n v="185.22877825399394"/>
    <n v="134.31144280051123"/>
  </r>
  <r>
    <x v="0"/>
    <x v="0"/>
    <x v="2"/>
    <n v="154"/>
    <n v="168.73437188243417"/>
    <n v="152.20627282593307"/>
    <n v="152.20627282593307"/>
    <n v="119.55714285714285"/>
  </r>
  <r>
    <x v="0"/>
    <x v="0"/>
    <x v="3"/>
    <n v="33.014200000000002"/>
    <n v="40.509901499999998"/>
    <n v="31.473800165999997"/>
    <n v="30.583641700000001"/>
    <n v="27.780182417582417"/>
  </r>
  <r>
    <x v="0"/>
    <x v="0"/>
    <x v="4"/>
    <n v="115750"/>
    <n v="126737.5"/>
    <n v="120877.5"/>
    <n v="120877.5"/>
    <n v="108080"/>
  </r>
  <r>
    <x v="0"/>
    <x v="0"/>
    <x v="5"/>
    <n v="54.75385"/>
    <n v="32.886968375000002"/>
    <n v="28.529551878749999"/>
    <n v="27.81764787928125"/>
    <n v="1.5247807641490385"/>
  </r>
  <r>
    <x v="0"/>
    <x v="0"/>
    <x v="6"/>
    <n v="0.78415000000000001"/>
    <n v="0.47006262500000001"/>
    <n v="0.40804632125000001"/>
    <n v="0.39786817696874999"/>
    <n v="2.3979817701923083E-2"/>
  </r>
  <r>
    <x v="0"/>
    <x v="0"/>
    <x v="7"/>
    <n v="25571.4"/>
    <n v="15885.318500000001"/>
    <n v="13799.779102500002"/>
    <n v="13460.699158687501"/>
    <n v="3694.1530645348562"/>
  </r>
  <r>
    <x v="0"/>
    <x v="0"/>
    <x v="8"/>
    <n v="154"/>
    <n v="168.73437188243417"/>
    <n v="152.20627282593307"/>
    <n v="152.20627282593307"/>
    <n v="119.55714285714285"/>
  </r>
  <r>
    <x v="0"/>
    <x v="0"/>
    <x v="9"/>
    <n v="0.97758086621572526"/>
    <n v="0.53148165110799139"/>
    <n v="0.49866784780259482"/>
    <n v="0.49866784780259482"/>
    <n v="0.62441278682457457"/>
  </r>
  <r>
    <x v="0"/>
    <x v="0"/>
    <x v="10"/>
    <n v="0"/>
    <n v="0"/>
    <n v="0"/>
    <n v="0"/>
    <n v="0"/>
  </r>
  <r>
    <x v="0"/>
    <x v="1"/>
    <x v="0"/>
    <n v="84.4"/>
    <m/>
    <m/>
    <m/>
    <n v="0"/>
  </r>
  <r>
    <x v="0"/>
    <x v="1"/>
    <x v="1"/>
    <n v="118.16"/>
    <n v="74.736199999999997"/>
    <n v="59.106586"/>
    <n v="57.628921350000006"/>
    <n v="57.787347283269234"/>
  </r>
  <r>
    <x v="0"/>
    <x v="1"/>
    <x v="2"/>
    <n v="82"/>
    <n v="94.3"/>
    <n v="87.740000000000009"/>
    <n v="87.740000000000009"/>
    <n v="79.25"/>
  </r>
  <r>
    <x v="0"/>
    <x v="1"/>
    <x v="3"/>
    <n v="10.128"/>
    <n v="14.55885"/>
    <n v="11.175614999999999"/>
    <n v="11.107884"/>
    <n v="10.48956043956044"/>
  </r>
  <r>
    <x v="0"/>
    <x v="1"/>
    <x v="4"/>
    <n v="84400"/>
    <n v="97059.999999999985"/>
    <n v="90308"/>
    <n v="90308"/>
    <n v="90300"/>
  </r>
  <r>
    <x v="0"/>
    <x v="1"/>
    <x v="5"/>
    <n v="18.314800000000002"/>
    <n v="11.584111"/>
    <n v="9.1615208300000024"/>
    <n v="8.9324828092500024"/>
    <n v="0.4768436596759616"/>
  </r>
  <r>
    <x v="0"/>
    <x v="1"/>
    <x v="6"/>
    <n v="0.25320000000000004"/>
    <n v="0.16014900000000001"/>
    <n v="0.12665697000000001"/>
    <n v="0.12349054575000003"/>
    <n v="7.7185870355769241E-3"/>
  </r>
  <r>
    <x v="0"/>
    <x v="1"/>
    <x v="7"/>
    <n v="8693.2000000000007"/>
    <n v="5498.4489999999996"/>
    <n v="4348.5559700000003"/>
    <n v="4239.8420707500009"/>
    <n v="1530.5924830932695"/>
  </r>
  <r>
    <x v="0"/>
    <x v="1"/>
    <x v="8"/>
    <n v="82"/>
    <n v="94.3"/>
    <n v="87.740000000000009"/>
    <n v="87.740000000000009"/>
    <n v="79.25"/>
  </r>
  <r>
    <x v="0"/>
    <x v="1"/>
    <x v="9"/>
    <n v="0.3"/>
    <n v="0.1323"/>
    <n v="0.11907000000000001"/>
    <n v="0.11907000000000001"/>
    <n v="0.6175782724252491"/>
  </r>
  <r>
    <x v="0"/>
    <x v="1"/>
    <x v="10"/>
    <n v="0"/>
    <n v="0"/>
    <n v="0"/>
    <n v="0"/>
    <n v="0"/>
  </r>
  <r>
    <x v="1"/>
    <x v="0"/>
    <x v="0"/>
    <n v="720.45100000000002"/>
    <m/>
    <m/>
    <m/>
    <n v="0"/>
  </r>
  <r>
    <x v="1"/>
    <x v="0"/>
    <x v="1"/>
    <n v="1795.4194"/>
    <n v="1148.2443955000001"/>
    <n v="991.46236980500021"/>
    <n v="952.34426546542704"/>
    <n v="816.39399994606913"/>
  </r>
  <r>
    <x v="1"/>
    <x v="0"/>
    <x v="2"/>
    <n v="724.49999999999989"/>
    <n v="784.27175118811465"/>
    <n v="702.43859042090662"/>
    <n v="702.43859042090662"/>
    <n v="632"/>
  </r>
  <r>
    <x v="1"/>
    <x v="0"/>
    <x v="3"/>
    <n v="172.5522"/>
    <n v="213.77691419999996"/>
    <n v="166.55487656099999"/>
    <n v="162.52175519999997"/>
    <n v="147.60356691086693"/>
  </r>
  <r>
    <x v="1"/>
    <x v="0"/>
    <x v="4"/>
    <n v="810700"/>
    <n v="882730"/>
    <n v="844314"/>
    <n v="844314"/>
    <n v="792640"/>
  </r>
  <r>
    <x v="1"/>
    <x v="0"/>
    <x v="5"/>
    <n v="284.34999999999997"/>
    <n v="166.28266444999997"/>
    <n v="142.5961090525"/>
    <n v="139.04158633968751"/>
    <n v="6.2362989198581724"/>
  </r>
  <r>
    <x v="1"/>
    <x v="0"/>
    <x v="6"/>
    <n v="4.0609999999999999"/>
    <n v="2.3670766500000004"/>
    <n v="2.0317898925"/>
    <n v="1.9811741109375001"/>
    <n v="0.10307667903365386"/>
  </r>
  <r>
    <x v="1"/>
    <x v="0"/>
    <x v="7"/>
    <n v="131435.25"/>
    <n v="80888.568425000005"/>
    <n v="69532.179028750004"/>
    <n v="67839.868750781257"/>
    <n v="21471.009763734979"/>
  </r>
  <r>
    <x v="1"/>
    <x v="0"/>
    <x v="8"/>
    <n v="724.49999999999989"/>
    <n v="784.27175118811465"/>
    <n v="702.43859042090662"/>
    <n v="702.43859042090662"/>
    <n v="632"/>
  </r>
  <r>
    <x v="1"/>
    <x v="0"/>
    <x v="9"/>
    <n v="0.81927569302653769"/>
    <n v="0.4809012023576657"/>
    <n v="0.45727458668425197"/>
    <n v="0.45727458668425197"/>
    <n v="0.64253878608195392"/>
  </r>
  <r>
    <x v="1"/>
    <x v="0"/>
    <x v="10"/>
    <n v="0"/>
    <n v="0"/>
    <n v="0"/>
    <n v="0"/>
    <n v="0"/>
  </r>
  <r>
    <x v="1"/>
    <x v="1"/>
    <x v="0"/>
    <n v="796"/>
    <m/>
    <m/>
    <m/>
    <n v="0"/>
  </r>
  <r>
    <x v="1"/>
    <x v="1"/>
    <x v="1"/>
    <n v="1114.3999999999999"/>
    <n v="704.85799999999995"/>
    <n v="557.45074"/>
    <n v="543.51447150000001"/>
    <n v="434.66763648582696"/>
  </r>
  <r>
    <x v="1"/>
    <x v="1"/>
    <x v="2"/>
    <n v="587"/>
    <n v="675.05"/>
    <n v="628.09"/>
    <n v="628.09"/>
    <n v="569.99999999999636"/>
  </r>
  <r>
    <x v="1"/>
    <x v="1"/>
    <x v="3"/>
    <n v="95.52"/>
    <n v="137.30984999999998"/>
    <n v="105.40034999999999"/>
    <n v="104.76155999999999"/>
    <n v="78.399820512820511"/>
  </r>
  <r>
    <x v="1"/>
    <x v="1"/>
    <x v="4"/>
    <n v="796000"/>
    <n v="915399.99999999988"/>
    <n v="851720"/>
    <n v="851720"/>
    <n v="667930"/>
  </r>
  <r>
    <x v="1"/>
    <x v="1"/>
    <x v="5"/>
    <n v="172.732"/>
    <n v="109.25299"/>
    <n v="86.404864700000005"/>
    <n v="84.244743082500008"/>
    <n v="2.6168116283800962"/>
  </r>
  <r>
    <x v="1"/>
    <x v="1"/>
    <x v="6"/>
    <n v="2.3879999999999999"/>
    <n v="1.51041"/>
    <n v="1.1945373000000001"/>
    <n v="1.1646738675000001"/>
    <n v="4.4777633541057696E-2"/>
  </r>
  <r>
    <x v="1"/>
    <x v="1"/>
    <x v="7"/>
    <n v="81988"/>
    <n v="51857.409999999996"/>
    <n v="41012.447300000007"/>
    <n v="39987.136117500006"/>
    <n v="11257.94849420452"/>
  </r>
  <r>
    <x v="1"/>
    <x v="1"/>
    <x v="8"/>
    <n v="587"/>
    <n v="675.05"/>
    <n v="628.09"/>
    <n v="628.09"/>
    <n v="569.99999999999636"/>
  </r>
  <r>
    <x v="1"/>
    <x v="1"/>
    <x v="9"/>
    <n v="0.3"/>
    <n v="0.1323"/>
    <n v="0.11907000000000001"/>
    <n v="0.11907000000000001"/>
    <n v="0.63795159043612359"/>
  </r>
  <r>
    <x v="1"/>
    <x v="1"/>
    <x v="1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21081-AD73-40D7-B67A-493FFF2625A6}" name="PivotTable1" cacheId="2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 chartFormat="1">
  <location ref="A3:F11" firstHeaderRow="0" firstDataRow="1" firstDataCol="1" rowPageCount="1" colPageCount="1"/>
  <pivotFields count="8">
    <pivotField axis="axisRow" showAll="0">
      <items count="5">
        <item h="1" x="0"/>
        <item h="1" x="1"/>
        <item x="2"/>
        <item h="1" x="3"/>
        <item t="default"/>
      </items>
    </pivotField>
    <pivotField axis="axisRow" showAll="0">
      <items count="8">
        <item x="5"/>
        <item x="4"/>
        <item x="0"/>
        <item x="3"/>
        <item x="1"/>
        <item x="2"/>
        <item x="6"/>
        <item t="default"/>
      </items>
    </pivotField>
    <pivotField axis="axisPage" multipleItemSelectionAllowed="1" showAll="0">
      <items count="12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8">
    <i>
      <x v="2"/>
    </i>
    <i r="1">
      <x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hier="-1"/>
  </pageFields>
  <dataFields count="5">
    <dataField name="Summe von Klassisch" fld="3" baseField="0" baseItem="0"/>
    <dataField name="Summe von Trendszenario" fld="4" baseField="0" baseItem="0"/>
    <dataField name="Summe von Autonom" fld="5" baseField="0" baseItem="0"/>
    <dataField name="Summe von Optimiert" fld="6" baseField="0" baseItem="0"/>
    <dataField name="Summe von Pod" fld="7" baseField="0" baseItem="0"/>
  </dataFields>
  <chartFormats count="5"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6450D2-F65C-4416-AB86-8981B32EAE51}" name="PivotTable2" cacheId="3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 chartFormat="1">
  <location ref="A1:F7" firstHeaderRow="0" firstDataRow="1" firstDataCol="1"/>
  <pivotFields count="8">
    <pivotField axis="axisRow" showAll="0">
      <items count="3">
        <item x="1"/>
        <item h="1"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12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3">
    <field x="0"/>
    <field x="1"/>
    <field x="2"/>
  </rowFields>
  <rowItems count="6">
    <i>
      <x/>
    </i>
    <i r="1">
      <x/>
    </i>
    <i r="2">
      <x v="1"/>
    </i>
    <i r="1">
      <x v="1"/>
    </i>
    <i r="2"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me von Klassisch" fld="3" baseField="0" baseItem="0"/>
    <dataField name="Summe von Trendszenario" fld="4" baseField="0" baseItem="0"/>
    <dataField name="Summe von Autonom" fld="5" baseField="0" baseItem="0"/>
    <dataField name="Summe von Optimiert" fld="6" baseField="0" baseItem="0"/>
    <dataField name="Summe von Pod" fld="7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handelsblatt.com/technik/das-technologie-update/weisheit-der-woche/schienenverkehr-welche-strecke-legt-ein-zug-insgesamt-zurueck/8896436.html?ticket=ST-2281540-OIq7uafKHBymdleO2znV-ap4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4F5AF-C560-40DA-8E3F-9D4407155D17}">
  <sheetPr codeName="Tabelle1"/>
  <dimension ref="B2:E18"/>
  <sheetViews>
    <sheetView workbookViewId="0"/>
  </sheetViews>
  <sheetFormatPr baseColWidth="10" defaultColWidth="11.875" defaultRowHeight="15" x14ac:dyDescent="0.25"/>
  <cols>
    <col min="1" max="1" width="11.875" style="5"/>
    <col min="2" max="2" width="83.25" style="5" customWidth="1"/>
    <col min="3" max="16384" width="11.875" style="5"/>
  </cols>
  <sheetData>
    <row r="2" spans="2:5" x14ac:dyDescent="0.25">
      <c r="B2" s="1" t="s">
        <v>0</v>
      </c>
      <c r="C2" s="2"/>
      <c r="D2" s="3"/>
      <c r="E2" s="4"/>
    </row>
    <row r="3" spans="2:5" x14ac:dyDescent="0.25">
      <c r="B3" s="129" t="s">
        <v>1</v>
      </c>
      <c r="C3" s="131"/>
      <c r="D3" s="132"/>
      <c r="E3" s="133"/>
    </row>
    <row r="4" spans="2:5" x14ac:dyDescent="0.25">
      <c r="B4" s="129"/>
      <c r="C4" s="131"/>
      <c r="D4" s="132"/>
      <c r="E4" s="133"/>
    </row>
    <row r="5" spans="2:5" x14ac:dyDescent="0.25">
      <c r="B5" s="129"/>
      <c r="C5" s="131"/>
      <c r="D5" s="132"/>
      <c r="E5" s="133"/>
    </row>
    <row r="6" spans="2:5" x14ac:dyDescent="0.25">
      <c r="B6" s="130"/>
      <c r="C6" s="134"/>
      <c r="D6" s="135"/>
      <c r="E6" s="136"/>
    </row>
    <row r="8" spans="2:5" x14ac:dyDescent="0.25">
      <c r="B8" s="1" t="s">
        <v>2</v>
      </c>
      <c r="C8" s="2"/>
      <c r="D8" s="3"/>
      <c r="E8" s="4"/>
    </row>
    <row r="9" spans="2:5" x14ac:dyDescent="0.25">
      <c r="B9" s="137" t="s">
        <v>3</v>
      </c>
      <c r="C9" s="131"/>
      <c r="D9" s="132"/>
      <c r="E9" s="133"/>
    </row>
    <row r="10" spans="2:5" x14ac:dyDescent="0.25">
      <c r="B10" s="137"/>
      <c r="C10" s="131"/>
      <c r="D10" s="132"/>
      <c r="E10" s="133"/>
    </row>
    <row r="11" spans="2:5" x14ac:dyDescent="0.25">
      <c r="B11" s="137"/>
      <c r="C11" s="131"/>
      <c r="D11" s="132"/>
      <c r="E11" s="133"/>
    </row>
    <row r="12" spans="2:5" x14ac:dyDescent="0.25">
      <c r="B12" s="138"/>
      <c r="C12" s="134"/>
      <c r="D12" s="135"/>
      <c r="E12" s="136"/>
    </row>
    <row r="14" spans="2:5" x14ac:dyDescent="0.25">
      <c r="B14" s="1" t="s">
        <v>4</v>
      </c>
      <c r="C14" s="2"/>
      <c r="D14" s="3"/>
      <c r="E14" s="4"/>
    </row>
    <row r="15" spans="2:5" x14ac:dyDescent="0.25">
      <c r="B15" s="129" t="s">
        <v>5</v>
      </c>
      <c r="C15" s="6"/>
      <c r="E15" s="7"/>
    </row>
    <row r="16" spans="2:5" x14ac:dyDescent="0.25">
      <c r="B16" s="129"/>
      <c r="C16" s="6"/>
      <c r="E16" s="7"/>
    </row>
    <row r="17" spans="2:5" x14ac:dyDescent="0.25">
      <c r="B17" s="129"/>
      <c r="C17" s="6"/>
      <c r="E17" s="7"/>
    </row>
    <row r="18" spans="2:5" x14ac:dyDescent="0.25">
      <c r="B18" s="130"/>
      <c r="C18" s="8"/>
      <c r="D18" s="9"/>
      <c r="E18" s="10"/>
    </row>
  </sheetData>
  <mergeCells count="5">
    <mergeCell ref="B3:B6"/>
    <mergeCell ref="C3:E6"/>
    <mergeCell ref="B9:B12"/>
    <mergeCell ref="C9:E12"/>
    <mergeCell ref="B15:B1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rovement">
                <anchor moveWithCells="1" sizeWithCells="1">
                  <from>
                    <xdr:col>2</xdr:col>
                    <xdr:colOff>371475</xdr:colOff>
                    <xdr:row>2</xdr:row>
                    <xdr:rowOff>57150</xdr:rowOff>
                  </from>
                  <to>
                    <xdr:col>4</xdr:col>
                    <xdr:colOff>485775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create_plots">
                <anchor moveWithCells="1" sizeWithCells="1">
                  <from>
                    <xdr:col>2</xdr:col>
                    <xdr:colOff>361950</xdr:colOff>
                    <xdr:row>8</xdr:row>
                    <xdr:rowOff>76200</xdr:rowOff>
                  </from>
                  <to>
                    <xdr:col>4</xdr:col>
                    <xdr:colOff>476250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referenzstrecken">
                <anchor moveWithCells="1" sizeWithCells="1">
                  <from>
                    <xdr:col>2</xdr:col>
                    <xdr:colOff>352425</xdr:colOff>
                    <xdr:row>14</xdr:row>
                    <xdr:rowOff>28575</xdr:rowOff>
                  </from>
                  <to>
                    <xdr:col>4</xdr:col>
                    <xdr:colOff>466725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35D3-32B9-40F3-98D9-855CC6004599}">
  <sheetPr codeName="Tabelle4"/>
  <dimension ref="A2:C26"/>
  <sheetViews>
    <sheetView workbookViewId="0"/>
  </sheetViews>
  <sheetFormatPr baseColWidth="10" defaultColWidth="11.875" defaultRowHeight="15" x14ac:dyDescent="0.25"/>
  <cols>
    <col min="1" max="1" width="11.875" style="5"/>
    <col min="2" max="2" width="33.875" style="5" customWidth="1"/>
    <col min="3" max="3" width="89.5" style="5" customWidth="1"/>
    <col min="4" max="16384" width="11.875" style="5"/>
  </cols>
  <sheetData>
    <row r="2" spans="2:3" x14ac:dyDescent="0.25">
      <c r="B2" s="139" t="s">
        <v>6</v>
      </c>
      <c r="C2" s="140"/>
    </row>
    <row r="3" spans="2:3" x14ac:dyDescent="0.25">
      <c r="B3" s="141" t="s">
        <v>7</v>
      </c>
      <c r="C3" s="142"/>
    </row>
    <row r="4" spans="2:3" x14ac:dyDescent="0.25">
      <c r="B4" s="141"/>
      <c r="C4" s="142"/>
    </row>
    <row r="5" spans="2:3" x14ac:dyDescent="0.25">
      <c r="B5" s="143"/>
      <c r="C5" s="144"/>
    </row>
    <row r="6" spans="2:3" x14ac:dyDescent="0.25">
      <c r="C6" s="11"/>
    </row>
    <row r="7" spans="2:3" x14ac:dyDescent="0.25">
      <c r="B7" s="12" t="s">
        <v>8</v>
      </c>
      <c r="C7" s="12" t="s">
        <v>9</v>
      </c>
    </row>
    <row r="8" spans="2:3" ht="39.950000000000003" customHeight="1" x14ac:dyDescent="0.25">
      <c r="B8" s="13" t="s">
        <v>10</v>
      </c>
      <c r="C8" s="14" t="s">
        <v>11</v>
      </c>
    </row>
    <row r="9" spans="2:3" ht="39.950000000000003" customHeight="1" x14ac:dyDescent="0.25">
      <c r="B9" s="13" t="s">
        <v>12</v>
      </c>
      <c r="C9" s="15"/>
    </row>
    <row r="10" spans="2:3" ht="39.950000000000003" customHeight="1" x14ac:dyDescent="0.25">
      <c r="B10" s="13" t="s">
        <v>13</v>
      </c>
      <c r="C10" s="14" t="s">
        <v>14</v>
      </c>
    </row>
    <row r="11" spans="2:3" ht="39.950000000000003" customHeight="1" x14ac:dyDescent="0.25">
      <c r="B11" s="13" t="s">
        <v>15</v>
      </c>
      <c r="C11" s="15"/>
    </row>
    <row r="12" spans="2:3" ht="39.950000000000003" customHeight="1" x14ac:dyDescent="0.25">
      <c r="B12" s="13" t="s">
        <v>16</v>
      </c>
      <c r="C12" s="15"/>
    </row>
    <row r="13" spans="2:3" ht="39.950000000000003" customHeight="1" x14ac:dyDescent="0.25">
      <c r="B13" s="13" t="s">
        <v>17</v>
      </c>
      <c r="C13" s="15"/>
    </row>
    <row r="14" spans="2:3" ht="39.950000000000003" customHeight="1" x14ac:dyDescent="0.25">
      <c r="B14" s="13" t="s">
        <v>18</v>
      </c>
      <c r="C14" s="15"/>
    </row>
    <row r="15" spans="2:3" ht="39.950000000000003" customHeight="1" x14ac:dyDescent="0.25">
      <c r="B15" s="13" t="s">
        <v>19</v>
      </c>
      <c r="C15" s="15"/>
    </row>
    <row r="16" spans="2:3" ht="39.950000000000003" customHeight="1" x14ac:dyDescent="0.25">
      <c r="B16" s="13" t="s">
        <v>20</v>
      </c>
      <c r="C16" s="15"/>
    </row>
    <row r="17" spans="1:3" ht="39.950000000000003" customHeight="1" x14ac:dyDescent="0.25">
      <c r="B17" s="13" t="s">
        <v>21</v>
      </c>
      <c r="C17" s="15"/>
    </row>
    <row r="18" spans="1:3" ht="39.950000000000003" customHeight="1" x14ac:dyDescent="0.25">
      <c r="B18" s="13" t="s">
        <v>22</v>
      </c>
      <c r="C18" s="15"/>
    </row>
    <row r="19" spans="1:3" ht="39.950000000000003" customHeight="1" x14ac:dyDescent="0.25">
      <c r="B19" s="13" t="s">
        <v>23</v>
      </c>
      <c r="C19" s="15"/>
    </row>
    <row r="20" spans="1:3" ht="39.950000000000003" customHeight="1" x14ac:dyDescent="0.25">
      <c r="B20" s="13" t="s">
        <v>24</v>
      </c>
      <c r="C20" s="15"/>
    </row>
    <row r="21" spans="1:3" ht="39.950000000000003" customHeight="1" x14ac:dyDescent="0.25">
      <c r="B21" s="13" t="s">
        <v>25</v>
      </c>
      <c r="C21" s="15"/>
    </row>
    <row r="22" spans="1:3" ht="39.950000000000003" customHeight="1" x14ac:dyDescent="0.25">
      <c r="B22" s="13" t="s">
        <v>26</v>
      </c>
      <c r="C22" s="15"/>
    </row>
    <row r="23" spans="1:3" ht="39.950000000000003" customHeight="1" x14ac:dyDescent="0.25">
      <c r="B23" s="13" t="s">
        <v>27</v>
      </c>
      <c r="C23" s="15"/>
    </row>
    <row r="24" spans="1:3" ht="39.950000000000003" customHeight="1" x14ac:dyDescent="0.25">
      <c r="B24" s="13" t="s">
        <v>28</v>
      </c>
      <c r="C24" s="15"/>
    </row>
    <row r="25" spans="1:3" x14ac:dyDescent="0.25">
      <c r="A25" s="16"/>
    </row>
    <row r="26" spans="1:3" x14ac:dyDescent="0.25">
      <c r="A26" s="16"/>
    </row>
  </sheetData>
  <mergeCells count="2">
    <mergeCell ref="B2:C2"/>
    <mergeCell ref="B3:C5"/>
  </mergeCells>
  <hyperlinks>
    <hyperlink ref="B8" location="'Start'!A1" display="Start" xr:uid="{23D02E41-FBF2-45B2-A34B-5D3A1D2C47E2}"/>
    <hyperlink ref="B9" location="'Daten'!A1" display="Daten" xr:uid="{03D1A405-7AFC-4860-85D8-BE8482F4B43E}"/>
    <hyperlink ref="B10" location="'Plots'!A1" display="Plots" xr:uid="{655EF09E-AE88-4696-8901-9BFE6E7BFFA6}"/>
    <hyperlink ref="B11" location="'Technologiedatenbasis'!A1" display="Technologiedatenbasis" xr:uid="{DFE66252-7853-4864-A117-AB38F2B814BD}"/>
    <hyperlink ref="B12" location="'Verbesserungsfaktoren'!A1" display="Verbesserungsfaktoren" xr:uid="{60731E74-CE6E-412F-AD1B-22E1BA9B6F7E}"/>
    <hyperlink ref="B13" location="'rf_pv_verbindungen'!A1" display="rf_pv_verbindungen" xr:uid="{0CBF0E3C-FEA5-42E2-8A70-643C62709CB7}"/>
    <hyperlink ref="B14" location="'rf_pv_erg'!A1" display="rf_pv_erg" xr:uid="{9EBC84BC-499C-48CC-9CCC-96D48F253051}"/>
    <hyperlink ref="B15" location="'rf_pv_erg_styp'!A1" display="rf_pv_erg_styp" xr:uid="{C6E255D2-1190-4A1B-9BC8-681D3CBC0284}"/>
    <hyperlink ref="B16" location="'rf_pv_erg_styp_Trendszenario'!A1" display="rf_pv_erg_styp_Trendszenario" xr:uid="{5602C0E5-B04E-400C-A755-D0DB52B4DF97}"/>
    <hyperlink ref="B17" location="'rf_pv_erg_ver_Trendszenario'!A1" display="rf_pv_erg_ver_Trendszenario" xr:uid="{D34DF2E2-B948-4A06-AB0D-201B3088942F}"/>
    <hyperlink ref="B18" location="'rf_pv_erg_styp_Klassisch'!A1" display="rf_pv_erg_styp_Klassisch" xr:uid="{C0EADA2A-5C88-4BF7-A43F-F5182292C601}"/>
    <hyperlink ref="B19" location="'rf_pv_erg_ver_Klassisch'!A1" display="rf_pv_erg_ver_Klassisch" xr:uid="{AA032379-69E1-4483-80FA-99394AD5C2E8}"/>
    <hyperlink ref="B20" location="'rf_pv_strecken'!A1" display="rf_pv_strecken" xr:uid="{C261EE78-B8A6-4E0A-8941-7E0707C9DA99}"/>
    <hyperlink ref="B21" location="'rf_pv_städte'!A1" display="rf_pv_städte" xr:uid="{D0CE4B06-E3A1-4A2A-89B7-3C859DCF5C62}"/>
    <hyperlink ref="B22" location="'rf_pv_typen'!A1" display="rf_pv_typen" xr:uid="{3DF567D1-34AE-49C1-B731-8257313CF96E}"/>
    <hyperlink ref="B23" location="'rf_gv'!A1" display="rf_gv" xr:uid="{4E236C22-77FE-4FCB-B108-844CCB4C287F}"/>
    <hyperlink ref="B24" location="'Allgemeine Daten'!A1" display="Allgemeine Daten" xr:uid="{3DB34482-0116-4481-B8EE-ADE7AA00A76A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06EAE-7E8F-44A8-A0D3-F49A1393710D}">
  <sheetPr codeName="Tabelle9"/>
  <dimension ref="A1"/>
  <sheetViews>
    <sheetView zoomScale="38" workbookViewId="0"/>
  </sheetViews>
  <sheetFormatPr baseColWidth="10" defaultColWidth="11.875" defaultRowHeight="15" x14ac:dyDescent="0.25"/>
  <cols>
    <col min="1" max="16384" width="11.875" style="5"/>
  </cols>
  <sheetData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6C25-1AB7-46B6-9E88-4C52C96B4D8F}">
  <dimension ref="A1:AF164"/>
  <sheetViews>
    <sheetView topLeftCell="A70" workbookViewId="0">
      <selection activeCell="D121" sqref="D121"/>
    </sheetView>
  </sheetViews>
  <sheetFormatPr baseColWidth="10" defaultRowHeight="15.75" x14ac:dyDescent="0.25"/>
  <cols>
    <col min="1" max="1" width="30.125" bestFit="1" customWidth="1"/>
    <col min="2" max="2" width="13.625" bestFit="1" customWidth="1"/>
    <col min="3" max="3" width="11.875" bestFit="1" customWidth="1"/>
    <col min="4" max="4" width="160.5" bestFit="1" customWidth="1"/>
    <col min="5" max="5" width="13.625" bestFit="1" customWidth="1"/>
    <col min="6" max="6" width="10.375" bestFit="1" customWidth="1"/>
    <col min="7" max="7" width="15.125" bestFit="1" customWidth="1"/>
    <col min="8" max="8" width="11.875" bestFit="1" customWidth="1"/>
    <col min="9" max="9" width="4.375" bestFit="1" customWidth="1"/>
    <col min="10" max="17" width="11.875" bestFit="1" customWidth="1"/>
    <col min="18" max="18" width="10.875" bestFit="1" customWidth="1"/>
    <col min="19" max="19" width="11.875" bestFit="1" customWidth="1"/>
    <col min="20" max="32" width="5.375" bestFit="1" customWidth="1"/>
  </cols>
  <sheetData>
    <row r="1" spans="1:32" x14ac:dyDescent="0.25">
      <c r="A1" t="s">
        <v>34</v>
      </c>
      <c r="B1" s="35" t="s">
        <v>29</v>
      </c>
      <c r="C1" s="17">
        <f>Technologiedatenbasis!F58*(1/(1-Technologiedatenbasis!$G$65))*Technologiedaten_POD!$D$8/3</f>
        <v>47.286449638826383</v>
      </c>
      <c r="D1" s="17"/>
      <c r="E1" s="17"/>
      <c r="F1" s="17"/>
      <c r="G1" s="17"/>
      <c r="H1" s="17"/>
      <c r="I1" s="17"/>
    </row>
    <row r="2" spans="1:32" x14ac:dyDescent="0.25">
      <c r="A2" t="s">
        <v>34</v>
      </c>
      <c r="B2" s="35" t="s">
        <v>150</v>
      </c>
      <c r="C2" s="17">
        <f>Technologiedatenbasis!F59*(1/(1-Technologiedatenbasis!$G$65))*Technologiedaten_POD!$D$8/3</f>
        <v>0.11584627419055397</v>
      </c>
      <c r="D2" s="17"/>
      <c r="E2" s="17"/>
      <c r="F2" s="17"/>
      <c r="G2" s="17"/>
      <c r="H2" s="17"/>
      <c r="I2" s="17"/>
    </row>
    <row r="3" spans="1:32" x14ac:dyDescent="0.25">
      <c r="A3" t="s">
        <v>34</v>
      </c>
      <c r="B3" s="35" t="s">
        <v>30</v>
      </c>
      <c r="C3" s="17">
        <f>Technologiedatenbasis!F60*(1/(1-Technologiedatenbasis!$G$65))*Technologiedaten_POD!$D$8/3</f>
        <v>0.13607611406856512</v>
      </c>
      <c r="D3" s="17"/>
      <c r="E3" s="17"/>
      <c r="F3" s="17"/>
      <c r="G3" s="17"/>
      <c r="H3" s="17"/>
      <c r="I3" s="17"/>
    </row>
    <row r="4" spans="1:32" x14ac:dyDescent="0.25">
      <c r="A4" t="s">
        <v>34</v>
      </c>
      <c r="B4" s="35" t="s">
        <v>31</v>
      </c>
      <c r="C4" s="17">
        <f>Technologiedatenbasis!F61*(1/(1-Technologiedatenbasis!$G$65))*Technologiedaten_POD!$D$8/3</f>
        <v>0.60678838620370368</v>
      </c>
      <c r="D4" s="17"/>
      <c r="E4" s="17"/>
      <c r="F4" s="17"/>
      <c r="G4" s="17"/>
      <c r="H4" s="17"/>
      <c r="I4" s="17"/>
    </row>
    <row r="5" spans="1:32" x14ac:dyDescent="0.25">
      <c r="A5" t="s">
        <v>34</v>
      </c>
      <c r="B5" s="35" t="s">
        <v>151</v>
      </c>
      <c r="C5" s="17">
        <v>0</v>
      </c>
      <c r="D5" s="17"/>
      <c r="E5" s="17"/>
      <c r="F5" s="17"/>
      <c r="G5" s="17"/>
      <c r="H5" s="17"/>
      <c r="I5" s="17"/>
    </row>
    <row r="6" spans="1:32" x14ac:dyDescent="0.25">
      <c r="A6" t="s">
        <v>34</v>
      </c>
      <c r="B6" s="35" t="s">
        <v>32</v>
      </c>
      <c r="C6" s="17">
        <f>Technologiedatenbasis!G63</f>
        <v>0.87318000000000007</v>
      </c>
      <c r="D6" s="17"/>
      <c r="E6" s="17"/>
      <c r="F6" s="17"/>
      <c r="G6" s="17">
        <v>14.56</v>
      </c>
      <c r="H6" s="17">
        <f>G6/12</f>
        <v>1.2133333333333334</v>
      </c>
      <c r="I6" s="17"/>
    </row>
    <row r="7" spans="1:32" x14ac:dyDescent="0.25">
      <c r="A7" t="s">
        <v>34</v>
      </c>
      <c r="B7" s="35" t="s">
        <v>152</v>
      </c>
      <c r="C7" s="17"/>
      <c r="D7" s="17"/>
      <c r="E7" s="17"/>
      <c r="F7" s="17"/>
      <c r="G7" s="17"/>
      <c r="H7" s="17"/>
      <c r="I7" s="17"/>
    </row>
    <row r="8" spans="1:32" x14ac:dyDescent="0.25">
      <c r="A8" t="s">
        <v>34</v>
      </c>
      <c r="B8" s="35" t="s">
        <v>33</v>
      </c>
      <c r="C8" s="17">
        <v>0.5</v>
      </c>
      <c r="D8" s="17">
        <v>1.1000000000000001</v>
      </c>
      <c r="E8" s="17"/>
      <c r="F8" s="17"/>
      <c r="G8" s="17" t="s">
        <v>420</v>
      </c>
      <c r="H8" s="17">
        <v>1</v>
      </c>
      <c r="I8" s="17">
        <v>1.5</v>
      </c>
      <c r="J8" s="17">
        <v>2</v>
      </c>
      <c r="K8" s="17">
        <v>3</v>
      </c>
      <c r="L8" s="17">
        <v>4</v>
      </c>
      <c r="M8" s="17">
        <v>5</v>
      </c>
      <c r="N8" s="17">
        <v>6</v>
      </c>
      <c r="O8" s="17">
        <v>7</v>
      </c>
      <c r="P8" s="17">
        <v>8</v>
      </c>
      <c r="Q8" s="17">
        <v>9</v>
      </c>
      <c r="R8" s="17">
        <v>10</v>
      </c>
      <c r="S8" s="17">
        <v>11</v>
      </c>
      <c r="T8" s="17">
        <v>12</v>
      </c>
      <c r="U8" s="17">
        <v>13</v>
      </c>
      <c r="V8" s="17">
        <v>14</v>
      </c>
      <c r="W8" s="17">
        <v>15</v>
      </c>
      <c r="X8" s="17">
        <v>16</v>
      </c>
      <c r="Y8" s="17">
        <v>17</v>
      </c>
      <c r="Z8" s="17">
        <v>18</v>
      </c>
      <c r="AA8" s="17">
        <v>19</v>
      </c>
      <c r="AB8" s="17">
        <v>20</v>
      </c>
      <c r="AC8" s="17">
        <v>21</v>
      </c>
      <c r="AD8" s="17">
        <v>22</v>
      </c>
      <c r="AE8" s="17">
        <v>23</v>
      </c>
      <c r="AF8" s="17">
        <v>24</v>
      </c>
    </row>
    <row r="9" spans="1:32" x14ac:dyDescent="0.25">
      <c r="A9" t="s">
        <v>35</v>
      </c>
      <c r="B9" s="35" t="s">
        <v>29</v>
      </c>
      <c r="C9" s="17">
        <f>Technologiedatenbasis!G26*((1-$C$16)/(1-Technologiedatenbasis!$G$33))*$D$16</f>
        <v>34.986996835443044</v>
      </c>
      <c r="D9" s="17"/>
      <c r="E9" s="17"/>
      <c r="F9" s="17" t="s">
        <v>422</v>
      </c>
      <c r="G9" s="17" t="s">
        <v>421</v>
      </c>
      <c r="H9" s="17">
        <f>$H$6*2/H8</f>
        <v>2.4266666666666667</v>
      </c>
      <c r="I9" s="17">
        <f>$H$6*2/I8</f>
        <v>1.6177777777777778</v>
      </c>
      <c r="J9" s="17">
        <f t="shared" ref="J9:X9" si="0">$H$6*2/J8</f>
        <v>1.2133333333333334</v>
      </c>
      <c r="K9" s="17">
        <f t="shared" si="0"/>
        <v>0.80888888888888888</v>
      </c>
      <c r="L9" s="17">
        <f t="shared" si="0"/>
        <v>0.60666666666666669</v>
      </c>
      <c r="M9" s="17">
        <f t="shared" si="0"/>
        <v>0.48533333333333334</v>
      </c>
      <c r="N9" s="17">
        <f t="shared" si="0"/>
        <v>0.40444444444444444</v>
      </c>
      <c r="O9" s="17">
        <f t="shared" si="0"/>
        <v>0.34666666666666668</v>
      </c>
      <c r="P9" s="17">
        <f t="shared" si="0"/>
        <v>0.30333333333333334</v>
      </c>
      <c r="Q9" s="17">
        <f t="shared" si="0"/>
        <v>0.26962962962962966</v>
      </c>
      <c r="R9" s="17">
        <f t="shared" si="0"/>
        <v>0.24266666666666667</v>
      </c>
      <c r="S9" s="17">
        <f t="shared" si="0"/>
        <v>0.22060606060606061</v>
      </c>
      <c r="T9" s="17">
        <f t="shared" si="0"/>
        <v>0.20222222222222222</v>
      </c>
      <c r="U9" s="121">
        <f t="shared" si="0"/>
        <v>0.18666666666666668</v>
      </c>
      <c r="V9" s="17">
        <f t="shared" si="0"/>
        <v>0.17333333333333334</v>
      </c>
      <c r="W9" s="17">
        <f t="shared" si="0"/>
        <v>0.16177777777777777</v>
      </c>
      <c r="X9" s="121">
        <f t="shared" si="0"/>
        <v>0.15166666666666667</v>
      </c>
      <c r="Y9" s="17">
        <f t="shared" ref="Y9" si="1">$H$6*2/Y8</f>
        <v>0.1427450980392157</v>
      </c>
      <c r="Z9" s="17">
        <f t="shared" ref="Z9" si="2">$H$6*2/Z8</f>
        <v>0.13481481481481483</v>
      </c>
      <c r="AA9" s="17">
        <f t="shared" ref="AA9" si="3">$H$6*2/AA8</f>
        <v>0.12771929824561404</v>
      </c>
      <c r="AB9" s="17">
        <f t="shared" ref="AB9" si="4">$H$6*2/AB8</f>
        <v>0.12133333333333333</v>
      </c>
      <c r="AC9" s="17">
        <f t="shared" ref="AC9" si="5">$H$6*2/AC8</f>
        <v>0.11555555555555556</v>
      </c>
      <c r="AD9" s="17">
        <f t="shared" ref="AD9" si="6">$H$6*2/AD8</f>
        <v>0.11030303030303031</v>
      </c>
      <c r="AE9" s="17">
        <f t="shared" ref="AE9" si="7">$H$6*2/AE8</f>
        <v>0.10550724637681159</v>
      </c>
      <c r="AF9" s="17">
        <f t="shared" ref="AF9" si="8">$H$6*2/AF8</f>
        <v>0.10111111111111111</v>
      </c>
    </row>
    <row r="10" spans="1:32" x14ac:dyDescent="0.25">
      <c r="A10" t="s">
        <v>35</v>
      </c>
      <c r="B10" s="35" t="s">
        <v>150</v>
      </c>
      <c r="C10" s="17">
        <f>Technologiedatenbasis!G27*((1-$C$16)/(1-Technologiedatenbasis!$G$33))*$D$16</f>
        <v>0.13061812151898736</v>
      </c>
      <c r="D10" s="17"/>
      <c r="E10" s="17"/>
      <c r="F10" s="17" t="s">
        <v>423</v>
      </c>
      <c r="G10" s="17" t="s">
        <v>421</v>
      </c>
      <c r="H10" s="17">
        <f>$H$6/H8</f>
        <v>1.2133333333333334</v>
      </c>
      <c r="I10" s="121">
        <f>$H$6/I8</f>
        <v>0.80888888888888888</v>
      </c>
      <c r="J10" s="17">
        <f t="shared" ref="J10:AF10" si="9">$H$6/J8</f>
        <v>0.60666666666666669</v>
      </c>
      <c r="K10" s="17">
        <f t="shared" si="9"/>
        <v>0.40444444444444444</v>
      </c>
      <c r="L10" s="17">
        <f t="shared" si="9"/>
        <v>0.30333333333333334</v>
      </c>
      <c r="M10" s="17">
        <f t="shared" si="9"/>
        <v>0.24266666666666667</v>
      </c>
      <c r="N10" s="17">
        <f t="shared" si="9"/>
        <v>0.20222222222222222</v>
      </c>
      <c r="O10" s="17">
        <f t="shared" si="9"/>
        <v>0.17333333333333334</v>
      </c>
      <c r="P10" s="17">
        <f t="shared" si="9"/>
        <v>0.15166666666666667</v>
      </c>
      <c r="Q10" s="17">
        <f t="shared" si="9"/>
        <v>0.13481481481481483</v>
      </c>
      <c r="R10" s="17">
        <f t="shared" si="9"/>
        <v>0.12133333333333333</v>
      </c>
      <c r="S10" s="17">
        <f t="shared" si="9"/>
        <v>0.11030303030303031</v>
      </c>
      <c r="T10" s="17">
        <f t="shared" si="9"/>
        <v>0.10111111111111111</v>
      </c>
      <c r="U10" s="17">
        <f t="shared" si="9"/>
        <v>9.3333333333333338E-2</v>
      </c>
      <c r="V10" s="17">
        <f t="shared" si="9"/>
        <v>8.666666666666667E-2</v>
      </c>
      <c r="W10" s="17">
        <f t="shared" si="9"/>
        <v>8.0888888888888885E-2</v>
      </c>
      <c r="X10" s="17">
        <f t="shared" si="9"/>
        <v>7.5833333333333336E-2</v>
      </c>
      <c r="Y10" s="17">
        <f t="shared" si="9"/>
        <v>7.137254901960785E-2</v>
      </c>
      <c r="Z10" s="17">
        <f t="shared" si="9"/>
        <v>6.7407407407407416E-2</v>
      </c>
      <c r="AA10" s="17">
        <f t="shared" si="9"/>
        <v>6.3859649122807019E-2</v>
      </c>
      <c r="AB10" s="17">
        <f t="shared" si="9"/>
        <v>6.0666666666666667E-2</v>
      </c>
      <c r="AC10" s="17">
        <f t="shared" si="9"/>
        <v>5.7777777777777782E-2</v>
      </c>
      <c r="AD10" s="17">
        <f t="shared" si="9"/>
        <v>5.5151515151515153E-2</v>
      </c>
      <c r="AE10" s="17">
        <f t="shared" si="9"/>
        <v>5.2753623188405797E-2</v>
      </c>
      <c r="AF10" s="17">
        <f t="shared" si="9"/>
        <v>5.0555555555555555E-2</v>
      </c>
    </row>
    <row r="11" spans="1:32" x14ac:dyDescent="0.25">
      <c r="A11" t="s">
        <v>35</v>
      </c>
      <c r="B11" s="35" t="s">
        <v>30</v>
      </c>
      <c r="C11" s="17">
        <f>Technologiedatenbasis!G28*((1-$C$16)/(1-Technologiedatenbasis!$G$33))*$D$16</f>
        <v>9.329865822784812E-4</v>
      </c>
      <c r="D11" s="17"/>
      <c r="E11" s="17"/>
      <c r="F11" s="17"/>
      <c r="G11" s="17"/>
      <c r="H11" s="17"/>
      <c r="I11" s="17"/>
    </row>
    <row r="12" spans="1:32" x14ac:dyDescent="0.25">
      <c r="A12" t="s">
        <v>35</v>
      </c>
      <c r="B12" s="35" t="s">
        <v>31</v>
      </c>
      <c r="C12" s="17">
        <f>Technologiedatenbasis!G29*((1-$C$16)/(1-Technologiedatenbasis!$G$33))*$D$16</f>
        <v>0.46649329113924054</v>
      </c>
      <c r="D12" s="17"/>
      <c r="E12" s="17"/>
      <c r="F12" s="17"/>
      <c r="G12" s="17"/>
      <c r="H12" s="17"/>
      <c r="I12" s="17"/>
    </row>
    <row r="13" spans="1:32" x14ac:dyDescent="0.25">
      <c r="A13" t="s">
        <v>35</v>
      </c>
      <c r="B13" s="35" t="s">
        <v>151</v>
      </c>
      <c r="C13" s="17">
        <v>0</v>
      </c>
      <c r="D13" s="17"/>
      <c r="E13" s="17"/>
      <c r="F13" s="17"/>
      <c r="G13" s="17"/>
      <c r="H13" s="17"/>
      <c r="I13" s="17"/>
    </row>
    <row r="14" spans="1:32" x14ac:dyDescent="0.25">
      <c r="A14" t="s">
        <v>35</v>
      </c>
      <c r="B14" s="35" t="s">
        <v>32</v>
      </c>
      <c r="C14" s="17">
        <f>Technologiedatenbasis!G31</f>
        <v>0.31752000000000002</v>
      </c>
      <c r="D14" s="17"/>
      <c r="E14" s="17"/>
      <c r="F14" s="17"/>
      <c r="G14" s="17"/>
      <c r="H14" s="17"/>
      <c r="I14" s="17"/>
    </row>
    <row r="15" spans="1:32" x14ac:dyDescent="0.25">
      <c r="A15" t="s">
        <v>35</v>
      </c>
      <c r="B15" s="35" t="s">
        <v>152</v>
      </c>
      <c r="C15" s="17"/>
      <c r="D15" s="17"/>
      <c r="E15" s="17"/>
      <c r="F15" s="17"/>
      <c r="G15" s="17"/>
      <c r="H15" s="17"/>
      <c r="I15" s="17"/>
    </row>
    <row r="16" spans="1:32" x14ac:dyDescent="0.25">
      <c r="A16" t="s">
        <v>35</v>
      </c>
      <c r="B16" s="35" t="s">
        <v>33</v>
      </c>
      <c r="C16" s="17">
        <v>0.5</v>
      </c>
      <c r="D16" s="17">
        <v>1.1000000000000001</v>
      </c>
      <c r="E16" s="17"/>
      <c r="F16" s="17"/>
      <c r="G16" s="17"/>
      <c r="H16" s="17"/>
      <c r="I16" s="17"/>
    </row>
    <row r="17" spans="1:9" x14ac:dyDescent="0.25">
      <c r="A17" t="s">
        <v>414</v>
      </c>
      <c r="B17" s="35" t="s">
        <v>29</v>
      </c>
      <c r="C17" s="17">
        <f>Technologiedatenbasis!F50*((1-$C$24)/(1-Technologiedatenbasis!$F$57))*$D$24</f>
        <v>12.833728027397264</v>
      </c>
      <c r="D17" s="17"/>
      <c r="E17" s="17"/>
      <c r="F17" s="17"/>
      <c r="G17" s="17"/>
      <c r="H17" s="17"/>
      <c r="I17" s="17"/>
    </row>
    <row r="18" spans="1:9" x14ac:dyDescent="0.25">
      <c r="A18" t="s">
        <v>414</v>
      </c>
      <c r="B18" s="35" t="s">
        <v>150</v>
      </c>
      <c r="C18" s="17">
        <f>Technologiedatenbasis!F51*((1-$C$24)/(1-Technologiedatenbasis!$F$57))*$D$24</f>
        <v>2.8963277260273977E-3</v>
      </c>
      <c r="D18" s="17"/>
      <c r="E18" s="17"/>
      <c r="F18" s="17"/>
      <c r="G18" s="17"/>
      <c r="H18" s="17"/>
      <c r="I18" s="17"/>
    </row>
    <row r="19" spans="1:9" x14ac:dyDescent="0.25">
      <c r="A19" t="s">
        <v>414</v>
      </c>
      <c r="B19" s="35" t="s">
        <v>30</v>
      </c>
      <c r="C19" s="17">
        <f>Technologiedatenbasis!F52*((1-$C$24)/(1-Technologiedatenbasis!$F$57))*$D$24</f>
        <v>4.9936684931506868E-5</v>
      </c>
      <c r="D19" s="17"/>
      <c r="E19" s="17"/>
      <c r="F19" s="17"/>
      <c r="G19" s="17"/>
      <c r="H19" s="17"/>
      <c r="I19" s="17"/>
    </row>
    <row r="20" spans="1:9" x14ac:dyDescent="0.25">
      <c r="A20" t="s">
        <v>414</v>
      </c>
      <c r="B20" s="35" t="s">
        <v>31</v>
      </c>
      <c r="C20" s="17">
        <f>Technologiedatenbasis!F53*((1-$C$24)/(1-Technologiedatenbasis!$F$57))*$D$24</f>
        <v>0.49936684931506864</v>
      </c>
      <c r="D20" s="17"/>
      <c r="E20" s="17"/>
      <c r="F20" s="17"/>
      <c r="G20" s="17"/>
      <c r="H20" s="17"/>
      <c r="I20" s="17"/>
    </row>
    <row r="21" spans="1:9" x14ac:dyDescent="0.25">
      <c r="A21" t="s">
        <v>414</v>
      </c>
      <c r="B21" s="35" t="s">
        <v>151</v>
      </c>
      <c r="C21" s="17">
        <v>0</v>
      </c>
      <c r="D21" s="17"/>
      <c r="E21" s="17"/>
      <c r="F21" s="17"/>
      <c r="G21" s="17"/>
      <c r="H21" s="17"/>
      <c r="I21" s="17"/>
    </row>
    <row r="22" spans="1:9" x14ac:dyDescent="0.25">
      <c r="A22" t="s">
        <v>414</v>
      </c>
      <c r="B22" s="35" t="s">
        <v>32</v>
      </c>
      <c r="C22" s="17">
        <f>Technologiedatenbasis!F55</f>
        <v>0.64000000000000012</v>
      </c>
      <c r="D22" s="17"/>
      <c r="E22" s="17"/>
      <c r="F22" s="17"/>
      <c r="G22" s="17"/>
      <c r="H22" s="17"/>
      <c r="I22" s="17"/>
    </row>
    <row r="23" spans="1:9" x14ac:dyDescent="0.25">
      <c r="A23" t="s">
        <v>414</v>
      </c>
      <c r="B23" s="35" t="s">
        <v>152</v>
      </c>
      <c r="C23" s="17"/>
      <c r="D23" s="17"/>
      <c r="E23" s="17"/>
      <c r="F23" s="17"/>
      <c r="G23" s="17"/>
      <c r="H23" s="17"/>
      <c r="I23" s="17"/>
    </row>
    <row r="24" spans="1:9" x14ac:dyDescent="0.25">
      <c r="A24" t="s">
        <v>414</v>
      </c>
      <c r="B24" s="35" t="s">
        <v>33</v>
      </c>
      <c r="C24" s="17">
        <v>0.43</v>
      </c>
      <c r="D24" s="17">
        <v>1.1000000000000001</v>
      </c>
      <c r="E24" s="17"/>
      <c r="F24" s="17"/>
      <c r="G24" s="17"/>
      <c r="H24" s="17"/>
      <c r="I24" s="17"/>
    </row>
    <row r="25" spans="1:9" x14ac:dyDescent="0.25">
      <c r="A25" t="s">
        <v>415</v>
      </c>
      <c r="B25" s="35" t="s">
        <v>29</v>
      </c>
      <c r="C25" s="17">
        <f>Technologiedatenbasis!F50*((1-$C$32)/(1-Technologiedatenbasis!$F$57))*$D$32</f>
        <v>11.257656164383562</v>
      </c>
      <c r="D25" s="17"/>
      <c r="E25" s="17"/>
      <c r="F25" s="17"/>
      <c r="G25" s="17"/>
      <c r="H25" s="17"/>
      <c r="I25" s="17"/>
    </row>
    <row r="26" spans="1:9" x14ac:dyDescent="0.25">
      <c r="A26" t="s">
        <v>415</v>
      </c>
      <c r="B26" s="35" t="s">
        <v>150</v>
      </c>
      <c r="C26" s="17">
        <f>Technologiedatenbasis!F51*((1-$C$32)/(1-Technologiedatenbasis!$F$57))*$D$32</f>
        <v>2.5406383561643832E-3</v>
      </c>
      <c r="D26" s="17"/>
      <c r="E26" s="17"/>
      <c r="F26" s="17"/>
      <c r="G26" s="17"/>
      <c r="H26" s="17"/>
      <c r="I26" s="17"/>
    </row>
    <row r="27" spans="1:9" x14ac:dyDescent="0.25">
      <c r="A27" t="s">
        <v>415</v>
      </c>
      <c r="B27" s="35" t="s">
        <v>30</v>
      </c>
      <c r="C27" s="17">
        <f>Technologiedatenbasis!F52*((1-$C$32)/(1-Technologiedatenbasis!$F$57))*$D$32</f>
        <v>4.3804109589041098E-5</v>
      </c>
      <c r="D27" s="17"/>
      <c r="E27" s="17"/>
      <c r="F27" s="17"/>
      <c r="G27" s="17"/>
      <c r="H27" s="17"/>
      <c r="I27" s="17"/>
    </row>
    <row r="28" spans="1:9" x14ac:dyDescent="0.25">
      <c r="A28" t="s">
        <v>415</v>
      </c>
      <c r="B28" s="35" t="s">
        <v>31</v>
      </c>
      <c r="C28" s="17">
        <f>Technologiedatenbasis!F53*((1-$C$32)/(1-Technologiedatenbasis!$F$57))*$D$32</f>
        <v>0.43804109589041096</v>
      </c>
      <c r="D28" s="17"/>
      <c r="E28" s="17"/>
      <c r="F28" s="17"/>
      <c r="G28" s="17"/>
      <c r="H28" s="17"/>
      <c r="I28" s="17"/>
    </row>
    <row r="29" spans="1:9" x14ac:dyDescent="0.25">
      <c r="A29" t="s">
        <v>415</v>
      </c>
      <c r="B29" s="35" t="s">
        <v>151</v>
      </c>
      <c r="C29" s="17"/>
      <c r="D29" s="17"/>
      <c r="E29" s="17"/>
      <c r="F29" s="17"/>
      <c r="G29" s="17"/>
      <c r="H29" s="17"/>
      <c r="I29" s="17"/>
    </row>
    <row r="30" spans="1:9" x14ac:dyDescent="0.25">
      <c r="A30" t="s">
        <v>415</v>
      </c>
      <c r="B30" s="35" t="s">
        <v>32</v>
      </c>
      <c r="C30" s="17"/>
      <c r="D30" s="17"/>
      <c r="E30" s="17"/>
      <c r="F30" s="17"/>
      <c r="G30" s="17"/>
      <c r="H30" s="17"/>
      <c r="I30" s="17"/>
    </row>
    <row r="31" spans="1:9" x14ac:dyDescent="0.25">
      <c r="A31" t="s">
        <v>415</v>
      </c>
      <c r="B31" s="35" t="s">
        <v>152</v>
      </c>
      <c r="C31" s="17"/>
      <c r="D31" s="17"/>
      <c r="E31" s="17"/>
      <c r="F31" s="17"/>
      <c r="G31" s="17"/>
      <c r="H31" s="17"/>
      <c r="I31" s="17"/>
    </row>
    <row r="32" spans="1:9" x14ac:dyDescent="0.25">
      <c r="A32" t="s">
        <v>415</v>
      </c>
      <c r="B32" s="35" t="s">
        <v>33</v>
      </c>
      <c r="C32" s="17">
        <v>0.5</v>
      </c>
      <c r="D32" s="17">
        <v>1.1000000000000001</v>
      </c>
      <c r="E32" s="17"/>
      <c r="F32" s="17"/>
      <c r="G32" s="17"/>
      <c r="H32" s="17"/>
      <c r="I32" s="17"/>
    </row>
    <row r="33" spans="1:9" x14ac:dyDescent="0.25">
      <c r="A33" t="s">
        <v>416</v>
      </c>
      <c r="B33" s="35" t="s">
        <v>29</v>
      </c>
      <c r="C33" s="17"/>
      <c r="D33" s="17"/>
      <c r="E33" s="17"/>
      <c r="F33" s="17"/>
      <c r="G33" s="17"/>
      <c r="H33" s="17"/>
      <c r="I33" s="17"/>
    </row>
    <row r="34" spans="1:9" x14ac:dyDescent="0.25">
      <c r="A34" t="s">
        <v>416</v>
      </c>
      <c r="B34" s="35" t="s">
        <v>150</v>
      </c>
      <c r="C34" s="17"/>
      <c r="D34" s="17"/>
      <c r="E34" s="17"/>
      <c r="F34" s="17"/>
      <c r="G34" s="17"/>
      <c r="H34" s="17"/>
      <c r="I34" s="17"/>
    </row>
    <row r="35" spans="1:9" x14ac:dyDescent="0.25">
      <c r="A35" t="s">
        <v>416</v>
      </c>
      <c r="B35" s="35" t="s">
        <v>30</v>
      </c>
      <c r="C35" s="17"/>
      <c r="D35" s="17"/>
      <c r="E35" s="17"/>
      <c r="F35" s="17"/>
      <c r="G35" s="17"/>
      <c r="H35" s="17"/>
      <c r="I35" s="17"/>
    </row>
    <row r="36" spans="1:9" x14ac:dyDescent="0.25">
      <c r="A36" t="s">
        <v>416</v>
      </c>
      <c r="B36" s="35" t="s">
        <v>31</v>
      </c>
      <c r="C36" s="17"/>
      <c r="D36" s="17"/>
      <c r="E36" s="17"/>
      <c r="F36" s="17"/>
      <c r="G36" s="17"/>
      <c r="H36" s="17"/>
      <c r="I36" s="17"/>
    </row>
    <row r="37" spans="1:9" x14ac:dyDescent="0.25">
      <c r="A37" t="s">
        <v>416</v>
      </c>
      <c r="B37" s="35" t="s">
        <v>151</v>
      </c>
      <c r="C37" s="17"/>
      <c r="D37" s="17"/>
      <c r="E37" s="17"/>
      <c r="F37" s="17"/>
      <c r="G37" s="17"/>
      <c r="H37" s="17"/>
      <c r="I37" s="17"/>
    </row>
    <row r="38" spans="1:9" x14ac:dyDescent="0.25">
      <c r="A38" t="s">
        <v>416</v>
      </c>
      <c r="B38" s="35" t="s">
        <v>32</v>
      </c>
      <c r="C38" s="17"/>
      <c r="D38" s="17"/>
      <c r="E38" s="17"/>
      <c r="F38" s="17"/>
      <c r="G38" s="17"/>
      <c r="H38" s="17"/>
      <c r="I38" s="17"/>
    </row>
    <row r="39" spans="1:9" x14ac:dyDescent="0.25">
      <c r="A39" t="s">
        <v>416</v>
      </c>
      <c r="B39" s="35" t="s">
        <v>152</v>
      </c>
      <c r="C39" s="17"/>
      <c r="D39" s="17"/>
      <c r="E39" s="17"/>
      <c r="F39" s="17"/>
      <c r="G39" s="17"/>
      <c r="H39" s="17"/>
      <c r="I39" s="17"/>
    </row>
    <row r="40" spans="1:9" x14ac:dyDescent="0.25">
      <c r="A40" t="s">
        <v>416</v>
      </c>
      <c r="B40" s="35" t="s">
        <v>33</v>
      </c>
      <c r="C40" s="17"/>
      <c r="D40" s="17"/>
      <c r="E40" s="17"/>
      <c r="F40" s="17"/>
      <c r="G40" s="17"/>
      <c r="H40" s="17"/>
      <c r="I40" s="17"/>
    </row>
    <row r="41" spans="1:9" x14ac:dyDescent="0.25">
      <c r="A41" t="s">
        <v>417</v>
      </c>
      <c r="B41" s="35" t="s">
        <v>29</v>
      </c>
      <c r="C41" s="17"/>
      <c r="D41" s="17"/>
      <c r="E41" s="17"/>
      <c r="F41" s="17"/>
      <c r="G41" s="17"/>
      <c r="H41" s="17"/>
      <c r="I41" s="17"/>
    </row>
    <row r="42" spans="1:9" x14ac:dyDescent="0.25">
      <c r="A42" t="s">
        <v>417</v>
      </c>
      <c r="B42" s="35" t="s">
        <v>150</v>
      </c>
      <c r="C42" s="17"/>
      <c r="D42" s="17"/>
      <c r="E42" s="17"/>
      <c r="F42" s="17"/>
      <c r="G42" s="17"/>
      <c r="H42" s="17"/>
      <c r="I42" s="17"/>
    </row>
    <row r="43" spans="1:9" x14ac:dyDescent="0.25">
      <c r="A43" t="s">
        <v>417</v>
      </c>
      <c r="B43" s="35" t="s">
        <v>30</v>
      </c>
      <c r="C43" s="17"/>
      <c r="D43" s="17"/>
      <c r="E43" s="17"/>
      <c r="F43" s="17"/>
      <c r="G43" s="17"/>
      <c r="H43" s="17"/>
      <c r="I43" s="17"/>
    </row>
    <row r="44" spans="1:9" x14ac:dyDescent="0.25">
      <c r="A44" t="s">
        <v>417</v>
      </c>
      <c r="B44" s="35" t="s">
        <v>31</v>
      </c>
      <c r="C44" s="17"/>
      <c r="D44" s="17"/>
      <c r="E44" s="17"/>
      <c r="F44" s="17"/>
      <c r="G44" s="17"/>
      <c r="H44" s="17"/>
      <c r="I44" s="17"/>
    </row>
    <row r="45" spans="1:9" x14ac:dyDescent="0.25">
      <c r="A45" t="s">
        <v>417</v>
      </c>
      <c r="B45" s="35" t="s">
        <v>151</v>
      </c>
      <c r="C45" s="17"/>
      <c r="D45" s="17"/>
      <c r="E45" s="17"/>
      <c r="F45" s="17"/>
      <c r="G45" s="17"/>
      <c r="H45" s="17"/>
      <c r="I45" s="17"/>
    </row>
    <row r="46" spans="1:9" x14ac:dyDescent="0.25">
      <c r="A46" t="s">
        <v>417</v>
      </c>
      <c r="B46" s="35" t="s">
        <v>32</v>
      </c>
      <c r="C46" s="17"/>
      <c r="D46" s="17"/>
      <c r="E46" s="17"/>
      <c r="F46" s="17"/>
      <c r="G46" s="17"/>
      <c r="H46" s="17"/>
      <c r="I46" s="17"/>
    </row>
    <row r="47" spans="1:9" x14ac:dyDescent="0.25">
      <c r="A47" t="s">
        <v>417</v>
      </c>
      <c r="B47" s="35" t="s">
        <v>152</v>
      </c>
      <c r="C47" s="17"/>
      <c r="D47" s="17"/>
      <c r="E47" s="17"/>
      <c r="F47" s="17"/>
      <c r="G47" s="17"/>
      <c r="H47" s="17"/>
      <c r="I47" s="17"/>
    </row>
    <row r="48" spans="1:9" x14ac:dyDescent="0.25">
      <c r="A48" t="s">
        <v>417</v>
      </c>
      <c r="B48" s="35" t="s">
        <v>33</v>
      </c>
    </row>
    <row r="49" spans="1:2" x14ac:dyDescent="0.25">
      <c r="A49" t="s">
        <v>419</v>
      </c>
      <c r="B49" s="35" t="s">
        <v>29</v>
      </c>
    </row>
    <row r="50" spans="1:2" x14ac:dyDescent="0.25">
      <c r="A50" t="s">
        <v>419</v>
      </c>
      <c r="B50" s="35" t="s">
        <v>150</v>
      </c>
    </row>
    <row r="51" spans="1:2" x14ac:dyDescent="0.25">
      <c r="A51" t="s">
        <v>419</v>
      </c>
      <c r="B51" s="35" t="s">
        <v>30</v>
      </c>
    </row>
    <row r="52" spans="1:2" x14ac:dyDescent="0.25">
      <c r="A52" t="s">
        <v>419</v>
      </c>
      <c r="B52" s="35" t="s">
        <v>31</v>
      </c>
    </row>
    <row r="53" spans="1:2" x14ac:dyDescent="0.25">
      <c r="A53" t="s">
        <v>419</v>
      </c>
      <c r="B53" s="35" t="s">
        <v>151</v>
      </c>
    </row>
    <row r="54" spans="1:2" x14ac:dyDescent="0.25">
      <c r="A54" t="s">
        <v>419</v>
      </c>
      <c r="B54" s="35" t="s">
        <v>32</v>
      </c>
    </row>
    <row r="55" spans="1:2" x14ac:dyDescent="0.25">
      <c r="A55" t="s">
        <v>419</v>
      </c>
      <c r="B55" s="35" t="s">
        <v>152</v>
      </c>
    </row>
    <row r="56" spans="1:2" x14ac:dyDescent="0.25">
      <c r="A56" t="s">
        <v>419</v>
      </c>
      <c r="B56" s="35" t="s">
        <v>33</v>
      </c>
    </row>
    <row r="57" spans="1:2" x14ac:dyDescent="0.25">
      <c r="A57" s="119" t="s">
        <v>418</v>
      </c>
      <c r="B57" s="35" t="s">
        <v>29</v>
      </c>
    </row>
    <row r="58" spans="1:2" x14ac:dyDescent="0.25">
      <c r="A58" s="119" t="s">
        <v>418</v>
      </c>
      <c r="B58" s="35" t="s">
        <v>150</v>
      </c>
    </row>
    <row r="59" spans="1:2" x14ac:dyDescent="0.25">
      <c r="A59" s="119" t="s">
        <v>418</v>
      </c>
      <c r="B59" s="35" t="s">
        <v>30</v>
      </c>
    </row>
    <row r="60" spans="1:2" x14ac:dyDescent="0.25">
      <c r="A60" s="119" t="s">
        <v>418</v>
      </c>
      <c r="B60" s="35" t="s">
        <v>31</v>
      </c>
    </row>
    <row r="61" spans="1:2" x14ac:dyDescent="0.25">
      <c r="A61" s="119" t="s">
        <v>418</v>
      </c>
      <c r="B61" s="35" t="s">
        <v>151</v>
      </c>
    </row>
    <row r="62" spans="1:2" x14ac:dyDescent="0.25">
      <c r="A62" s="119" t="s">
        <v>418</v>
      </c>
      <c r="B62" s="35" t="s">
        <v>32</v>
      </c>
    </row>
    <row r="63" spans="1:2" x14ac:dyDescent="0.25">
      <c r="A63" s="119" t="s">
        <v>418</v>
      </c>
      <c r="B63" s="35" t="s">
        <v>152</v>
      </c>
    </row>
    <row r="64" spans="1:2" x14ac:dyDescent="0.25">
      <c r="A64" s="119" t="s">
        <v>418</v>
      </c>
      <c r="B64" s="35" t="s">
        <v>33</v>
      </c>
    </row>
    <row r="71" spans="1:4" x14ac:dyDescent="0.25">
      <c r="A71" s="18" t="s">
        <v>38</v>
      </c>
    </row>
    <row r="72" spans="1:4" x14ac:dyDescent="0.25">
      <c r="A72" t="s">
        <v>39</v>
      </c>
      <c r="B72">
        <v>3.8</v>
      </c>
      <c r="C72" t="s">
        <v>40</v>
      </c>
      <c r="D72" t="s">
        <v>41</v>
      </c>
    </row>
    <row r="73" spans="1:4" x14ac:dyDescent="0.25">
      <c r="A73" t="s">
        <v>42</v>
      </c>
      <c r="B73" s="19">
        <v>0.5</v>
      </c>
    </row>
    <row r="74" spans="1:4" x14ac:dyDescent="0.25">
      <c r="A74" t="s">
        <v>43</v>
      </c>
      <c r="B74">
        <v>7.6</v>
      </c>
      <c r="C74" t="s">
        <v>40</v>
      </c>
      <c r="D74" t="s">
        <v>41</v>
      </c>
    </row>
    <row r="75" spans="1:4" x14ac:dyDescent="0.25">
      <c r="A75" t="s">
        <v>44</v>
      </c>
      <c r="B75" s="19">
        <v>0.3</v>
      </c>
    </row>
    <row r="76" spans="1:4" x14ac:dyDescent="0.25">
      <c r="A76" t="s">
        <v>45</v>
      </c>
      <c r="B76">
        <v>9.6</v>
      </c>
      <c r="C76" t="s">
        <v>40</v>
      </c>
      <c r="D76" t="s">
        <v>41</v>
      </c>
    </row>
    <row r="77" spans="1:4" x14ac:dyDescent="0.25">
      <c r="A77" t="s">
        <v>46</v>
      </c>
      <c r="B77" s="19">
        <v>0.2</v>
      </c>
    </row>
    <row r="78" spans="1:4" x14ac:dyDescent="0.25">
      <c r="A78" t="s">
        <v>47</v>
      </c>
      <c r="B78">
        <v>21</v>
      </c>
      <c r="C78" t="s">
        <v>40</v>
      </c>
      <c r="D78" t="s">
        <v>41</v>
      </c>
    </row>
    <row r="79" spans="1:4" x14ac:dyDescent="0.25">
      <c r="D79" s="20"/>
    </row>
    <row r="80" spans="1:4" x14ac:dyDescent="0.25">
      <c r="A80" s="18" t="s">
        <v>48</v>
      </c>
    </row>
    <row r="81" spans="1:19" x14ac:dyDescent="0.25">
      <c r="A81" t="s">
        <v>49</v>
      </c>
      <c r="B81">
        <v>270000</v>
      </c>
      <c r="C81" t="s">
        <v>50</v>
      </c>
      <c r="D81" s="20" t="s">
        <v>51</v>
      </c>
    </row>
    <row r="82" spans="1:19" x14ac:dyDescent="0.25">
      <c r="A82" t="s">
        <v>52</v>
      </c>
      <c r="B82">
        <v>3.1</v>
      </c>
      <c r="C82" t="s">
        <v>53</v>
      </c>
      <c r="D82" s="20" t="s">
        <v>54</v>
      </c>
    </row>
    <row r="83" spans="1:19" x14ac:dyDescent="0.25">
      <c r="A83" t="s">
        <v>55</v>
      </c>
      <c r="B83">
        <f>B82*B81</f>
        <v>837000</v>
      </c>
      <c r="C83" t="s">
        <v>56</v>
      </c>
    </row>
    <row r="84" spans="1:19" x14ac:dyDescent="0.25">
      <c r="A84" t="s">
        <v>57</v>
      </c>
      <c r="B84">
        <v>12</v>
      </c>
      <c r="C84" t="s">
        <v>58</v>
      </c>
      <c r="D84" t="s">
        <v>41</v>
      </c>
    </row>
    <row r="86" spans="1:19" x14ac:dyDescent="0.25">
      <c r="A86" s="18" t="s">
        <v>59</v>
      </c>
    </row>
    <row r="87" spans="1:19" x14ac:dyDescent="0.25">
      <c r="A87" t="s">
        <v>60</v>
      </c>
      <c r="B87" s="21">
        <f>$B$83*B73</f>
        <v>418500</v>
      </c>
      <c r="C87" t="s">
        <v>56</v>
      </c>
    </row>
    <row r="88" spans="1:19" x14ac:dyDescent="0.25">
      <c r="A88" t="s">
        <v>61</v>
      </c>
      <c r="B88" s="21">
        <f>$B$83*B75</f>
        <v>251100</v>
      </c>
      <c r="C88" t="s">
        <v>56</v>
      </c>
    </row>
    <row r="89" spans="1:19" x14ac:dyDescent="0.25">
      <c r="A89" t="s">
        <v>62</v>
      </c>
      <c r="B89" s="21">
        <f>$B$83*B77</f>
        <v>167400</v>
      </c>
      <c r="C89" t="s">
        <v>56</v>
      </c>
    </row>
    <row r="90" spans="1:19" x14ac:dyDescent="0.25">
      <c r="A90" t="s">
        <v>63</v>
      </c>
      <c r="B90" s="21">
        <f>MAX((B87/B72),(B88/B74),(B89/B76))</f>
        <v>110131.57894736843</v>
      </c>
      <c r="C90" t="s">
        <v>64</v>
      </c>
    </row>
    <row r="91" spans="1:19" x14ac:dyDescent="0.25">
      <c r="A91" t="s">
        <v>65</v>
      </c>
      <c r="B91" s="21">
        <f>B90*B95</f>
        <v>88105.263157894748</v>
      </c>
      <c r="C91" t="s">
        <v>64</v>
      </c>
    </row>
    <row r="92" spans="1:19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9" x14ac:dyDescent="0.25">
      <c r="A93" s="18" t="s">
        <v>66</v>
      </c>
    </row>
    <row r="94" spans="1:19" x14ac:dyDescent="0.25">
      <c r="A94" t="s">
        <v>67</v>
      </c>
      <c r="B94" s="19">
        <v>0.1</v>
      </c>
      <c r="C94" s="19"/>
      <c r="O94" s="22"/>
    </row>
    <row r="95" spans="1:19" x14ac:dyDescent="0.25">
      <c r="A95" t="s">
        <v>68</v>
      </c>
      <c r="B95" s="19">
        <v>0.8</v>
      </c>
      <c r="C95" s="19"/>
      <c r="H95" s="23">
        <v>0</v>
      </c>
      <c r="I95" s="23"/>
      <c r="J95" s="23">
        <v>0.1</v>
      </c>
      <c r="K95" s="23">
        <v>0.2</v>
      </c>
      <c r="L95" s="23">
        <v>0.3</v>
      </c>
      <c r="M95" s="23">
        <v>0.4</v>
      </c>
      <c r="N95" s="23">
        <v>0.5</v>
      </c>
      <c r="O95" s="23">
        <v>0.6</v>
      </c>
      <c r="P95" s="23">
        <v>0.7</v>
      </c>
      <c r="Q95" s="23">
        <v>0.8</v>
      </c>
      <c r="R95" s="23">
        <v>0.9</v>
      </c>
      <c r="S95" s="23">
        <v>1</v>
      </c>
    </row>
    <row r="96" spans="1:19" x14ac:dyDescent="0.25">
      <c r="A96" t="s">
        <v>69</v>
      </c>
      <c r="B96" s="19">
        <v>0.1</v>
      </c>
      <c r="C96" s="19"/>
      <c r="G96" s="23">
        <v>0</v>
      </c>
      <c r="H96">
        <f>$B$113*G96</f>
        <v>0</v>
      </c>
      <c r="J96">
        <f t="shared" ref="J96:S96" si="10">$B$113*J95</f>
        <v>154.07707113476033</v>
      </c>
      <c r="K96">
        <f t="shared" si="10"/>
        <v>308.15414226952066</v>
      </c>
      <c r="L96">
        <f t="shared" si="10"/>
        <v>462.23121340428099</v>
      </c>
      <c r="M96">
        <f t="shared" si="10"/>
        <v>616.30828453904132</v>
      </c>
      <c r="N96">
        <f t="shared" si="10"/>
        <v>770.38535567380166</v>
      </c>
      <c r="O96">
        <f t="shared" si="10"/>
        <v>924.46242680856199</v>
      </c>
      <c r="P96">
        <f t="shared" si="10"/>
        <v>1078.5394979433222</v>
      </c>
      <c r="Q96">
        <f t="shared" si="10"/>
        <v>1232.6165690780826</v>
      </c>
      <c r="R96">
        <f t="shared" si="10"/>
        <v>1386.6936402128431</v>
      </c>
      <c r="S96">
        <f t="shared" si="10"/>
        <v>1540.7707113476033</v>
      </c>
    </row>
    <row r="97" spans="1:9" s="22" customFormat="1" x14ac:dyDescent="0.25">
      <c r="G97" s="23">
        <v>0.1</v>
      </c>
      <c r="H97">
        <f>$B$113*G97</f>
        <v>154.07707113476033</v>
      </c>
      <c r="I97"/>
    </row>
    <row r="98" spans="1:9" x14ac:dyDescent="0.25">
      <c r="A98" s="18" t="s">
        <v>70</v>
      </c>
      <c r="G98" s="23">
        <v>0.2</v>
      </c>
      <c r="H98">
        <f t="shared" ref="H98:H106" si="11">$B$113*G98</f>
        <v>308.15414226952066</v>
      </c>
    </row>
    <row r="99" spans="1:9" x14ac:dyDescent="0.25">
      <c r="A99" t="s">
        <v>71</v>
      </c>
      <c r="B99" s="19">
        <v>0.5</v>
      </c>
      <c r="C99" s="19"/>
      <c r="G99" s="23">
        <v>0.3</v>
      </c>
      <c r="H99">
        <f t="shared" si="11"/>
        <v>462.23121340428099</v>
      </c>
    </row>
    <row r="100" spans="1:9" x14ac:dyDescent="0.25">
      <c r="A100" t="s">
        <v>72</v>
      </c>
      <c r="B100">
        <f>(20.6*B72+21.9*B74+23.7*B76)/B78</f>
        <v>22.487619047619045</v>
      </c>
      <c r="C100" t="s">
        <v>73</v>
      </c>
      <c r="D100" t="s">
        <v>41</v>
      </c>
      <c r="G100" s="23">
        <v>0.4</v>
      </c>
      <c r="H100">
        <f t="shared" si="11"/>
        <v>616.30828453904132</v>
      </c>
    </row>
    <row r="101" spans="1:9" x14ac:dyDescent="0.25">
      <c r="A101" t="s">
        <v>74</v>
      </c>
      <c r="B101">
        <f>B100/B84</f>
        <v>1.8739682539682538</v>
      </c>
      <c r="G101" s="23">
        <v>0.5</v>
      </c>
      <c r="H101">
        <f t="shared" si="11"/>
        <v>770.38535567380166</v>
      </c>
    </row>
    <row r="102" spans="1:9" x14ac:dyDescent="0.25">
      <c r="A102" t="s">
        <v>75</v>
      </c>
      <c r="B102">
        <v>6</v>
      </c>
      <c r="G102" s="23">
        <v>0.6</v>
      </c>
      <c r="H102">
        <f t="shared" si="11"/>
        <v>924.46242680856199</v>
      </c>
    </row>
    <row r="103" spans="1:9" x14ac:dyDescent="0.25">
      <c r="A103" t="s">
        <v>76</v>
      </c>
      <c r="B103">
        <v>50</v>
      </c>
      <c r="G103" s="23">
        <v>0.7</v>
      </c>
      <c r="H103">
        <f t="shared" si="11"/>
        <v>1078.5394979433222</v>
      </c>
    </row>
    <row r="104" spans="1:9" x14ac:dyDescent="0.25">
      <c r="A104" t="s">
        <v>77</v>
      </c>
      <c r="B104" s="19">
        <v>0.7</v>
      </c>
      <c r="G104" s="23">
        <v>0.8</v>
      </c>
      <c r="H104">
        <f t="shared" si="11"/>
        <v>1232.6165690780826</v>
      </c>
    </row>
    <row r="105" spans="1:9" x14ac:dyDescent="0.25">
      <c r="A105" t="s">
        <v>78</v>
      </c>
      <c r="B105" s="19">
        <v>0.3</v>
      </c>
      <c r="G105" s="23">
        <v>0.9</v>
      </c>
      <c r="H105">
        <f t="shared" si="11"/>
        <v>1386.6936402128431</v>
      </c>
    </row>
    <row r="106" spans="1:9" x14ac:dyDescent="0.25">
      <c r="A106" t="s">
        <v>79</v>
      </c>
      <c r="B106" s="19">
        <v>0.3</v>
      </c>
      <c r="G106" s="23">
        <v>1</v>
      </c>
      <c r="H106">
        <f t="shared" si="11"/>
        <v>1540.7707113476033</v>
      </c>
    </row>
    <row r="107" spans="1:9" x14ac:dyDescent="0.25">
      <c r="A107" t="s">
        <v>80</v>
      </c>
      <c r="B107" s="19">
        <v>0.7</v>
      </c>
    </row>
    <row r="108" spans="1:9" x14ac:dyDescent="0.25">
      <c r="A108" t="s">
        <v>81</v>
      </c>
      <c r="B108" s="19">
        <v>0.08</v>
      </c>
      <c r="C108" s="19"/>
      <c r="D108" t="s">
        <v>41</v>
      </c>
    </row>
    <row r="109" spans="1:9" x14ac:dyDescent="0.25">
      <c r="A109" t="s">
        <v>82</v>
      </c>
      <c r="B109" s="19">
        <v>0.05</v>
      </c>
      <c r="C109" s="19"/>
      <c r="D109" t="s">
        <v>41</v>
      </c>
    </row>
    <row r="111" spans="1:9" x14ac:dyDescent="0.25">
      <c r="A111" s="18" t="s">
        <v>83</v>
      </c>
    </row>
    <row r="112" spans="1:9" x14ac:dyDescent="0.25">
      <c r="A112" t="s">
        <v>84</v>
      </c>
      <c r="B112" s="21">
        <f>(B91*B84)*(1+B108+B109)</f>
        <v>1194707.368421053</v>
      </c>
      <c r="C112" t="s">
        <v>85</v>
      </c>
    </row>
    <row r="113" spans="1:7" x14ac:dyDescent="0.25">
      <c r="A113" t="s">
        <v>86</v>
      </c>
      <c r="B113" s="21">
        <f>B112/(B100*(B106*B102*B99+B107*B99*B103)*B101)</f>
        <v>1540.7707113476033</v>
      </c>
      <c r="C113" t="s">
        <v>87</v>
      </c>
      <c r="E113" s="24">
        <f>B113*(B106*(B136+B146*B135)+B107*(B137+B135*B146))</f>
        <v>347443795.40888453</v>
      </c>
    </row>
    <row r="114" spans="1:7" x14ac:dyDescent="0.25">
      <c r="A114" t="s">
        <v>88</v>
      </c>
      <c r="B114" s="21">
        <f>B113*B104</f>
        <v>1078.5394979433222</v>
      </c>
      <c r="C114" t="s">
        <v>89</v>
      </c>
      <c r="E114" s="24">
        <f>B114*(B106*(B138+B135*B145)+B107*(B138+B135*B145))</f>
        <v>64712369.876599334</v>
      </c>
    </row>
    <row r="115" spans="1:7" x14ac:dyDescent="0.25">
      <c r="A115" t="s">
        <v>90</v>
      </c>
      <c r="B115" s="21">
        <f>(B113*B105)/(B106*9+B107*3)</f>
        <v>96.298169459225235</v>
      </c>
      <c r="C115" t="s">
        <v>91</v>
      </c>
      <c r="E115" s="24">
        <f>B115*(B106*(B140+B135*B143*B145)+B107*(B140+B135*B143*B145))</f>
        <v>649049662.15517807</v>
      </c>
      <c r="G115" s="24">
        <f>SUM(E113:E115)</f>
        <v>1061205827.4406619</v>
      </c>
    </row>
    <row r="117" spans="1:7" x14ac:dyDescent="0.25">
      <c r="A117" s="18" t="s">
        <v>92</v>
      </c>
      <c r="B117" t="s">
        <v>93</v>
      </c>
      <c r="C117" t="s">
        <v>94</v>
      </c>
      <c r="D117" t="s">
        <v>95</v>
      </c>
    </row>
    <row r="118" spans="1:7" x14ac:dyDescent="0.25">
      <c r="A118" t="s">
        <v>96</v>
      </c>
      <c r="B118" s="19">
        <v>0.7</v>
      </c>
      <c r="C118" s="19">
        <v>0.3</v>
      </c>
      <c r="D118" s="19">
        <v>0.1</v>
      </c>
    </row>
    <row r="119" spans="1:7" x14ac:dyDescent="0.25">
      <c r="A119" t="s">
        <v>97</v>
      </c>
      <c r="B119" s="19">
        <v>0.3</v>
      </c>
      <c r="C119" s="19">
        <v>0.7</v>
      </c>
      <c r="D119" s="19">
        <v>0.9</v>
      </c>
    </row>
    <row r="120" spans="1:7" x14ac:dyDescent="0.25">
      <c r="A120" t="s">
        <v>98</v>
      </c>
      <c r="B120" s="19">
        <v>0</v>
      </c>
      <c r="C120" s="19">
        <v>0</v>
      </c>
      <c r="D120" s="19">
        <v>0</v>
      </c>
    </row>
    <row r="122" spans="1:7" x14ac:dyDescent="0.25">
      <c r="A122" s="18" t="s">
        <v>99</v>
      </c>
      <c r="B122" t="s">
        <v>93</v>
      </c>
      <c r="C122" t="s">
        <v>94</v>
      </c>
      <c r="D122" t="s">
        <v>95</v>
      </c>
    </row>
    <row r="123" spans="1:7" x14ac:dyDescent="0.25">
      <c r="A123" t="s">
        <v>96</v>
      </c>
      <c r="B123" s="19">
        <v>0.7</v>
      </c>
      <c r="C123" s="19">
        <v>0.3</v>
      </c>
      <c r="D123" s="19">
        <v>0.1</v>
      </c>
    </row>
    <row r="124" spans="1:7" x14ac:dyDescent="0.25">
      <c r="A124" t="s">
        <v>97</v>
      </c>
      <c r="B124" s="19">
        <v>0.3</v>
      </c>
      <c r="C124" s="19">
        <v>0.7</v>
      </c>
      <c r="D124" s="19">
        <v>0.9</v>
      </c>
    </row>
    <row r="125" spans="1:7" x14ac:dyDescent="0.25">
      <c r="A125" t="s">
        <v>98</v>
      </c>
      <c r="B125" s="19">
        <v>0</v>
      </c>
      <c r="C125" s="19">
        <v>0</v>
      </c>
      <c r="D125" s="19">
        <v>0</v>
      </c>
    </row>
    <row r="127" spans="1:7" x14ac:dyDescent="0.25">
      <c r="A127" s="18" t="s">
        <v>100</v>
      </c>
    </row>
    <row r="128" spans="1:7" x14ac:dyDescent="0.25">
      <c r="A128" t="s">
        <v>101</v>
      </c>
      <c r="B128" s="25">
        <v>300000</v>
      </c>
      <c r="C128" t="s">
        <v>58</v>
      </c>
      <c r="D128" s="26" t="s">
        <v>102</v>
      </c>
      <c r="E128" s="26"/>
      <c r="F128" s="26"/>
      <c r="G128" s="26"/>
    </row>
    <row r="129" spans="1:7" x14ac:dyDescent="0.25">
      <c r="A129" t="s">
        <v>103</v>
      </c>
      <c r="B129" s="25">
        <v>300000</v>
      </c>
      <c r="C129" t="s">
        <v>58</v>
      </c>
      <c r="D129" s="26">
        <v>495000</v>
      </c>
      <c r="E129" s="26"/>
      <c r="F129" s="26"/>
      <c r="G129" s="26"/>
    </row>
    <row r="130" spans="1:7" x14ac:dyDescent="0.25">
      <c r="A130" t="s">
        <v>104</v>
      </c>
      <c r="B130" s="25">
        <v>9</v>
      </c>
      <c r="D130" s="26"/>
      <c r="E130" s="26"/>
      <c r="F130" s="26"/>
      <c r="G130" s="26"/>
    </row>
    <row r="131" spans="1:7" x14ac:dyDescent="0.25">
      <c r="A131" t="s">
        <v>105</v>
      </c>
      <c r="B131" s="25">
        <v>12000000</v>
      </c>
      <c r="C131" t="s">
        <v>58</v>
      </c>
      <c r="D131" s="27" t="s">
        <v>106</v>
      </c>
    </row>
    <row r="132" spans="1:7" x14ac:dyDescent="0.25">
      <c r="A132" t="s">
        <v>104</v>
      </c>
      <c r="B132" s="25">
        <v>12</v>
      </c>
    </row>
    <row r="134" spans="1:7" x14ac:dyDescent="0.25">
      <c r="A134" s="18" t="s">
        <v>107</v>
      </c>
    </row>
    <row r="135" spans="1:7" x14ac:dyDescent="0.25">
      <c r="A135" t="s">
        <v>108</v>
      </c>
      <c r="B135">
        <v>5000</v>
      </c>
      <c r="C135" t="s">
        <v>109</v>
      </c>
    </row>
    <row r="136" spans="1:7" x14ac:dyDescent="0.25">
      <c r="A136" t="s">
        <v>110</v>
      </c>
      <c r="B136">
        <v>35000</v>
      </c>
      <c r="C136" t="s">
        <v>109</v>
      </c>
    </row>
    <row r="137" spans="1:7" x14ac:dyDescent="0.25">
      <c r="A137" t="s">
        <v>111</v>
      </c>
      <c r="B137">
        <v>250000</v>
      </c>
      <c r="C137" t="s">
        <v>109</v>
      </c>
    </row>
    <row r="138" spans="1:7" x14ac:dyDescent="0.25">
      <c r="A138" t="s">
        <v>112</v>
      </c>
      <c r="B138">
        <v>40000</v>
      </c>
      <c r="C138" t="s">
        <v>109</v>
      </c>
    </row>
    <row r="139" spans="1:7" x14ac:dyDescent="0.25">
      <c r="A139" t="s">
        <v>113</v>
      </c>
      <c r="B139">
        <v>250000</v>
      </c>
      <c r="C139" t="s">
        <v>109</v>
      </c>
    </row>
    <row r="140" spans="1:7" x14ac:dyDescent="0.25">
      <c r="A140" t="s">
        <v>114</v>
      </c>
      <c r="B140">
        <v>6500000</v>
      </c>
      <c r="C140" t="s">
        <v>109</v>
      </c>
      <c r="D140" s="145" t="s">
        <v>115</v>
      </c>
      <c r="E140" s="145"/>
      <c r="F140" s="145"/>
      <c r="G140" s="145"/>
    </row>
    <row r="142" spans="1:7" x14ac:dyDescent="0.25">
      <c r="A142" s="18" t="s">
        <v>116</v>
      </c>
    </row>
    <row r="143" spans="1:7" x14ac:dyDescent="0.25">
      <c r="A143" t="s">
        <v>117</v>
      </c>
      <c r="B143">
        <v>12</v>
      </c>
    </row>
    <row r="144" spans="1:7" x14ac:dyDescent="0.25">
      <c r="A144" t="s">
        <v>118</v>
      </c>
      <c r="B144">
        <v>4</v>
      </c>
    </row>
    <row r="145" spans="1:4" x14ac:dyDescent="0.25">
      <c r="A145" t="s">
        <v>119</v>
      </c>
      <c r="B145">
        <v>4</v>
      </c>
    </row>
    <row r="146" spans="1:4" x14ac:dyDescent="0.25">
      <c r="A146" t="s">
        <v>120</v>
      </c>
      <c r="B146">
        <v>8</v>
      </c>
    </row>
    <row r="147" spans="1:4" x14ac:dyDescent="0.25">
      <c r="A147" t="s">
        <v>121</v>
      </c>
      <c r="B147">
        <v>1.74E-3</v>
      </c>
      <c r="C147" t="s">
        <v>122</v>
      </c>
      <c r="D147" t="s">
        <v>123</v>
      </c>
    </row>
    <row r="148" spans="1:4" x14ac:dyDescent="0.25">
      <c r="A148" t="s">
        <v>124</v>
      </c>
      <c r="B148">
        <v>9.1399999999999999E-4</v>
      </c>
      <c r="C148" t="s">
        <v>122</v>
      </c>
      <c r="D148" t="s">
        <v>123</v>
      </c>
    </row>
    <row r="149" spans="1:4" x14ac:dyDescent="0.25">
      <c r="A149" t="s">
        <v>125</v>
      </c>
      <c r="B149">
        <v>7.2000000000000005E-4</v>
      </c>
      <c r="C149" t="s">
        <v>122</v>
      </c>
      <c r="D149" t="s">
        <v>126</v>
      </c>
    </row>
    <row r="151" spans="1:4" x14ac:dyDescent="0.25">
      <c r="A151" s="18" t="s">
        <v>127</v>
      </c>
    </row>
    <row r="152" spans="1:4" x14ac:dyDescent="0.25">
      <c r="A152" t="s">
        <v>128</v>
      </c>
      <c r="B152">
        <v>925</v>
      </c>
      <c r="C152" t="s">
        <v>129</v>
      </c>
      <c r="D152" t="s">
        <v>41</v>
      </c>
    </row>
    <row r="153" spans="1:4" x14ac:dyDescent="0.25">
      <c r="A153" t="s">
        <v>130</v>
      </c>
      <c r="B153">
        <v>2.5000000000000001E-2</v>
      </c>
      <c r="C153" t="s">
        <v>131</v>
      </c>
      <c r="D153" t="s">
        <v>41</v>
      </c>
    </row>
    <row r="154" spans="1:4" x14ac:dyDescent="0.25">
      <c r="A154" t="s">
        <v>132</v>
      </c>
      <c r="B154">
        <v>0.04</v>
      </c>
      <c r="C154" t="s">
        <v>131</v>
      </c>
      <c r="D154" t="s">
        <v>41</v>
      </c>
    </row>
    <row r="155" spans="1:4" x14ac:dyDescent="0.25">
      <c r="A155" t="s">
        <v>133</v>
      </c>
      <c r="B155">
        <v>0.02</v>
      </c>
      <c r="C155" t="s">
        <v>131</v>
      </c>
      <c r="D155" t="s">
        <v>41</v>
      </c>
    </row>
    <row r="156" spans="1:4" x14ac:dyDescent="0.25">
      <c r="A156" t="s">
        <v>134</v>
      </c>
      <c r="B156" s="19">
        <v>0.05</v>
      </c>
      <c r="D156" t="s">
        <v>41</v>
      </c>
    </row>
    <row r="157" spans="1:4" x14ac:dyDescent="0.25">
      <c r="A157" t="s">
        <v>135</v>
      </c>
      <c r="B157" s="17">
        <v>0.84199999999999997</v>
      </c>
      <c r="C157" t="s">
        <v>136</v>
      </c>
      <c r="D157" t="s">
        <v>137</v>
      </c>
    </row>
    <row r="158" spans="1:4" x14ac:dyDescent="0.25">
      <c r="A158" t="s">
        <v>412</v>
      </c>
      <c r="B158" s="117">
        <f>1.2+4.86+1.94+1.51+0.91+3.33</f>
        <v>13.75</v>
      </c>
      <c r="C158" t="s">
        <v>131</v>
      </c>
    </row>
    <row r="160" spans="1:4" x14ac:dyDescent="0.25">
      <c r="A160" s="18" t="s">
        <v>138</v>
      </c>
      <c r="B160" t="s">
        <v>93</v>
      </c>
      <c r="C160" t="s">
        <v>94</v>
      </c>
      <c r="D160" t="s">
        <v>95</v>
      </c>
    </row>
    <row r="161" spans="1:5" x14ac:dyDescent="0.25">
      <c r="A161" t="s">
        <v>139</v>
      </c>
      <c r="B161">
        <f>(($B$136+$B$146*$B$135)/$B$128+B118*($B$138+$B$145*$B$135)/$B$128+B119*(($B$140+$B$145*$B$135)/($B$143*$B$131))+B118*$B$152*$B$130/$B$128+B119*$B$132*$B$152/$B$131+$B$153+$B$154+$B$155+(B119*$B$157*$B$149)+($B$147*$B$157*B118))*(1+$B$156)</f>
        <v>0.53496792439999996</v>
      </c>
      <c r="C161">
        <f>(($B$136+$B$146*$B$135)/$B$128+C118*($B$138+$B$145*$B$135)/$B$128+C119*(($B$140+$B$145*$B$135)/($B$143*$B$131))+$B$152*$B$130/$B$128+$B$153+$B$154+$B$155)*(1+$B$156)+(C119*$B$157*$B$149)+($B$147*$B$157*C118)</f>
        <v>0.47803055866666672</v>
      </c>
      <c r="D161">
        <f>(($B$136+$B$146*$B$135)/$B$128+D118*($B$138+$B$145*$B$135)/$B$128+D119*(($B$140+$B$145*$B$135)/($B$143*$B$131))+$B$152*$B$130/$B$128+$B$153+$B$154+$B$155)*(1+$B$156)+(D119*$B$157*$B$149)+($B$147*$B$157*D118)</f>
        <v>0.44536712400000006</v>
      </c>
      <c r="E161" t="s">
        <v>140</v>
      </c>
    </row>
    <row r="162" spans="1:5" x14ac:dyDescent="0.25">
      <c r="A162" t="s">
        <v>141</v>
      </c>
      <c r="B162">
        <f>(($B$137+$B$146*$B$135)/$B$129+B123*($B$139+$B$145*$B$135)/$B$129+B124*(($B$140+$B$145*$B$135)/($B$144*$B$131))+B123*$B$152*$B$130/$B$129+B124*$B$132*$B$152/$B$131+$B$153+$B$154+$B$155+(B124*$B$157*$B$149)+($B$148*$B$157*B123))*(1+$B$156)</f>
        <v>1.8299817377800001</v>
      </c>
      <c r="C162">
        <f>(($B$137+$B$146*$B$135)/$B$129+C123*($B$139+$B$145*$B$135)/$B$129+C124*(($B$140+$B$145*$B$135)/($B$144*$B$131))+C123*$B$152*$B$130/$B$129+C124*$B$132*$B$152/$B$131+$B$153+$B$154+$B$155+(C124*$B$157*$B$149)+($B$148*$B$157*C123))*(1+$B$156)</f>
        <v>1.4976966316200002</v>
      </c>
      <c r="D162">
        <f>(($B$137+$B$146*$B$135)/$B$129+D123*($B$139+$B$145*$B$135)/$B$129+D124*(($B$140+$B$145*$B$135)/($B$144*$B$131))+D123*$B$152*$B$130/$B$129+D124*$B$132*$B$152/$B$131+$B$153+$B$154+$B$155+(D124*$B$157*$B$149)+($B$148*$B$157*D123))*(1+$B$156)</f>
        <v>1.33155407854</v>
      </c>
      <c r="E162" t="s">
        <v>140</v>
      </c>
    </row>
    <row r="163" spans="1:5" x14ac:dyDescent="0.25">
      <c r="A163" t="s">
        <v>139</v>
      </c>
      <c r="B163">
        <f>B161/2.5</f>
        <v>0.21398716975999998</v>
      </c>
      <c r="C163">
        <f>C161/2.5</f>
        <v>0.19121222346666669</v>
      </c>
      <c r="D163">
        <f>D161/2.5</f>
        <v>0.17814684960000002</v>
      </c>
      <c r="E163" t="s">
        <v>142</v>
      </c>
    </row>
    <row r="164" spans="1:5" x14ac:dyDescent="0.25">
      <c r="A164" t="s">
        <v>141</v>
      </c>
      <c r="B164">
        <f>B162/15</f>
        <v>0.12199878251866667</v>
      </c>
      <c r="C164">
        <f>C162/25</f>
        <v>5.9907865264800006E-2</v>
      </c>
      <c r="D164">
        <f>D162/25</f>
        <v>5.3262163141599997E-2</v>
      </c>
      <c r="E164" t="s">
        <v>142</v>
      </c>
    </row>
  </sheetData>
  <mergeCells count="1">
    <mergeCell ref="D140:G140"/>
  </mergeCells>
  <hyperlinks>
    <hyperlink ref="D131" r:id="rId1" xr:uid="{45CB7690-E796-49B4-9EE0-638D78AC0C40}"/>
  </hyperlinks>
  <pageMargins left="0.7" right="0.7" top="0.78740157499999996" bottom="0.78740157499999996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4C46-EDBB-4595-A073-F0E5A0BF9076}">
  <sheetPr codeName="Tabelle6" filterMode="1"/>
  <dimension ref="A1:S21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37" sqref="H237"/>
    </sheetView>
  </sheetViews>
  <sheetFormatPr baseColWidth="10" defaultColWidth="10.5" defaultRowHeight="15" x14ac:dyDescent="0.25"/>
  <cols>
    <col min="1" max="1" width="24.5" style="33" bestFit="1" customWidth="1"/>
    <col min="2" max="2" width="13.625" style="35" bestFit="1" customWidth="1"/>
    <col min="3" max="3" width="7.5" style="36" bestFit="1" customWidth="1"/>
    <col min="4" max="4" width="15.5" style="33" bestFit="1" customWidth="1"/>
    <col min="5" max="5" width="12.125" style="33" bestFit="1" customWidth="1"/>
    <col min="6" max="7" width="10.75" style="33" bestFit="1" customWidth="1"/>
    <col min="8" max="8" width="60.75" style="33" bestFit="1" customWidth="1"/>
    <col min="9" max="9" width="109.5" style="33" bestFit="1" customWidth="1"/>
    <col min="10" max="10" width="10.75" style="33" bestFit="1" customWidth="1"/>
    <col min="11" max="11" width="9.875" style="33" bestFit="1" customWidth="1"/>
    <col min="12" max="13" width="10.75" style="33" bestFit="1" customWidth="1"/>
    <col min="14" max="14" width="4.125" style="33" bestFit="1" customWidth="1"/>
    <col min="15" max="15" width="11.625" style="33" bestFit="1" customWidth="1"/>
    <col min="16" max="16" width="10.75" style="33" bestFit="1" customWidth="1"/>
    <col min="17" max="17" width="4.125" style="33" bestFit="1" customWidth="1"/>
    <col min="18" max="18" width="15.375" style="33" bestFit="1" customWidth="1"/>
    <col min="19" max="19" width="10.75" style="33" bestFit="1" customWidth="1"/>
    <col min="20" max="16384" width="10.5" style="33"/>
  </cols>
  <sheetData>
    <row r="1" spans="1:8" x14ac:dyDescent="0.25">
      <c r="A1" s="28" t="s">
        <v>143</v>
      </c>
      <c r="B1" s="29" t="s">
        <v>144</v>
      </c>
      <c r="C1" s="30" t="s">
        <v>145</v>
      </c>
      <c r="D1" s="31" t="s">
        <v>146</v>
      </c>
      <c r="E1" s="31" t="s">
        <v>147</v>
      </c>
      <c r="F1" s="32" t="s">
        <v>148</v>
      </c>
      <c r="G1" s="32" t="s">
        <v>68</v>
      </c>
    </row>
    <row r="2" spans="1:8" hidden="1" x14ac:dyDescent="0.25">
      <c r="A2" s="34" t="s">
        <v>149</v>
      </c>
      <c r="B2" s="35" t="s">
        <v>29</v>
      </c>
      <c r="C2" s="36">
        <v>0</v>
      </c>
      <c r="D2" s="33">
        <v>0</v>
      </c>
      <c r="E2" s="33">
        <v>0</v>
      </c>
      <c r="F2" s="33">
        <v>0</v>
      </c>
      <c r="G2" s="33">
        <v>0</v>
      </c>
      <c r="H2" s="127" t="s">
        <v>441</v>
      </c>
    </row>
    <row r="3" spans="1:8" hidden="1" x14ac:dyDescent="0.25">
      <c r="A3" s="34" t="s">
        <v>149</v>
      </c>
      <c r="B3" s="35" t="s">
        <v>150</v>
      </c>
      <c r="C3" s="36">
        <v>0</v>
      </c>
      <c r="D3" s="33">
        <v>0</v>
      </c>
      <c r="E3" s="33">
        <v>0</v>
      </c>
      <c r="F3" s="33">
        <v>0</v>
      </c>
      <c r="G3" s="33">
        <v>0</v>
      </c>
      <c r="H3" s="127" t="s">
        <v>442</v>
      </c>
    </row>
    <row r="4" spans="1:8" hidden="1" x14ac:dyDescent="0.25">
      <c r="A4" s="34" t="s">
        <v>149</v>
      </c>
      <c r="B4" s="35" t="s">
        <v>30</v>
      </c>
      <c r="C4" s="36">
        <v>0</v>
      </c>
      <c r="D4" s="33">
        <v>0</v>
      </c>
      <c r="E4" s="33">
        <v>0</v>
      </c>
      <c r="F4" s="33">
        <v>0</v>
      </c>
      <c r="G4" s="33">
        <v>0</v>
      </c>
      <c r="H4" s="127" t="s">
        <v>442</v>
      </c>
    </row>
    <row r="5" spans="1:8" hidden="1" x14ac:dyDescent="0.25">
      <c r="A5" s="34" t="s">
        <v>149</v>
      </c>
      <c r="B5" s="35" t="s">
        <v>31</v>
      </c>
      <c r="C5" s="36">
        <v>0</v>
      </c>
      <c r="D5" s="33">
        <v>0</v>
      </c>
      <c r="E5" s="33">
        <v>0</v>
      </c>
      <c r="F5" s="33">
        <v>0</v>
      </c>
      <c r="G5" s="33">
        <v>0</v>
      </c>
      <c r="H5" s="127" t="s">
        <v>450</v>
      </c>
    </row>
    <row r="6" spans="1:8" hidden="1" x14ac:dyDescent="0.25">
      <c r="A6" s="34" t="s">
        <v>149</v>
      </c>
      <c r="B6" s="35" t="s">
        <v>151</v>
      </c>
      <c r="C6" s="36">
        <v>1</v>
      </c>
      <c r="D6" s="33">
        <v>1</v>
      </c>
      <c r="E6" s="33">
        <v>1</v>
      </c>
      <c r="F6" s="33">
        <v>1</v>
      </c>
      <c r="G6" s="33">
        <v>1</v>
      </c>
    </row>
    <row r="7" spans="1:8" hidden="1" x14ac:dyDescent="0.25">
      <c r="A7" s="34" t="s">
        <v>149</v>
      </c>
      <c r="B7" s="35" t="s">
        <v>32</v>
      </c>
      <c r="C7" s="36">
        <v>14.2</v>
      </c>
      <c r="D7" s="33">
        <v>6.2622</v>
      </c>
      <c r="E7" s="33">
        <v>5.63598</v>
      </c>
      <c r="F7" s="33">
        <v>5.63598</v>
      </c>
      <c r="G7" s="33">
        <v>62.622</v>
      </c>
      <c r="H7" s="127" t="s">
        <v>443</v>
      </c>
    </row>
    <row r="8" spans="1:8" hidden="1" x14ac:dyDescent="0.25">
      <c r="A8" s="34" t="s">
        <v>149</v>
      </c>
      <c r="B8" s="35" t="s">
        <v>152</v>
      </c>
      <c r="C8" s="36">
        <v>0</v>
      </c>
      <c r="D8" s="33">
        <v>0</v>
      </c>
      <c r="E8" s="33">
        <v>0</v>
      </c>
      <c r="F8" s="33">
        <v>0</v>
      </c>
      <c r="G8" s="33">
        <v>0</v>
      </c>
      <c r="H8" s="127" t="s">
        <v>444</v>
      </c>
    </row>
    <row r="9" spans="1:8" hidden="1" x14ac:dyDescent="0.25">
      <c r="A9" s="34" t="s">
        <v>149</v>
      </c>
      <c r="B9" s="35" t="s">
        <v>33</v>
      </c>
      <c r="H9" s="127" t="s">
        <v>445</v>
      </c>
    </row>
    <row r="10" spans="1:8" hidden="1" x14ac:dyDescent="0.25">
      <c r="A10" s="34" t="s">
        <v>153</v>
      </c>
      <c r="B10" s="35" t="s">
        <v>29</v>
      </c>
      <c r="C10" s="36">
        <v>0</v>
      </c>
      <c r="D10" s="33">
        <v>0</v>
      </c>
      <c r="E10" s="33">
        <v>0</v>
      </c>
      <c r="F10" s="33">
        <v>0</v>
      </c>
      <c r="G10" s="33">
        <v>0</v>
      </c>
    </row>
    <row r="11" spans="1:8" hidden="1" x14ac:dyDescent="0.25">
      <c r="A11" s="34" t="s">
        <v>153</v>
      </c>
      <c r="B11" s="35" t="s">
        <v>150</v>
      </c>
      <c r="C11" s="36">
        <v>0</v>
      </c>
      <c r="D11" s="33">
        <v>0</v>
      </c>
      <c r="E11" s="33">
        <v>0</v>
      </c>
      <c r="F11" s="33">
        <v>0</v>
      </c>
      <c r="G11" s="33">
        <v>0</v>
      </c>
    </row>
    <row r="12" spans="1:8" hidden="1" x14ac:dyDescent="0.25">
      <c r="A12" s="34" t="s">
        <v>153</v>
      </c>
      <c r="B12" s="35" t="s">
        <v>30</v>
      </c>
      <c r="C12" s="36">
        <v>0</v>
      </c>
      <c r="D12" s="33">
        <v>0</v>
      </c>
      <c r="E12" s="33">
        <v>0</v>
      </c>
      <c r="F12" s="33">
        <v>0</v>
      </c>
      <c r="G12" s="33">
        <v>0</v>
      </c>
    </row>
    <row r="13" spans="1:8" hidden="1" x14ac:dyDescent="0.25">
      <c r="A13" s="34" t="s">
        <v>153</v>
      </c>
      <c r="B13" s="35" t="s">
        <v>31</v>
      </c>
      <c r="C13" s="36">
        <v>0</v>
      </c>
      <c r="D13" s="33">
        <v>0</v>
      </c>
      <c r="E13" s="33">
        <v>0</v>
      </c>
      <c r="F13" s="33">
        <v>0</v>
      </c>
      <c r="G13" s="33">
        <v>0</v>
      </c>
    </row>
    <row r="14" spans="1:8" hidden="1" x14ac:dyDescent="0.25">
      <c r="A14" s="34" t="s">
        <v>153</v>
      </c>
      <c r="B14" s="35" t="s">
        <v>151</v>
      </c>
      <c r="C14" s="36">
        <v>0.86699999999999999</v>
      </c>
      <c r="D14" s="33">
        <v>0.78290100000000007</v>
      </c>
      <c r="E14" s="33">
        <v>0.78290100000000007</v>
      </c>
      <c r="F14" s="33">
        <v>0.78290100000000007</v>
      </c>
      <c r="G14" s="33">
        <v>0.78290100000000007</v>
      </c>
    </row>
    <row r="15" spans="1:8" hidden="1" x14ac:dyDescent="0.25">
      <c r="A15" s="34" t="s">
        <v>153</v>
      </c>
      <c r="B15" s="35" t="s">
        <v>32</v>
      </c>
      <c r="C15" s="36">
        <v>9.3000000000000007</v>
      </c>
      <c r="D15" s="33">
        <v>4.1013000000000002</v>
      </c>
      <c r="E15" s="33">
        <v>3.6911700000000001</v>
      </c>
      <c r="F15" s="33">
        <v>3.6911700000000001</v>
      </c>
      <c r="G15" s="33">
        <v>3.6911700000000001</v>
      </c>
    </row>
    <row r="16" spans="1:8" hidden="1" x14ac:dyDescent="0.25">
      <c r="A16" s="34" t="s">
        <v>153</v>
      </c>
      <c r="B16" s="35" t="s">
        <v>152</v>
      </c>
      <c r="C16" s="36">
        <v>0</v>
      </c>
      <c r="D16" s="33">
        <v>0</v>
      </c>
      <c r="E16" s="33">
        <v>0</v>
      </c>
      <c r="F16" s="33">
        <v>0</v>
      </c>
      <c r="G16" s="33">
        <v>0</v>
      </c>
    </row>
    <row r="17" spans="1:7" hidden="1" x14ac:dyDescent="0.25">
      <c r="A17" s="34" t="s">
        <v>153</v>
      </c>
      <c r="B17" s="35" t="s">
        <v>33</v>
      </c>
      <c r="C17" s="36">
        <v>1</v>
      </c>
      <c r="D17" s="33">
        <v>1</v>
      </c>
      <c r="E17" s="33">
        <v>1</v>
      </c>
      <c r="F17" s="33">
        <v>1</v>
      </c>
      <c r="G17" s="33">
        <v>1</v>
      </c>
    </row>
    <row r="18" spans="1:7" hidden="1" x14ac:dyDescent="0.25">
      <c r="A18" s="34" t="s">
        <v>154</v>
      </c>
      <c r="B18" s="35" t="s">
        <v>29</v>
      </c>
      <c r="C18" s="36">
        <v>3.661</v>
      </c>
      <c r="D18" s="33">
        <v>0.64250000000000007</v>
      </c>
      <c r="E18" s="33">
        <v>0.64250000000000007</v>
      </c>
      <c r="F18" s="33">
        <v>0.64250000000000007</v>
      </c>
      <c r="G18" s="33">
        <v>0.64250000000000007</v>
      </c>
    </row>
    <row r="19" spans="1:7" hidden="1" x14ac:dyDescent="0.25">
      <c r="A19" s="34" t="s">
        <v>154</v>
      </c>
      <c r="B19" s="35" t="s">
        <v>150</v>
      </c>
      <c r="C19" s="36">
        <v>3.0000000000000001E-3</v>
      </c>
      <c r="D19" s="33">
        <v>1.45E-4</v>
      </c>
      <c r="E19" s="33">
        <v>1.45E-4</v>
      </c>
      <c r="F19" s="33">
        <v>1.45E-4</v>
      </c>
      <c r="G19" s="33">
        <v>1.45E-4</v>
      </c>
    </row>
    <row r="20" spans="1:7" hidden="1" x14ac:dyDescent="0.25">
      <c r="A20" s="34" t="s">
        <v>154</v>
      </c>
      <c r="B20" s="35" t="s">
        <v>30</v>
      </c>
      <c r="C20" s="36">
        <v>0</v>
      </c>
      <c r="D20" s="33">
        <v>2.5000000000000002E-6</v>
      </c>
      <c r="E20" s="33">
        <v>2.5000000000000002E-6</v>
      </c>
      <c r="F20" s="33">
        <v>2.5000000000000002E-6</v>
      </c>
      <c r="G20" s="33">
        <v>2.5000000000000002E-6</v>
      </c>
    </row>
    <row r="21" spans="1:7" hidden="1" x14ac:dyDescent="0.25">
      <c r="A21" s="34" t="s">
        <v>154</v>
      </c>
      <c r="B21" s="35" t="s">
        <v>31</v>
      </c>
      <c r="C21" s="36">
        <v>2.5000000000000001E-2</v>
      </c>
      <c r="D21" s="33">
        <v>2.5000000000000001E-2</v>
      </c>
      <c r="E21" s="33">
        <v>2.5000000000000001E-2</v>
      </c>
      <c r="F21" s="33">
        <v>2.5000000000000001E-2</v>
      </c>
      <c r="G21" s="33">
        <v>2.5000000000000001E-2</v>
      </c>
    </row>
    <row r="22" spans="1:7" hidden="1" x14ac:dyDescent="0.25">
      <c r="A22" s="34" t="s">
        <v>154</v>
      </c>
      <c r="B22" s="35" t="s">
        <v>151</v>
      </c>
      <c r="C22" s="36">
        <v>2.7E-2</v>
      </c>
      <c r="D22" s="33">
        <v>0.27594000000000002</v>
      </c>
      <c r="E22" s="33">
        <v>0.27594000000000002</v>
      </c>
      <c r="F22" s="33">
        <v>0.27594000000000002</v>
      </c>
      <c r="G22" s="33">
        <v>0.27594000000000002</v>
      </c>
    </row>
    <row r="23" spans="1:7" hidden="1" x14ac:dyDescent="0.25">
      <c r="A23" s="34" t="s">
        <v>154</v>
      </c>
      <c r="B23" s="35" t="s">
        <v>32</v>
      </c>
      <c r="C23" s="36">
        <v>9.3000000000000007</v>
      </c>
      <c r="D23" s="33">
        <v>4.1013000000000002</v>
      </c>
      <c r="E23" s="33">
        <v>3.6911700000000001</v>
      </c>
      <c r="F23" s="33">
        <v>3.6911700000000001</v>
      </c>
      <c r="G23" s="33">
        <v>3.6911700000000001</v>
      </c>
    </row>
    <row r="24" spans="1:7" hidden="1" x14ac:dyDescent="0.25">
      <c r="A24" s="34" t="s">
        <v>154</v>
      </c>
      <c r="B24" s="35" t="s">
        <v>152</v>
      </c>
      <c r="C24" s="36">
        <v>1.75E-3</v>
      </c>
      <c r="D24" s="33">
        <v>1.75E-3</v>
      </c>
      <c r="E24" s="33">
        <v>1.75E-3</v>
      </c>
      <c r="F24" s="33">
        <v>1.75E-3</v>
      </c>
      <c r="G24" s="33">
        <v>1.75E-3</v>
      </c>
    </row>
    <row r="25" spans="1:7" hidden="1" x14ac:dyDescent="0.25">
      <c r="A25" s="34" t="s">
        <v>154</v>
      </c>
      <c r="B25" s="35" t="s">
        <v>33</v>
      </c>
      <c r="C25" s="36">
        <v>1</v>
      </c>
      <c r="D25" s="33">
        <v>1</v>
      </c>
      <c r="E25" s="33">
        <v>1</v>
      </c>
      <c r="F25" s="33">
        <v>1</v>
      </c>
      <c r="G25" s="33">
        <v>1</v>
      </c>
    </row>
    <row r="26" spans="1:7" hidden="1" x14ac:dyDescent="0.25">
      <c r="A26" s="34" t="s">
        <v>155</v>
      </c>
      <c r="B26" s="35" t="s">
        <v>29</v>
      </c>
      <c r="C26" s="36">
        <v>75</v>
      </c>
      <c r="D26" s="33">
        <v>54.862500000000004</v>
      </c>
      <c r="E26" s="33">
        <v>50.254050000000007</v>
      </c>
      <c r="F26" s="33">
        <v>50.254050000000007</v>
      </c>
      <c r="G26" s="33">
        <v>50.254050000000007</v>
      </c>
    </row>
    <row r="27" spans="1:7" hidden="1" x14ac:dyDescent="0.25">
      <c r="A27" s="34" t="s">
        <v>155</v>
      </c>
      <c r="B27" s="35" t="s">
        <v>150</v>
      </c>
      <c r="C27" s="36">
        <v>0.28000000000000003</v>
      </c>
      <c r="D27" s="33">
        <v>0.20482000000000003</v>
      </c>
      <c r="E27" s="33">
        <v>0.18761512000000002</v>
      </c>
      <c r="F27" s="33">
        <v>0.18761512000000002</v>
      </c>
      <c r="G27" s="33">
        <v>0.18761512000000002</v>
      </c>
    </row>
    <row r="28" spans="1:7" hidden="1" x14ac:dyDescent="0.25">
      <c r="A28" s="34" t="s">
        <v>155</v>
      </c>
      <c r="B28" s="35" t="s">
        <v>30</v>
      </c>
      <c r="C28" s="36">
        <v>2E-3</v>
      </c>
      <c r="D28" s="33">
        <v>1.4630000000000001E-3</v>
      </c>
      <c r="E28" s="33">
        <v>1.3401080000000002E-3</v>
      </c>
      <c r="F28" s="33">
        <v>1.3401080000000002E-3</v>
      </c>
      <c r="G28" s="33">
        <v>1.3401080000000002E-3</v>
      </c>
    </row>
    <row r="29" spans="1:7" hidden="1" x14ac:dyDescent="0.25">
      <c r="A29" s="34" t="s">
        <v>155</v>
      </c>
      <c r="B29" s="35" t="s">
        <v>31</v>
      </c>
      <c r="C29" s="36">
        <v>1</v>
      </c>
      <c r="D29" s="33">
        <v>0.73150000000000004</v>
      </c>
      <c r="E29" s="33">
        <v>0.67005400000000004</v>
      </c>
      <c r="F29" s="33">
        <v>0.67005400000000004</v>
      </c>
      <c r="G29" s="33">
        <v>0.67005400000000004</v>
      </c>
    </row>
    <row r="30" spans="1:7" hidden="1" x14ac:dyDescent="0.25">
      <c r="A30" s="34" t="s">
        <v>155</v>
      </c>
      <c r="B30" s="35" t="s">
        <v>151</v>
      </c>
      <c r="C30" s="36">
        <v>0.68300000000000005</v>
      </c>
    </row>
    <row r="31" spans="1:7" hidden="1" x14ac:dyDescent="0.25">
      <c r="A31" s="34" t="s">
        <v>155</v>
      </c>
      <c r="B31" s="35" t="s">
        <v>32</v>
      </c>
      <c r="C31" s="36">
        <v>0.8</v>
      </c>
      <c r="D31" s="33">
        <v>0.3528</v>
      </c>
      <c r="E31" s="33">
        <v>0.31752000000000002</v>
      </c>
      <c r="F31" s="33">
        <v>0.31752000000000002</v>
      </c>
      <c r="G31" s="33">
        <v>0.31752000000000002</v>
      </c>
    </row>
    <row r="32" spans="1:7" hidden="1" x14ac:dyDescent="0.25">
      <c r="A32" s="34" t="s">
        <v>155</v>
      </c>
      <c r="B32" s="35" t="s">
        <v>152</v>
      </c>
      <c r="C32" s="36">
        <v>1.9375</v>
      </c>
      <c r="D32" s="33">
        <v>2.1312500000000001</v>
      </c>
      <c r="E32" s="33">
        <v>1.7689375000000001</v>
      </c>
      <c r="F32" s="33">
        <v>1.747625</v>
      </c>
      <c r="G32" s="33">
        <v>1.747625</v>
      </c>
    </row>
    <row r="33" spans="1:8" hidden="1" x14ac:dyDescent="0.25">
      <c r="A33" s="34" t="s">
        <v>155</v>
      </c>
      <c r="B33" s="35" t="s">
        <v>33</v>
      </c>
      <c r="C33" s="36">
        <v>0.21</v>
      </c>
      <c r="D33" s="36">
        <v>0.21</v>
      </c>
      <c r="E33" s="36">
        <v>0.21</v>
      </c>
      <c r="F33" s="36">
        <v>0.21</v>
      </c>
      <c r="G33" s="36">
        <v>0.21</v>
      </c>
    </row>
    <row r="34" spans="1:8" hidden="1" x14ac:dyDescent="0.25">
      <c r="A34" s="34" t="s">
        <v>156</v>
      </c>
      <c r="B34" s="35" t="s">
        <v>29</v>
      </c>
      <c r="C34" s="36">
        <v>64</v>
      </c>
      <c r="D34" s="33">
        <v>17.578800000000001</v>
      </c>
      <c r="E34" s="33">
        <v>17.578800000000001</v>
      </c>
      <c r="F34" s="33">
        <v>17.578800000000001</v>
      </c>
      <c r="G34" s="33">
        <v>17.578800000000001</v>
      </c>
    </row>
    <row r="35" spans="1:8" hidden="1" x14ac:dyDescent="0.25">
      <c r="A35" s="34" t="s">
        <v>156</v>
      </c>
      <c r="B35" s="35" t="s">
        <v>150</v>
      </c>
      <c r="C35" s="36">
        <v>0.06</v>
      </c>
      <c r="D35" s="33">
        <v>3.9671999999999997E-3</v>
      </c>
      <c r="E35" s="33">
        <v>3.9671999999999997E-3</v>
      </c>
      <c r="F35" s="33">
        <v>3.9671999999999997E-3</v>
      </c>
      <c r="G35" s="33">
        <v>3.9671999999999997E-3</v>
      </c>
    </row>
    <row r="36" spans="1:8" hidden="1" x14ac:dyDescent="0.25">
      <c r="A36" s="34" t="s">
        <v>156</v>
      </c>
      <c r="B36" s="35" t="s">
        <v>30</v>
      </c>
      <c r="C36" s="36">
        <v>0</v>
      </c>
      <c r="D36" s="33">
        <v>6.8400000000000009E-5</v>
      </c>
      <c r="E36" s="33">
        <v>6.8400000000000009E-5</v>
      </c>
      <c r="F36" s="33">
        <v>6.8400000000000009E-5</v>
      </c>
      <c r="G36" s="33">
        <v>6.8400000000000009E-5</v>
      </c>
    </row>
    <row r="37" spans="1:8" hidden="1" x14ac:dyDescent="0.25">
      <c r="A37" s="34" t="s">
        <v>156</v>
      </c>
      <c r="B37" s="35" t="s">
        <v>31</v>
      </c>
      <c r="C37" s="36">
        <v>0.9</v>
      </c>
      <c r="D37" s="33">
        <v>0.68400000000000005</v>
      </c>
      <c r="E37" s="33">
        <v>0.68400000000000005</v>
      </c>
      <c r="F37" s="33">
        <v>0.68400000000000005</v>
      </c>
      <c r="G37" s="33">
        <v>0.68400000000000005</v>
      </c>
    </row>
    <row r="38" spans="1:8" hidden="1" x14ac:dyDescent="0.25">
      <c r="A38" s="34" t="s">
        <v>156</v>
      </c>
      <c r="B38" s="35" t="s">
        <v>151</v>
      </c>
      <c r="C38" s="36">
        <v>0.157</v>
      </c>
    </row>
    <row r="39" spans="1:8" hidden="1" x14ac:dyDescent="0.25">
      <c r="A39" s="34" t="s">
        <v>156</v>
      </c>
      <c r="B39" s="35" t="s">
        <v>32</v>
      </c>
      <c r="C39" s="36">
        <v>1.7</v>
      </c>
      <c r="D39" s="33">
        <v>1.36</v>
      </c>
      <c r="E39" s="33">
        <v>1.2240000000000002</v>
      </c>
      <c r="F39" s="33">
        <v>1.2240000000000002</v>
      </c>
      <c r="G39" s="33">
        <v>1.2240000000000002</v>
      </c>
    </row>
    <row r="40" spans="1:8" hidden="1" x14ac:dyDescent="0.25">
      <c r="A40" s="34" t="s">
        <v>156</v>
      </c>
      <c r="B40" s="35" t="s">
        <v>152</v>
      </c>
      <c r="C40" s="36">
        <v>1.9375</v>
      </c>
      <c r="D40" s="33">
        <v>1.9375</v>
      </c>
      <c r="E40" s="33">
        <v>1.66625</v>
      </c>
      <c r="F40" s="33">
        <v>1.66625</v>
      </c>
      <c r="G40" s="33">
        <v>1.66625</v>
      </c>
      <c r="H40" s="146" t="s">
        <v>157</v>
      </c>
    </row>
    <row r="41" spans="1:8" hidden="1" x14ac:dyDescent="0.25">
      <c r="A41" s="34" t="s">
        <v>156</v>
      </c>
      <c r="B41" s="35" t="s">
        <v>33</v>
      </c>
      <c r="C41" s="36">
        <v>0.19</v>
      </c>
      <c r="D41" s="33">
        <v>0.19</v>
      </c>
      <c r="E41" s="33">
        <v>0.19</v>
      </c>
      <c r="F41" s="33">
        <v>0.19</v>
      </c>
      <c r="G41" s="33">
        <v>0.19</v>
      </c>
      <c r="H41" s="146"/>
    </row>
    <row r="42" spans="1:8" hidden="1" x14ac:dyDescent="0.25">
      <c r="A42" s="34" t="s">
        <v>158</v>
      </c>
      <c r="B42" s="35" t="s">
        <v>29</v>
      </c>
      <c r="C42" s="36">
        <v>64</v>
      </c>
      <c r="D42" s="33">
        <v>17.578800000000001</v>
      </c>
      <c r="E42" s="33">
        <v>14.941980000000001</v>
      </c>
      <c r="F42" s="33">
        <v>14.941980000000001</v>
      </c>
      <c r="G42" s="33">
        <v>14.941980000000001</v>
      </c>
      <c r="H42" s="147"/>
    </row>
    <row r="43" spans="1:8" hidden="1" x14ac:dyDescent="0.25">
      <c r="A43" s="34" t="s">
        <v>158</v>
      </c>
      <c r="B43" s="35" t="s">
        <v>150</v>
      </c>
      <c r="C43" s="36">
        <v>0.06</v>
      </c>
      <c r="D43" s="33">
        <v>3.9671999999999997E-3</v>
      </c>
      <c r="E43" s="33">
        <v>3.3721199999999997E-3</v>
      </c>
      <c r="F43" s="33">
        <v>3.3721199999999997E-3</v>
      </c>
      <c r="G43" s="33">
        <v>3.3721199999999997E-3</v>
      </c>
      <c r="H43" s="147"/>
    </row>
    <row r="44" spans="1:8" hidden="1" x14ac:dyDescent="0.25">
      <c r="A44" s="34" t="s">
        <v>158</v>
      </c>
      <c r="B44" s="35" t="s">
        <v>30</v>
      </c>
      <c r="C44" s="36">
        <v>0</v>
      </c>
      <c r="D44" s="33">
        <v>6.8400000000000009E-5</v>
      </c>
      <c r="E44" s="33">
        <v>5.8140000000000009E-5</v>
      </c>
      <c r="F44" s="33">
        <v>5.8140000000000009E-5</v>
      </c>
      <c r="G44" s="33">
        <v>5.8140000000000009E-5</v>
      </c>
      <c r="H44" s="147"/>
    </row>
    <row r="45" spans="1:8" hidden="1" x14ac:dyDescent="0.25">
      <c r="A45" s="34" t="s">
        <v>158</v>
      </c>
      <c r="B45" s="35" t="s">
        <v>31</v>
      </c>
      <c r="C45" s="36">
        <v>0.9</v>
      </c>
      <c r="D45" s="33">
        <v>0.68400000000000005</v>
      </c>
      <c r="E45" s="33">
        <v>0.58140000000000003</v>
      </c>
      <c r="F45" s="33">
        <v>0.58140000000000003</v>
      </c>
      <c r="G45" s="33">
        <v>0.58140000000000003</v>
      </c>
      <c r="H45" s="147"/>
    </row>
    <row r="46" spans="1:8" hidden="1" x14ac:dyDescent="0.25">
      <c r="A46" s="34" t="s">
        <v>158</v>
      </c>
      <c r="B46" s="35" t="s">
        <v>151</v>
      </c>
      <c r="C46" s="36">
        <v>0.157</v>
      </c>
      <c r="H46" s="147"/>
    </row>
    <row r="47" spans="1:8" hidden="1" x14ac:dyDescent="0.25">
      <c r="A47" s="34" t="s">
        <v>158</v>
      </c>
      <c r="B47" s="35" t="s">
        <v>32</v>
      </c>
      <c r="C47" s="36">
        <v>0.8</v>
      </c>
      <c r="D47" s="33">
        <v>0.64000000000000012</v>
      </c>
      <c r="E47" s="33">
        <v>0.64000000000000012</v>
      </c>
      <c r="F47" s="33">
        <v>0.64000000000000012</v>
      </c>
      <c r="G47" s="33">
        <v>0.64000000000000012</v>
      </c>
      <c r="H47" s="147"/>
    </row>
    <row r="48" spans="1:8" hidden="1" x14ac:dyDescent="0.25">
      <c r="A48" s="34" t="s">
        <v>158</v>
      </c>
      <c r="B48" s="35" t="s">
        <v>152</v>
      </c>
      <c r="C48" s="36">
        <v>1.9375</v>
      </c>
      <c r="D48" s="33">
        <v>1.9375</v>
      </c>
      <c r="E48" s="33">
        <v>1.66625</v>
      </c>
      <c r="F48" s="33">
        <v>1.66625</v>
      </c>
      <c r="G48" s="33">
        <v>1.66625</v>
      </c>
      <c r="H48" s="146"/>
    </row>
    <row r="49" spans="1:12" hidden="1" x14ac:dyDescent="0.25">
      <c r="A49" s="34" t="s">
        <v>158</v>
      </c>
      <c r="B49" s="35" t="s">
        <v>33</v>
      </c>
      <c r="C49" s="36">
        <v>0.19</v>
      </c>
      <c r="D49" s="36">
        <v>0.19</v>
      </c>
      <c r="E49" s="36">
        <v>0.19</v>
      </c>
      <c r="F49" s="36">
        <v>0.19</v>
      </c>
      <c r="G49" s="36">
        <v>0.19</v>
      </c>
      <c r="H49" s="146"/>
    </row>
    <row r="50" spans="1:12" hidden="1" x14ac:dyDescent="0.25">
      <c r="A50" s="37" t="s">
        <v>159</v>
      </c>
      <c r="B50" s="35" t="s">
        <v>29</v>
      </c>
      <c r="C50" s="36">
        <v>60</v>
      </c>
      <c r="D50" s="33">
        <v>16.6022</v>
      </c>
      <c r="E50" s="33">
        <v>14.941980000000001</v>
      </c>
      <c r="F50" s="33">
        <v>14.941980000000001</v>
      </c>
      <c r="G50" s="33">
        <v>14.941980000000001</v>
      </c>
      <c r="H50" s="147"/>
      <c r="I50" s="33">
        <f>G50*125/(12*3)</f>
        <v>51.881875000000008</v>
      </c>
      <c r="J50" s="33">
        <f>G50*125/(6*25)</f>
        <v>12.451650000000001</v>
      </c>
      <c r="K50" s="33">
        <f>G50*125/(12*1.5)</f>
        <v>103.76375000000002</v>
      </c>
      <c r="L50" s="33">
        <f>G50*125/(6*13)</f>
        <v>23.945480769230773</v>
      </c>
    </row>
    <row r="51" spans="1:12" hidden="1" x14ac:dyDescent="0.25">
      <c r="A51" s="34" t="s">
        <v>159</v>
      </c>
      <c r="B51" s="35" t="s">
        <v>150</v>
      </c>
      <c r="C51" s="36">
        <v>0.18</v>
      </c>
      <c r="D51" s="33">
        <v>3.7467999999999998E-3</v>
      </c>
      <c r="E51" s="33">
        <v>3.3721199999999997E-3</v>
      </c>
      <c r="F51" s="33">
        <v>3.3721199999999997E-3</v>
      </c>
      <c r="G51" s="33">
        <v>3.3721199999999997E-3</v>
      </c>
      <c r="H51" s="147"/>
      <c r="I51" s="33">
        <f t="shared" ref="I51:I53" si="0">G51*125/(12*3)</f>
        <v>1.1708749999999999E-2</v>
      </c>
      <c r="J51" s="33">
        <f t="shared" ref="J51:J53" si="1">G51*125/(6*25)</f>
        <v>2.8100999999999998E-3</v>
      </c>
      <c r="K51" s="33">
        <f t="shared" ref="K51:K53" si="2">G51*125/(12*1.5)</f>
        <v>2.3417499999999997E-2</v>
      </c>
      <c r="L51" s="33">
        <f t="shared" ref="L51:L53" si="3">G51*125/(12*13)</f>
        <v>2.7020192307692305E-3</v>
      </c>
    </row>
    <row r="52" spans="1:12" hidden="1" x14ac:dyDescent="0.25">
      <c r="A52" s="34" t="s">
        <v>159</v>
      </c>
      <c r="B52" s="35" t="s">
        <v>30</v>
      </c>
      <c r="C52" s="36">
        <v>2E-3</v>
      </c>
      <c r="D52" s="33">
        <v>6.4600000000000012E-5</v>
      </c>
      <c r="E52" s="33">
        <v>5.8140000000000009E-5</v>
      </c>
      <c r="F52" s="33">
        <v>5.8140000000000009E-5</v>
      </c>
      <c r="G52" s="33">
        <v>5.8140000000000009E-5</v>
      </c>
      <c r="H52" s="147"/>
      <c r="I52" s="33">
        <f t="shared" si="0"/>
        <v>2.0187500000000004E-4</v>
      </c>
      <c r="J52" s="33">
        <f t="shared" si="1"/>
        <v>4.8450000000000012E-5</v>
      </c>
      <c r="K52" s="33">
        <f t="shared" si="2"/>
        <v>4.0375000000000008E-4</v>
      </c>
      <c r="L52" s="33">
        <f t="shared" si="3"/>
        <v>4.6586538461538471E-5</v>
      </c>
    </row>
    <row r="53" spans="1:12" hidden="1" x14ac:dyDescent="0.25">
      <c r="A53" s="34" t="s">
        <v>159</v>
      </c>
      <c r="B53" s="35" t="s">
        <v>31</v>
      </c>
      <c r="C53" s="36">
        <v>0.85</v>
      </c>
      <c r="D53" s="33">
        <v>0.64600000000000002</v>
      </c>
      <c r="E53" s="33">
        <v>0.58140000000000003</v>
      </c>
      <c r="F53" s="33">
        <v>0.58140000000000003</v>
      </c>
      <c r="G53" s="33">
        <v>0.58140000000000003</v>
      </c>
      <c r="H53" s="147"/>
      <c r="I53" s="33">
        <f t="shared" si="0"/>
        <v>2.0187499999999998</v>
      </c>
      <c r="J53" s="33">
        <f t="shared" si="1"/>
        <v>0.48449999999999999</v>
      </c>
      <c r="K53" s="33">
        <f t="shared" si="2"/>
        <v>4.0374999999999996</v>
      </c>
      <c r="L53" s="33">
        <f t="shared" si="3"/>
        <v>0.46586538461538457</v>
      </c>
    </row>
    <row r="54" spans="1:12" hidden="1" x14ac:dyDescent="0.25">
      <c r="A54" s="34" t="s">
        <v>159</v>
      </c>
      <c r="B54" s="35" t="s">
        <v>151</v>
      </c>
      <c r="C54" s="36">
        <v>0.38</v>
      </c>
      <c r="H54" s="147"/>
    </row>
    <row r="55" spans="1:12" hidden="1" x14ac:dyDescent="0.25">
      <c r="A55" s="34" t="s">
        <v>159</v>
      </c>
      <c r="B55" s="35" t="s">
        <v>32</v>
      </c>
      <c r="C55" s="36">
        <v>0.8</v>
      </c>
      <c r="D55" s="33">
        <v>0.64000000000000012</v>
      </c>
      <c r="E55" s="33">
        <v>0.64000000000000012</v>
      </c>
      <c r="F55" s="33">
        <v>0.64000000000000012</v>
      </c>
      <c r="G55" s="33">
        <v>0.64000000000000012</v>
      </c>
      <c r="H55" s="147"/>
    </row>
    <row r="56" spans="1:12" hidden="1" x14ac:dyDescent="0.25">
      <c r="A56" s="34" t="s">
        <v>159</v>
      </c>
      <c r="B56" s="35" t="s">
        <v>152</v>
      </c>
      <c r="C56" s="36">
        <v>0.18</v>
      </c>
      <c r="D56" s="33">
        <v>0.18</v>
      </c>
      <c r="E56" s="33">
        <v>0.15479999999999999</v>
      </c>
      <c r="F56" s="33">
        <v>0.15479999999999999</v>
      </c>
      <c r="G56" s="33">
        <v>0.15479999999999999</v>
      </c>
      <c r="H56" s="146"/>
    </row>
    <row r="57" spans="1:12" hidden="1" x14ac:dyDescent="0.25">
      <c r="A57" s="34" t="s">
        <v>159</v>
      </c>
      <c r="B57" s="35" t="s">
        <v>33</v>
      </c>
      <c r="C57" s="36">
        <v>0.27</v>
      </c>
      <c r="D57" s="36">
        <v>0.27</v>
      </c>
      <c r="E57" s="36">
        <v>0.27</v>
      </c>
      <c r="F57" s="36">
        <v>0.27</v>
      </c>
      <c r="G57" s="36">
        <v>0.27</v>
      </c>
      <c r="H57" s="113"/>
    </row>
    <row r="58" spans="1:12" x14ac:dyDescent="0.25">
      <c r="A58" s="34" t="s">
        <v>69</v>
      </c>
      <c r="B58" s="35" t="s">
        <v>29</v>
      </c>
      <c r="C58" s="36">
        <v>139</v>
      </c>
      <c r="D58" s="33">
        <v>88.543000000000006</v>
      </c>
      <c r="E58" s="33">
        <v>85.439911199178042</v>
      </c>
      <c r="F58" s="33">
        <v>83.426193467336688</v>
      </c>
      <c r="G58" s="33">
        <v>83.426193467336688</v>
      </c>
    </row>
    <row r="59" spans="1:12" hidden="1" x14ac:dyDescent="0.25">
      <c r="A59" s="34" t="s">
        <v>69</v>
      </c>
      <c r="B59" s="35" t="s">
        <v>150</v>
      </c>
      <c r="C59" s="36">
        <v>0.34</v>
      </c>
      <c r="D59" s="33">
        <v>0.21692000000000003</v>
      </c>
      <c r="E59" s="33">
        <v>0.20892294930875577</v>
      </c>
      <c r="F59" s="33">
        <v>0.2043844221105528</v>
      </c>
      <c r="G59" s="33">
        <v>0.2043844221105528</v>
      </c>
    </row>
    <row r="60" spans="1:12" hidden="1" x14ac:dyDescent="0.25">
      <c r="A60" s="34" t="s">
        <v>69</v>
      </c>
      <c r="B60" s="35" t="s">
        <v>30</v>
      </c>
      <c r="C60" s="36">
        <v>0.4</v>
      </c>
      <c r="D60" s="33">
        <v>0.25480000000000003</v>
      </c>
      <c r="E60" s="33">
        <v>0.24580705882352943</v>
      </c>
      <c r="F60" s="33">
        <v>0.24007537688442213</v>
      </c>
      <c r="G60" s="33">
        <v>0.24007537688442213</v>
      </c>
    </row>
    <row r="61" spans="1:12" hidden="1" x14ac:dyDescent="0.25">
      <c r="A61" s="34" t="s">
        <v>69</v>
      </c>
      <c r="B61" s="35" t="s">
        <v>31</v>
      </c>
      <c r="C61" s="36">
        <v>1.9</v>
      </c>
      <c r="D61" s="33">
        <v>1.1361999999999999</v>
      </c>
      <c r="E61" s="33">
        <v>1.0962281442392259</v>
      </c>
      <c r="F61" s="33">
        <v>1.0705402010050251</v>
      </c>
      <c r="G61" s="33">
        <v>1.0705402010050251</v>
      </c>
    </row>
    <row r="62" spans="1:12" hidden="1" x14ac:dyDescent="0.25">
      <c r="A62" s="34" t="s">
        <v>69</v>
      </c>
      <c r="B62" s="35" t="s">
        <v>151</v>
      </c>
      <c r="C62" s="36">
        <v>0.58099999999999996</v>
      </c>
      <c r="D62" s="33">
        <v>0.55485499999999999</v>
      </c>
    </row>
    <row r="63" spans="1:12" hidden="1" x14ac:dyDescent="0.25">
      <c r="A63" s="34" t="s">
        <v>69</v>
      </c>
      <c r="B63" s="35" t="s">
        <v>32</v>
      </c>
      <c r="C63" s="36">
        <v>2.2000000000000002</v>
      </c>
      <c r="D63" s="33">
        <v>0.97020000000000006</v>
      </c>
      <c r="E63" s="33">
        <v>0.87318000000000007</v>
      </c>
      <c r="F63" s="33">
        <v>0.87318000000000007</v>
      </c>
      <c r="G63" s="33">
        <v>0.87318000000000007</v>
      </c>
    </row>
    <row r="64" spans="1:12" hidden="1" x14ac:dyDescent="0.25">
      <c r="A64" s="34" t="s">
        <v>69</v>
      </c>
      <c r="B64" s="35" t="s">
        <v>152</v>
      </c>
      <c r="C64" s="36">
        <v>0.30009999999999998</v>
      </c>
      <c r="D64" s="33">
        <v>0.33141393449999995</v>
      </c>
      <c r="E64" s="33">
        <v>0.34467049187999999</v>
      </c>
      <c r="F64" s="33">
        <v>0.33028373006949713</v>
      </c>
      <c r="G64" s="33">
        <v>0.33028373006949713</v>
      </c>
    </row>
    <row r="65" spans="1:12" hidden="1" x14ac:dyDescent="0.25">
      <c r="A65" s="34" t="s">
        <v>69</v>
      </c>
      <c r="B65" s="35" t="s">
        <v>33</v>
      </c>
      <c r="C65" s="36">
        <v>0.33</v>
      </c>
      <c r="D65" s="36">
        <v>0.33</v>
      </c>
      <c r="E65" s="36">
        <v>0.33</v>
      </c>
      <c r="F65" s="33">
        <v>0.35310000000000002</v>
      </c>
      <c r="G65" s="33">
        <v>0.35310000000000002</v>
      </c>
    </row>
    <row r="66" spans="1:12" hidden="1" x14ac:dyDescent="0.25">
      <c r="A66" s="34" t="s">
        <v>160</v>
      </c>
      <c r="B66" s="35" t="s">
        <v>29</v>
      </c>
      <c r="C66" s="36">
        <v>36</v>
      </c>
      <c r="D66" s="33">
        <v>9.766</v>
      </c>
      <c r="E66" s="33">
        <v>8.7894000000000005</v>
      </c>
      <c r="F66" s="33">
        <v>8.7894000000000005</v>
      </c>
      <c r="G66" s="33">
        <v>8.7894000000000005</v>
      </c>
      <c r="I66" s="33">
        <f>G66*298/(24*3)</f>
        <v>36.378350000000005</v>
      </c>
      <c r="J66" s="33">
        <f>G66*298/(12*25)</f>
        <v>8.7308040000000009</v>
      </c>
      <c r="K66" s="33">
        <f>G66*298/(24*1.5)</f>
        <v>72.756700000000009</v>
      </c>
      <c r="L66" s="33">
        <f>G66*298/(12*13)</f>
        <v>16.790007692307693</v>
      </c>
    </row>
    <row r="67" spans="1:12" hidden="1" x14ac:dyDescent="0.25">
      <c r="A67" s="34" t="s">
        <v>160</v>
      </c>
      <c r="B67" s="35" t="s">
        <v>150</v>
      </c>
      <c r="C67" s="36">
        <v>0</v>
      </c>
      <c r="D67" s="33">
        <v>2.2039999999999998E-3</v>
      </c>
      <c r="E67" s="33">
        <v>1.9835999999999999E-3</v>
      </c>
      <c r="F67" s="33">
        <v>1.9835999999999999E-3</v>
      </c>
      <c r="G67" s="33">
        <v>1.9835999999999999E-3</v>
      </c>
      <c r="I67" s="33">
        <f t="shared" ref="I67:I69" si="4">G67*298/(24*3)</f>
        <v>8.2098999999999991E-3</v>
      </c>
      <c r="J67" s="33">
        <f t="shared" ref="J67:J69" si="5">G67*298/(12*25)</f>
        <v>1.9703759999999998E-3</v>
      </c>
      <c r="K67" s="33">
        <f t="shared" ref="K67:K69" si="6">G67*298/(24*1.5)</f>
        <v>1.6419799999999998E-2</v>
      </c>
      <c r="L67" s="33">
        <f t="shared" ref="L67:L69" si="7">G67*298/(12*13)</f>
        <v>3.7891846153846154E-3</v>
      </c>
    </row>
    <row r="68" spans="1:12" hidden="1" x14ac:dyDescent="0.25">
      <c r="A68" s="34" t="s">
        <v>160</v>
      </c>
      <c r="B68" s="35" t="s">
        <v>30</v>
      </c>
      <c r="C68" s="36">
        <v>4.0000000000000001E-3</v>
      </c>
      <c r="D68" s="33">
        <v>3.8000000000000002E-5</v>
      </c>
      <c r="E68" s="33">
        <v>3.4200000000000005E-5</v>
      </c>
      <c r="F68" s="33">
        <v>3.4200000000000005E-5</v>
      </c>
      <c r="G68" s="33">
        <v>3.4200000000000005E-5</v>
      </c>
      <c r="I68" s="33">
        <f t="shared" si="4"/>
        <v>1.4155000000000003E-4</v>
      </c>
      <c r="J68" s="33">
        <f t="shared" si="5"/>
        <v>3.3972000000000006E-5</v>
      </c>
      <c r="K68" s="33">
        <f t="shared" si="6"/>
        <v>2.8310000000000005E-4</v>
      </c>
      <c r="L68" s="33">
        <f t="shared" si="7"/>
        <v>6.5330769230769237E-5</v>
      </c>
    </row>
    <row r="69" spans="1:12" hidden="1" x14ac:dyDescent="0.25">
      <c r="A69" s="34" t="s">
        <v>160</v>
      </c>
      <c r="B69" s="35" t="s">
        <v>31</v>
      </c>
      <c r="C69" s="36">
        <v>0.5</v>
      </c>
      <c r="D69" s="33">
        <v>0.38</v>
      </c>
      <c r="E69" s="33">
        <v>0.34200000000000003</v>
      </c>
      <c r="F69" s="33">
        <v>0.34200000000000003</v>
      </c>
      <c r="G69" s="33">
        <v>0.34200000000000003</v>
      </c>
      <c r="I69" s="33">
        <f t="shared" si="4"/>
        <v>1.4155000000000002</v>
      </c>
      <c r="J69" s="33">
        <f t="shared" si="5"/>
        <v>0.33972000000000002</v>
      </c>
      <c r="K69" s="33">
        <f t="shared" si="6"/>
        <v>2.8310000000000004</v>
      </c>
      <c r="L69" s="33">
        <f t="shared" si="7"/>
        <v>0.65330769230769237</v>
      </c>
    </row>
    <row r="70" spans="1:12" hidden="1" x14ac:dyDescent="0.25">
      <c r="A70" s="34" t="s">
        <v>160</v>
      </c>
      <c r="B70" s="35" t="s">
        <v>151</v>
      </c>
      <c r="C70" s="36">
        <v>0.83599999999999997</v>
      </c>
    </row>
    <row r="71" spans="1:12" hidden="1" x14ac:dyDescent="0.25">
      <c r="A71" s="34" t="s">
        <v>160</v>
      </c>
      <c r="B71" s="35" t="s">
        <v>32</v>
      </c>
      <c r="C71" s="36">
        <v>0.8</v>
      </c>
      <c r="D71" s="33">
        <v>0.64000000000000012</v>
      </c>
      <c r="E71" s="33">
        <v>0.64000000000000012</v>
      </c>
      <c r="F71" s="33">
        <v>0.64000000000000012</v>
      </c>
      <c r="G71" s="33">
        <v>0.64000000000000012</v>
      </c>
    </row>
    <row r="72" spans="1:12" hidden="1" x14ac:dyDescent="0.25">
      <c r="A72" s="34" t="s">
        <v>160</v>
      </c>
      <c r="B72" s="35" t="s">
        <v>152</v>
      </c>
      <c r="C72" s="36">
        <v>0.18</v>
      </c>
      <c r="D72" s="33">
        <v>0.18</v>
      </c>
      <c r="E72" s="33">
        <v>0.15479999999999999</v>
      </c>
      <c r="F72" s="33">
        <v>0.15479999999999999</v>
      </c>
      <c r="G72" s="33">
        <v>0.15479999999999999</v>
      </c>
      <c r="H72" s="33" t="s">
        <v>161</v>
      </c>
      <c r="I72" s="33" t="s">
        <v>162</v>
      </c>
    </row>
    <row r="73" spans="1:12" hidden="1" x14ac:dyDescent="0.25">
      <c r="A73" s="34" t="s">
        <v>160</v>
      </c>
      <c r="B73" s="35" t="s">
        <v>33</v>
      </c>
      <c r="C73" s="36">
        <v>0.56000000000000005</v>
      </c>
      <c r="D73" s="36">
        <v>0.56000000000000005</v>
      </c>
      <c r="E73" s="36">
        <v>0.56000000000000005</v>
      </c>
      <c r="F73" s="36">
        <v>0.56000000000000005</v>
      </c>
      <c r="G73" s="36">
        <v>0.56000000000000005</v>
      </c>
    </row>
    <row r="74" spans="1:12" hidden="1" x14ac:dyDescent="0.25">
      <c r="A74" s="34" t="s">
        <v>163</v>
      </c>
      <c r="B74" s="35" t="s">
        <v>29</v>
      </c>
      <c r="C74" s="36">
        <v>201</v>
      </c>
      <c r="D74" s="33">
        <v>122.06729999999999</v>
      </c>
      <c r="E74" s="33">
        <v>122.06729999999999</v>
      </c>
      <c r="F74" s="33">
        <v>122.06729999999999</v>
      </c>
      <c r="G74" s="33">
        <v>122.06729999999999</v>
      </c>
    </row>
    <row r="75" spans="1:12" hidden="1" x14ac:dyDescent="0.25">
      <c r="A75" s="34" t="s">
        <v>163</v>
      </c>
      <c r="B75" s="35" t="s">
        <v>150</v>
      </c>
      <c r="C75" s="36">
        <v>0.51</v>
      </c>
      <c r="D75" s="33">
        <v>0.30972299999999997</v>
      </c>
      <c r="E75" s="33">
        <v>0.30972299999999997</v>
      </c>
      <c r="F75" s="33">
        <v>0.30972299999999997</v>
      </c>
      <c r="G75" s="33">
        <v>0.30972299999999997</v>
      </c>
    </row>
    <row r="76" spans="1:12" hidden="1" x14ac:dyDescent="0.25">
      <c r="A76" s="34" t="s">
        <v>163</v>
      </c>
      <c r="B76" s="35" t="s">
        <v>30</v>
      </c>
      <c r="C76" s="36">
        <v>0.04</v>
      </c>
      <c r="D76" s="33">
        <v>2.4291999999999998E-2</v>
      </c>
      <c r="E76" s="33">
        <v>2.4291999999999998E-2</v>
      </c>
      <c r="F76" s="33">
        <v>2.4291999999999998E-2</v>
      </c>
      <c r="G76" s="33">
        <v>2.4291999999999998E-2</v>
      </c>
    </row>
    <row r="77" spans="1:12" hidden="1" x14ac:dyDescent="0.25">
      <c r="A77" s="34" t="s">
        <v>163</v>
      </c>
      <c r="B77" s="35" t="s">
        <v>31</v>
      </c>
      <c r="C77" s="36">
        <v>1.5</v>
      </c>
      <c r="D77" s="33">
        <v>0.91094999999999993</v>
      </c>
      <c r="E77" s="33">
        <v>0.91094999999999993</v>
      </c>
      <c r="F77" s="33">
        <v>0.91094999999999993</v>
      </c>
      <c r="G77" s="33">
        <v>0.91094999999999993</v>
      </c>
    </row>
    <row r="78" spans="1:12" hidden="1" x14ac:dyDescent="0.25">
      <c r="A78" s="34" t="s">
        <v>163</v>
      </c>
      <c r="B78" s="35" t="s">
        <v>151</v>
      </c>
    </row>
    <row r="79" spans="1:12" hidden="1" x14ac:dyDescent="0.25">
      <c r="A79" s="34" t="s">
        <v>163</v>
      </c>
      <c r="B79" s="35" t="s">
        <v>32</v>
      </c>
      <c r="C79" s="36">
        <v>0.3</v>
      </c>
      <c r="D79" s="33">
        <v>0.18209999999999998</v>
      </c>
      <c r="E79" s="33">
        <v>0.18209999999999998</v>
      </c>
      <c r="F79" s="33">
        <v>0.18209999999999998</v>
      </c>
      <c r="G79" s="33">
        <v>0.18209999999999998</v>
      </c>
    </row>
    <row r="80" spans="1:12" hidden="1" x14ac:dyDescent="0.25">
      <c r="A80" s="34" t="s">
        <v>163</v>
      </c>
      <c r="B80" s="35" t="s">
        <v>152</v>
      </c>
      <c r="C80" s="36">
        <v>51</v>
      </c>
      <c r="D80" s="33">
        <v>51</v>
      </c>
      <c r="E80" s="33">
        <v>51</v>
      </c>
      <c r="F80" s="33">
        <v>51</v>
      </c>
      <c r="G80" s="33">
        <v>51</v>
      </c>
    </row>
    <row r="81" spans="1:8" hidden="1" x14ac:dyDescent="0.25">
      <c r="A81" s="34" t="s">
        <v>163</v>
      </c>
      <c r="B81" s="35" t="s">
        <v>33</v>
      </c>
      <c r="C81" s="36">
        <v>0.82</v>
      </c>
      <c r="D81" s="36">
        <v>0.82</v>
      </c>
      <c r="E81" s="36">
        <v>0.82</v>
      </c>
      <c r="F81" s="36">
        <v>0.82</v>
      </c>
      <c r="G81" s="36">
        <v>0.82</v>
      </c>
    </row>
    <row r="82" spans="1:8" hidden="1" x14ac:dyDescent="0.25">
      <c r="A82" s="34" t="s">
        <v>164</v>
      </c>
      <c r="B82" s="35" t="s">
        <v>29</v>
      </c>
      <c r="C82" s="36">
        <v>662.5</v>
      </c>
      <c r="D82" s="33">
        <v>364.37500000000006</v>
      </c>
      <c r="E82" s="33">
        <v>346.15625000000006</v>
      </c>
      <c r="F82" s="33">
        <v>337.50234375000002</v>
      </c>
      <c r="G82" s="33">
        <v>337.50234375000002</v>
      </c>
      <c r="H82" s="127" t="s">
        <v>447</v>
      </c>
    </row>
    <row r="83" spans="1:8" hidden="1" x14ac:dyDescent="0.25">
      <c r="A83" s="34" t="s">
        <v>164</v>
      </c>
      <c r="B83" s="35" t="s">
        <v>150</v>
      </c>
      <c r="C83" s="36">
        <v>1.39</v>
      </c>
      <c r="D83" s="33">
        <v>0.76449999999999996</v>
      </c>
      <c r="E83" s="33">
        <v>0.72627499999999989</v>
      </c>
      <c r="F83" s="33">
        <v>0.70811812499999993</v>
      </c>
      <c r="G83" s="33">
        <v>0.70811812499999993</v>
      </c>
      <c r="H83" s="127" t="s">
        <v>446</v>
      </c>
    </row>
    <row r="84" spans="1:8" hidden="1" x14ac:dyDescent="0.25">
      <c r="A84" s="34" t="s">
        <v>164</v>
      </c>
      <c r="B84" s="35" t="s">
        <v>30</v>
      </c>
      <c r="C84" s="36">
        <v>0.02</v>
      </c>
      <c r="D84" s="33">
        <v>1.1000000000000001E-2</v>
      </c>
      <c r="E84" s="33">
        <v>1.0450000000000001E-2</v>
      </c>
      <c r="F84" s="33">
        <v>1.018875E-2</v>
      </c>
      <c r="G84" s="33">
        <v>1.018875E-2</v>
      </c>
      <c r="H84" s="127" t="s">
        <v>446</v>
      </c>
    </row>
    <row r="85" spans="1:8" hidden="1" x14ac:dyDescent="0.25">
      <c r="A85" s="34" t="s">
        <v>164</v>
      </c>
      <c r="B85" s="35" t="s">
        <v>31</v>
      </c>
      <c r="C85" s="36">
        <v>9.0020000000000007</v>
      </c>
      <c r="D85" s="33">
        <v>4.9511000000000012</v>
      </c>
      <c r="E85" s="33">
        <v>4.703545000000001</v>
      </c>
      <c r="F85" s="33">
        <v>4.4741037804878063</v>
      </c>
      <c r="G85" s="33">
        <v>4.4741037804878063</v>
      </c>
      <c r="H85" s="127" t="s">
        <v>448</v>
      </c>
    </row>
    <row r="86" spans="1:8" hidden="1" x14ac:dyDescent="0.25">
      <c r="A86" s="34" t="s">
        <v>164</v>
      </c>
      <c r="B86" s="35" t="s">
        <v>32</v>
      </c>
      <c r="C86" s="36">
        <v>2.2000000000000002</v>
      </c>
      <c r="D86" s="33">
        <v>0.97020000000000006</v>
      </c>
      <c r="E86" s="33">
        <v>0.87318000000000007</v>
      </c>
      <c r="F86" s="33">
        <v>0.87318000000000007</v>
      </c>
      <c r="G86" s="33">
        <v>0.87318000000000007</v>
      </c>
      <c r="H86" s="127" t="s">
        <v>449</v>
      </c>
    </row>
    <row r="87" spans="1:8" hidden="1" x14ac:dyDescent="0.25">
      <c r="A87" s="34" t="s">
        <v>164</v>
      </c>
      <c r="B87" s="35" t="s">
        <v>152</v>
      </c>
      <c r="C87" s="36">
        <v>0.82599999999999996</v>
      </c>
      <c r="D87" s="33">
        <v>0.86729999999999996</v>
      </c>
      <c r="E87" s="33">
        <v>0.71985899999999992</v>
      </c>
      <c r="F87" s="33">
        <v>0.69379999999999997</v>
      </c>
      <c r="G87" s="33">
        <v>0.69379999999999997</v>
      </c>
      <c r="H87" s="127" t="s">
        <v>444</v>
      </c>
    </row>
    <row r="88" spans="1:8" hidden="1" x14ac:dyDescent="0.25">
      <c r="A88" s="34" t="s">
        <v>164</v>
      </c>
      <c r="B88" s="35" t="s">
        <v>33</v>
      </c>
      <c r="C88" s="36">
        <v>0.33</v>
      </c>
      <c r="D88" s="36">
        <v>0.33</v>
      </c>
      <c r="E88" s="36">
        <v>0.33</v>
      </c>
      <c r="F88" s="36">
        <v>0.33825</v>
      </c>
      <c r="G88" s="36">
        <v>0.33825</v>
      </c>
      <c r="H88" s="127" t="s">
        <v>445</v>
      </c>
    </row>
    <row r="89" spans="1:8" hidden="1" x14ac:dyDescent="0.25">
      <c r="A89" s="34" t="s">
        <v>165</v>
      </c>
      <c r="B89" s="35" t="s">
        <v>29</v>
      </c>
      <c r="C89" s="36">
        <v>103</v>
      </c>
      <c r="D89" s="33">
        <v>56.650000000000006</v>
      </c>
      <c r="E89" s="33">
        <v>48.152500000000003</v>
      </c>
      <c r="F89" s="33">
        <v>46.948687500000005</v>
      </c>
      <c r="G89" s="33">
        <v>46.948687500000005</v>
      </c>
    </row>
    <row r="90" spans="1:8" hidden="1" x14ac:dyDescent="0.25">
      <c r="A90" s="34" t="s">
        <v>165</v>
      </c>
      <c r="B90" s="35" t="s">
        <v>150</v>
      </c>
      <c r="C90" s="36">
        <v>0.217</v>
      </c>
      <c r="D90" s="33">
        <v>0.11935000000000001</v>
      </c>
      <c r="E90" s="33">
        <v>0.10144750000000001</v>
      </c>
      <c r="F90" s="33">
        <v>9.8911312500000015E-2</v>
      </c>
      <c r="G90" s="33">
        <v>9.8911312500000015E-2</v>
      </c>
    </row>
    <row r="91" spans="1:8" hidden="1" x14ac:dyDescent="0.25">
      <c r="A91" s="34" t="s">
        <v>165</v>
      </c>
      <c r="B91" s="35" t="s">
        <v>30</v>
      </c>
      <c r="C91" s="36">
        <v>3.0000000000000001E-3</v>
      </c>
      <c r="D91" s="33">
        <v>1.6500000000000002E-3</v>
      </c>
      <c r="E91" s="33">
        <v>1.4025000000000001E-3</v>
      </c>
      <c r="F91" s="33">
        <v>1.3674375000000002E-3</v>
      </c>
      <c r="G91" s="33">
        <v>1.3674375000000002E-3</v>
      </c>
    </row>
    <row r="92" spans="1:8" hidden="1" x14ac:dyDescent="0.25">
      <c r="A92" s="34" t="s">
        <v>165</v>
      </c>
      <c r="B92" s="35" t="s">
        <v>31</v>
      </c>
      <c r="C92" s="36">
        <v>1.4</v>
      </c>
      <c r="D92" s="33">
        <v>0.77</v>
      </c>
      <c r="E92" s="33">
        <v>0.65449999999999997</v>
      </c>
      <c r="F92" s="33">
        <v>0.63813750000000002</v>
      </c>
      <c r="G92" s="33">
        <v>0.63813750000000002</v>
      </c>
    </row>
    <row r="93" spans="1:8" hidden="1" x14ac:dyDescent="0.25">
      <c r="A93" s="34" t="s">
        <v>165</v>
      </c>
      <c r="B93" s="35" t="s">
        <v>32</v>
      </c>
      <c r="C93" s="36">
        <v>0.3</v>
      </c>
      <c r="D93" s="33">
        <v>0.1323</v>
      </c>
      <c r="E93" s="33">
        <v>0.11907000000000001</v>
      </c>
      <c r="F93" s="33">
        <v>0.11907000000000001</v>
      </c>
      <c r="G93" s="33">
        <v>0.11907000000000001</v>
      </c>
    </row>
    <row r="94" spans="1:8" hidden="1" x14ac:dyDescent="0.25">
      <c r="A94" s="34" t="s">
        <v>165</v>
      </c>
      <c r="B94" s="35" t="s">
        <v>152</v>
      </c>
      <c r="C94" s="36">
        <v>0.12</v>
      </c>
      <c r="D94" s="33">
        <v>0.15</v>
      </c>
      <c r="E94" s="33">
        <v>0.12374999999999999</v>
      </c>
      <c r="F94" s="33">
        <v>0.12299999999999998</v>
      </c>
      <c r="G94" s="33">
        <v>0.12299999999999998</v>
      </c>
    </row>
    <row r="95" spans="1:8" hidden="1" x14ac:dyDescent="0.25">
      <c r="A95" s="34" t="s">
        <v>165</v>
      </c>
      <c r="B95" s="35" t="s">
        <v>33</v>
      </c>
      <c r="C95" s="36">
        <v>1</v>
      </c>
    </row>
    <row r="96" spans="1:8" hidden="1" x14ac:dyDescent="0.25">
      <c r="A96" s="34" t="s">
        <v>166</v>
      </c>
      <c r="B96" s="35" t="s">
        <v>29</v>
      </c>
      <c r="C96" s="36">
        <v>20</v>
      </c>
      <c r="D96" s="33">
        <v>5.8595999999999995</v>
      </c>
      <c r="E96" s="33">
        <v>5.5666199999999995</v>
      </c>
      <c r="F96" s="33">
        <v>5.5666199999999995</v>
      </c>
      <c r="G96" s="33">
        <v>5.5666199999999995</v>
      </c>
    </row>
    <row r="97" spans="1:7" hidden="1" x14ac:dyDescent="0.25">
      <c r="A97" s="34" t="s">
        <v>166</v>
      </c>
      <c r="B97" s="35" t="s">
        <v>150</v>
      </c>
      <c r="C97" s="36">
        <v>6.7000000000000004E-2</v>
      </c>
      <c r="D97" s="33">
        <v>1.3223999999999998E-3</v>
      </c>
      <c r="E97" s="33">
        <v>1.2562799999999998E-3</v>
      </c>
      <c r="F97" s="33">
        <v>1.2562799999999998E-3</v>
      </c>
      <c r="G97" s="33">
        <v>1.2562799999999998E-3</v>
      </c>
    </row>
    <row r="98" spans="1:7" hidden="1" x14ac:dyDescent="0.25">
      <c r="A98" s="34" t="s">
        <v>166</v>
      </c>
      <c r="B98" s="35" t="s">
        <v>30</v>
      </c>
      <c r="C98" s="36">
        <v>1E-3</v>
      </c>
      <c r="D98" s="33">
        <v>2.2799999999999999E-5</v>
      </c>
      <c r="E98" s="33">
        <v>2.1659999999999999E-5</v>
      </c>
      <c r="F98" s="33">
        <v>2.1659999999999999E-5</v>
      </c>
      <c r="G98" s="33">
        <v>2.1659999999999999E-5</v>
      </c>
    </row>
    <row r="99" spans="1:7" hidden="1" x14ac:dyDescent="0.25">
      <c r="A99" s="34" t="s">
        <v>166</v>
      </c>
      <c r="B99" s="35" t="s">
        <v>31</v>
      </c>
      <c r="C99" s="36">
        <v>0.3</v>
      </c>
      <c r="D99" s="33">
        <v>0.22799999999999998</v>
      </c>
      <c r="E99" s="33">
        <v>0.21659999999999996</v>
      </c>
      <c r="F99" s="33">
        <v>0.21659999999999996</v>
      </c>
      <c r="G99" s="33">
        <v>0.21659999999999996</v>
      </c>
    </row>
    <row r="100" spans="1:7" hidden="1" x14ac:dyDescent="0.25">
      <c r="A100" s="34" t="s">
        <v>166</v>
      </c>
      <c r="B100" s="35" t="s">
        <v>32</v>
      </c>
      <c r="C100" s="36">
        <v>0.8</v>
      </c>
      <c r="D100" s="33">
        <v>0.64000000000000012</v>
      </c>
      <c r="E100" s="33">
        <v>0.64000000000000012</v>
      </c>
      <c r="F100" s="33">
        <v>0.64000000000000012</v>
      </c>
      <c r="G100" s="33">
        <v>0.64000000000000012</v>
      </c>
    </row>
    <row r="101" spans="1:7" hidden="1" x14ac:dyDescent="0.25">
      <c r="A101" s="34" t="s">
        <v>166</v>
      </c>
      <c r="B101" s="35" t="s">
        <v>152</v>
      </c>
      <c r="C101" s="36">
        <v>0.06</v>
      </c>
      <c r="D101" s="33">
        <v>0.06</v>
      </c>
      <c r="E101" s="33">
        <v>5.16E-2</v>
      </c>
      <c r="F101" s="33">
        <v>5.16E-2</v>
      </c>
      <c r="G101" s="33">
        <v>5.16E-2</v>
      </c>
    </row>
    <row r="102" spans="1:7" hidden="1" x14ac:dyDescent="0.25">
      <c r="A102" s="34" t="s">
        <v>166</v>
      </c>
      <c r="B102" s="35" t="s">
        <v>33</v>
      </c>
      <c r="C102" s="36">
        <v>1</v>
      </c>
    </row>
    <row r="103" spans="1:7" hidden="1" x14ac:dyDescent="0.25">
      <c r="A103" s="34" t="s">
        <v>167</v>
      </c>
      <c r="B103" s="35" t="s">
        <v>29</v>
      </c>
      <c r="C103" s="36">
        <v>32</v>
      </c>
      <c r="D103" s="33">
        <v>22.4</v>
      </c>
      <c r="E103" s="33">
        <v>22.4</v>
      </c>
      <c r="F103" s="33">
        <v>22.4</v>
      </c>
      <c r="G103" s="33">
        <v>22.4</v>
      </c>
    </row>
    <row r="104" spans="1:7" hidden="1" x14ac:dyDescent="0.25">
      <c r="A104" s="34" t="s">
        <v>167</v>
      </c>
      <c r="B104" s="35" t="s">
        <v>150</v>
      </c>
      <c r="C104" s="36">
        <v>0.41299999999999998</v>
      </c>
      <c r="D104" s="33">
        <v>0.28909999999999997</v>
      </c>
      <c r="E104" s="33">
        <v>0.28909999999999997</v>
      </c>
      <c r="F104" s="33">
        <v>0.28909999999999997</v>
      </c>
      <c r="G104" s="33">
        <v>0.28909999999999997</v>
      </c>
    </row>
    <row r="105" spans="1:7" hidden="1" x14ac:dyDescent="0.25">
      <c r="A105" s="34" t="s">
        <v>167</v>
      </c>
      <c r="B105" s="35" t="s">
        <v>30</v>
      </c>
      <c r="C105" s="36">
        <v>0.01</v>
      </c>
      <c r="D105" s="33">
        <v>6.9999999999999993E-3</v>
      </c>
      <c r="E105" s="33">
        <v>6.9999999999999993E-3</v>
      </c>
      <c r="F105" s="33">
        <v>6.9999999999999993E-3</v>
      </c>
      <c r="G105" s="33">
        <v>6.9999999999999993E-3</v>
      </c>
    </row>
    <row r="106" spans="1:7" hidden="1" x14ac:dyDescent="0.25">
      <c r="A106" s="34" t="s">
        <v>167</v>
      </c>
      <c r="B106" s="35" t="s">
        <v>31</v>
      </c>
      <c r="C106" s="36">
        <v>0.4</v>
      </c>
      <c r="D106" s="33">
        <v>0.27999999999999997</v>
      </c>
      <c r="E106" s="33">
        <v>0.27999999999999997</v>
      </c>
      <c r="F106" s="33">
        <v>0.27999999999999997</v>
      </c>
      <c r="G106" s="33">
        <v>0.27999999999999997</v>
      </c>
    </row>
    <row r="107" spans="1:7" hidden="1" x14ac:dyDescent="0.25">
      <c r="A107" s="34" t="s">
        <v>167</v>
      </c>
      <c r="B107" s="35" t="s">
        <v>32</v>
      </c>
      <c r="C107" s="36">
        <v>0.8</v>
      </c>
      <c r="D107" s="33">
        <v>0.8</v>
      </c>
      <c r="E107" s="33">
        <v>0.8</v>
      </c>
      <c r="F107" s="33">
        <v>0.8</v>
      </c>
      <c r="G107" s="33">
        <v>0.8</v>
      </c>
    </row>
    <row r="108" spans="1:7" hidden="1" x14ac:dyDescent="0.25">
      <c r="A108" s="34" t="s">
        <v>167</v>
      </c>
      <c r="B108" s="35" t="s">
        <v>152</v>
      </c>
      <c r="C108" s="36">
        <v>0.02</v>
      </c>
      <c r="D108" s="33">
        <v>0.02</v>
      </c>
      <c r="E108" s="33">
        <v>1.72E-2</v>
      </c>
      <c r="F108" s="33">
        <v>1.72E-2</v>
      </c>
      <c r="G108" s="33">
        <v>1.72E-2</v>
      </c>
    </row>
    <row r="109" spans="1:7" hidden="1" x14ac:dyDescent="0.25">
      <c r="A109" s="34" t="s">
        <v>167</v>
      </c>
      <c r="B109" s="35" t="s">
        <v>33</v>
      </c>
      <c r="C109" s="36">
        <v>1</v>
      </c>
    </row>
    <row r="110" spans="1:7" hidden="1" x14ac:dyDescent="0.25">
      <c r="A110" s="33" t="s">
        <v>168</v>
      </c>
      <c r="B110" s="35" t="s">
        <v>29</v>
      </c>
      <c r="C110" s="36">
        <v>3.661</v>
      </c>
      <c r="D110" s="33">
        <v>0.64250000000000007</v>
      </c>
      <c r="E110" s="33">
        <v>0.64250000000000007</v>
      </c>
      <c r="F110" s="33">
        <v>0.64250000000000007</v>
      </c>
      <c r="G110" s="33">
        <v>0.64250000000000007</v>
      </c>
    </row>
    <row r="111" spans="1:7" hidden="1" x14ac:dyDescent="0.25">
      <c r="A111" s="33" t="s">
        <v>168</v>
      </c>
      <c r="B111" s="35" t="s">
        <v>150</v>
      </c>
      <c r="C111" s="36">
        <v>3.0000000000000001E-3</v>
      </c>
      <c r="D111" s="33">
        <v>1.45E-4</v>
      </c>
      <c r="E111" s="33">
        <v>1.45E-4</v>
      </c>
      <c r="F111" s="33">
        <v>1.45E-4</v>
      </c>
      <c r="G111" s="33">
        <v>1.45E-4</v>
      </c>
    </row>
    <row r="112" spans="1:7" hidden="1" x14ac:dyDescent="0.25">
      <c r="A112" s="33" t="s">
        <v>168</v>
      </c>
      <c r="B112" s="35" t="s">
        <v>30</v>
      </c>
      <c r="C112" s="36">
        <v>0</v>
      </c>
      <c r="D112" s="33">
        <v>2.5000000000000002E-6</v>
      </c>
      <c r="E112" s="33">
        <v>2.5000000000000002E-6</v>
      </c>
      <c r="F112" s="33">
        <v>2.5000000000000002E-6</v>
      </c>
      <c r="G112" s="33">
        <v>2.5000000000000002E-6</v>
      </c>
    </row>
    <row r="113" spans="1:19" hidden="1" x14ac:dyDescent="0.25">
      <c r="A113" s="33" t="s">
        <v>168</v>
      </c>
      <c r="B113" s="35" t="s">
        <v>31</v>
      </c>
      <c r="C113" s="36">
        <v>2.5000000000000001E-2</v>
      </c>
      <c r="D113" s="33">
        <v>2.5000000000000001E-2</v>
      </c>
      <c r="E113" s="33">
        <v>2.5000000000000001E-2</v>
      </c>
      <c r="F113" s="33">
        <v>2.5000000000000001E-2</v>
      </c>
      <c r="G113" s="33">
        <v>2.5000000000000001E-2</v>
      </c>
    </row>
    <row r="114" spans="1:19" hidden="1" x14ac:dyDescent="0.25">
      <c r="A114" s="33" t="s">
        <v>168</v>
      </c>
      <c r="B114" s="35" t="s">
        <v>151</v>
      </c>
      <c r="C114" s="36">
        <v>2.7E-2</v>
      </c>
      <c r="D114" s="33">
        <v>0.27594000000000002</v>
      </c>
      <c r="E114" s="33">
        <v>0.27594000000000002</v>
      </c>
      <c r="F114" s="33">
        <v>0.27594000000000002</v>
      </c>
      <c r="G114" s="33">
        <v>0.27594000000000002</v>
      </c>
    </row>
    <row r="115" spans="1:19" hidden="1" x14ac:dyDescent="0.25">
      <c r="A115" s="33" t="s">
        <v>168</v>
      </c>
      <c r="B115" s="35" t="s">
        <v>32</v>
      </c>
      <c r="C115" s="36">
        <v>9.3000000000000007</v>
      </c>
      <c r="D115" s="33">
        <v>4.1013000000000002</v>
      </c>
      <c r="E115" s="33">
        <v>3.6911700000000001</v>
      </c>
      <c r="F115" s="33">
        <v>3.6911700000000001</v>
      </c>
      <c r="G115" s="33">
        <v>3.6911700000000001</v>
      </c>
    </row>
    <row r="116" spans="1:19" hidden="1" x14ac:dyDescent="0.25">
      <c r="A116" s="33" t="s">
        <v>168</v>
      </c>
      <c r="B116" s="35" t="s">
        <v>152</v>
      </c>
      <c r="C116" s="36">
        <v>1</v>
      </c>
      <c r="D116" s="33">
        <v>1</v>
      </c>
      <c r="E116" s="33">
        <v>1</v>
      </c>
      <c r="F116" s="33">
        <v>1</v>
      </c>
      <c r="G116" s="33">
        <v>1</v>
      </c>
    </row>
    <row r="117" spans="1:19" hidden="1" x14ac:dyDescent="0.25">
      <c r="A117" s="33" t="s">
        <v>168</v>
      </c>
      <c r="B117" s="35" t="s">
        <v>33</v>
      </c>
      <c r="C117" s="36">
        <v>1</v>
      </c>
      <c r="D117" s="33">
        <v>1</v>
      </c>
      <c r="E117" s="33">
        <v>1</v>
      </c>
      <c r="F117" s="33">
        <v>1</v>
      </c>
      <c r="G117" s="33">
        <v>1</v>
      </c>
    </row>
    <row r="118" spans="1:19" hidden="1" x14ac:dyDescent="0.25">
      <c r="A118" s="33" t="s">
        <v>169</v>
      </c>
      <c r="B118" s="35" t="s">
        <v>29</v>
      </c>
      <c r="C118" s="36">
        <v>139</v>
      </c>
      <c r="D118" s="33">
        <v>88.543000000000006</v>
      </c>
      <c r="E118" s="33">
        <v>85.439911199178042</v>
      </c>
      <c r="F118" s="33">
        <v>79.850384298297229</v>
      </c>
      <c r="G118" s="33">
        <v>79.850384298297229</v>
      </c>
    </row>
    <row r="119" spans="1:19" hidden="1" x14ac:dyDescent="0.25">
      <c r="A119" s="33" t="s">
        <v>169</v>
      </c>
      <c r="B119" s="35" t="s">
        <v>150</v>
      </c>
      <c r="C119" s="36">
        <v>0.34</v>
      </c>
      <c r="D119" s="33">
        <v>0.21692000000000003</v>
      </c>
      <c r="E119" s="33">
        <v>0.20892294930875577</v>
      </c>
      <c r="F119" s="33">
        <v>0.19525509281192127</v>
      </c>
      <c r="G119" s="33">
        <v>0.19525509281192127</v>
      </c>
    </row>
    <row r="120" spans="1:19" hidden="1" x14ac:dyDescent="0.25">
      <c r="A120" s="33" t="s">
        <v>169</v>
      </c>
      <c r="B120" s="35" t="s">
        <v>30</v>
      </c>
      <c r="C120" s="36">
        <v>0.4</v>
      </c>
      <c r="D120" s="33">
        <v>0.25480000000000003</v>
      </c>
      <c r="E120" s="33">
        <v>0.24580705882352943</v>
      </c>
      <c r="F120" s="33">
        <v>0.22972622319956024</v>
      </c>
      <c r="G120" s="33">
        <v>0.22972622319956024</v>
      </c>
    </row>
    <row r="121" spans="1:19" hidden="1" x14ac:dyDescent="0.25">
      <c r="A121" s="33" t="s">
        <v>169</v>
      </c>
      <c r="B121" s="35" t="s">
        <v>31</v>
      </c>
      <c r="C121" s="36">
        <v>1.9</v>
      </c>
      <c r="D121" s="33">
        <v>1.1361999999999999</v>
      </c>
      <c r="E121" s="33">
        <v>1.0962281442392259</v>
      </c>
      <c r="F121" s="33">
        <v>1.0245122843357251</v>
      </c>
      <c r="G121" s="33">
        <v>1.0245122843357251</v>
      </c>
    </row>
    <row r="122" spans="1:19" hidden="1" x14ac:dyDescent="0.25">
      <c r="A122" s="33" t="s">
        <v>169</v>
      </c>
      <c r="B122" s="35" t="s">
        <v>151</v>
      </c>
    </row>
    <row r="123" spans="1:19" hidden="1" x14ac:dyDescent="0.25">
      <c r="A123" s="33" t="s">
        <v>169</v>
      </c>
      <c r="B123" s="35" t="s">
        <v>32</v>
      </c>
      <c r="C123" s="36">
        <v>2.2000000000000002</v>
      </c>
      <c r="D123" s="33">
        <v>0.97020000000000006</v>
      </c>
      <c r="E123" s="33">
        <v>0.87318000000000007</v>
      </c>
      <c r="F123" s="33">
        <v>0.87318000000000007</v>
      </c>
      <c r="G123" s="33">
        <v>0.87318000000000007</v>
      </c>
    </row>
    <row r="124" spans="1:19" hidden="1" x14ac:dyDescent="0.25">
      <c r="A124" s="33" t="s">
        <v>169</v>
      </c>
      <c r="B124" s="35" t="s">
        <v>152</v>
      </c>
      <c r="C124" s="36">
        <v>1.9</v>
      </c>
      <c r="D124" s="33">
        <v>1.9949999999999999</v>
      </c>
      <c r="E124" s="33">
        <v>0.28999999999999998</v>
      </c>
      <c r="F124" s="33">
        <v>0.22333333333333333</v>
      </c>
      <c r="G124" s="33">
        <v>0.22333333333333333</v>
      </c>
    </row>
    <row r="125" spans="1:19" hidden="1" x14ac:dyDescent="0.25">
      <c r="A125" s="33" t="s">
        <v>169</v>
      </c>
      <c r="B125" s="35" t="s">
        <v>33</v>
      </c>
      <c r="C125" s="36">
        <v>1.5</v>
      </c>
      <c r="D125" s="36">
        <v>1.5</v>
      </c>
      <c r="E125" s="36">
        <v>1.5</v>
      </c>
      <c r="F125" s="33">
        <v>1.7999999999999998</v>
      </c>
      <c r="G125" s="33">
        <v>1.7999999999999998</v>
      </c>
    </row>
    <row r="126" spans="1:19" ht="15.75" hidden="1" x14ac:dyDescent="0.25">
      <c r="A126" t="s">
        <v>34</v>
      </c>
      <c r="B126" s="35" t="s">
        <v>29</v>
      </c>
      <c r="C126" s="93">
        <v>0</v>
      </c>
      <c r="D126" s="93">
        <v>0</v>
      </c>
      <c r="E126" s="93">
        <v>0</v>
      </c>
      <c r="F126" s="93">
        <v>0</v>
      </c>
      <c r="G126" s="93">
        <v>47.29</v>
      </c>
      <c r="O126" s="122" t="s">
        <v>428</v>
      </c>
      <c r="P126" s="33">
        <v>14.56</v>
      </c>
    </row>
    <row r="127" spans="1:19" ht="15.75" hidden="1" x14ac:dyDescent="0.25">
      <c r="A127" t="s">
        <v>34</v>
      </c>
      <c r="B127" s="35" t="s">
        <v>150</v>
      </c>
      <c r="C127" s="93">
        <v>0</v>
      </c>
      <c r="D127" s="93">
        <v>0</v>
      </c>
      <c r="E127" s="93">
        <v>0</v>
      </c>
      <c r="F127" s="93">
        <v>0</v>
      </c>
      <c r="G127" s="93">
        <v>0.12</v>
      </c>
      <c r="N127" s="122" t="s">
        <v>430</v>
      </c>
      <c r="O127" s="122" t="s">
        <v>429</v>
      </c>
      <c r="P127" s="33">
        <f>P126/12</f>
        <v>1.2133333333333334</v>
      </c>
      <c r="R127" s="122" t="s">
        <v>436</v>
      </c>
      <c r="S127" s="33">
        <f>1/3</f>
        <v>0.33333333333333331</v>
      </c>
    </row>
    <row r="128" spans="1:19" ht="15.75" hidden="1" x14ac:dyDescent="0.25">
      <c r="A128" t="s">
        <v>34</v>
      </c>
      <c r="B128" s="35" t="s">
        <v>30</v>
      </c>
      <c r="C128" s="93">
        <v>0</v>
      </c>
      <c r="D128" s="93">
        <v>0</v>
      </c>
      <c r="E128" s="93">
        <v>0</v>
      </c>
      <c r="F128" s="93">
        <v>0</v>
      </c>
      <c r="G128" s="93">
        <v>0.14000000000000001</v>
      </c>
      <c r="N128" s="122" t="s">
        <v>431</v>
      </c>
      <c r="O128" s="122" t="s">
        <v>429</v>
      </c>
      <c r="P128" s="33">
        <f>P126/24</f>
        <v>0.60666666666666669</v>
      </c>
    </row>
    <row r="129" spans="1:19" ht="15.75" hidden="1" x14ac:dyDescent="0.25">
      <c r="A129" t="s">
        <v>34</v>
      </c>
      <c r="B129" s="35" t="s">
        <v>31</v>
      </c>
      <c r="C129" s="93">
        <v>0</v>
      </c>
      <c r="D129" s="93">
        <v>0</v>
      </c>
      <c r="E129" s="93">
        <v>0</v>
      </c>
      <c r="F129" s="93">
        <v>0</v>
      </c>
      <c r="G129" s="93">
        <v>0.61</v>
      </c>
    </row>
    <row r="130" spans="1:19" ht="15.75" hidden="1" x14ac:dyDescent="0.25">
      <c r="A130" t="s">
        <v>34</v>
      </c>
      <c r="B130" s="35" t="s">
        <v>151</v>
      </c>
      <c r="C130" s="93">
        <v>0</v>
      </c>
      <c r="D130" s="93">
        <v>0</v>
      </c>
      <c r="E130" s="93">
        <v>0</v>
      </c>
      <c r="F130" s="93">
        <v>0</v>
      </c>
      <c r="G130" s="36">
        <v>0</v>
      </c>
      <c r="M130" s="33">
        <f>(S127*35000+40000)/(350000*3)</f>
        <v>4.9206349206349205E-2</v>
      </c>
      <c r="N130" s="122" t="s">
        <v>430</v>
      </c>
      <c r="O130" s="122" t="s">
        <v>432</v>
      </c>
      <c r="P130" s="33">
        <f>P127/3+M130</f>
        <v>0.45365079365079364</v>
      </c>
      <c r="Q130" s="122" t="s">
        <v>431</v>
      </c>
      <c r="R130" s="122" t="s">
        <v>432</v>
      </c>
      <c r="S130" s="33">
        <f>P128/3+M130</f>
        <v>0.25142857142857145</v>
      </c>
    </row>
    <row r="131" spans="1:19" ht="15.75" hidden="1" x14ac:dyDescent="0.25">
      <c r="A131" t="s">
        <v>34</v>
      </c>
      <c r="B131" s="35" t="s">
        <v>32</v>
      </c>
      <c r="C131" s="93">
        <v>0</v>
      </c>
      <c r="D131" s="93">
        <v>0</v>
      </c>
      <c r="E131" s="93">
        <v>0</v>
      </c>
      <c r="F131" s="93">
        <v>0</v>
      </c>
      <c r="G131" s="33">
        <v>0.87318000000000007</v>
      </c>
      <c r="M131" s="33">
        <f>(S127*250000+40000)/(350000*25)</f>
        <v>1.4095238095238095E-2</v>
      </c>
      <c r="N131" s="122" t="s">
        <v>430</v>
      </c>
      <c r="O131" s="122" t="s">
        <v>433</v>
      </c>
      <c r="P131" s="33">
        <f>P127*2/25+M131</f>
        <v>0.11116190476190477</v>
      </c>
      <c r="Q131" s="122" t="s">
        <v>431</v>
      </c>
      <c r="R131" s="122" t="s">
        <v>433</v>
      </c>
      <c r="S131" s="33">
        <f>P128*2/25+M131</f>
        <v>6.2628571428571436E-2</v>
      </c>
    </row>
    <row r="132" spans="1:19" ht="15.75" hidden="1" x14ac:dyDescent="0.25">
      <c r="A132" t="s">
        <v>34</v>
      </c>
      <c r="B132" s="35" t="s">
        <v>152</v>
      </c>
      <c r="C132" s="93">
        <v>0</v>
      </c>
      <c r="D132" s="93">
        <v>0</v>
      </c>
      <c r="E132" s="93">
        <v>0</v>
      </c>
      <c r="F132" s="93">
        <v>0</v>
      </c>
      <c r="G132" s="36">
        <v>0.27</v>
      </c>
      <c r="M132" s="33">
        <f>(S127*30000+40000)/(350000*1.5)</f>
        <v>9.5238095238095233E-2</v>
      </c>
      <c r="N132" s="122" t="s">
        <v>430</v>
      </c>
      <c r="O132" s="122" t="s">
        <v>435</v>
      </c>
      <c r="P132" s="33">
        <f>P127/1.5+M132</f>
        <v>0.90412698412698411</v>
      </c>
      <c r="Q132" s="122" t="s">
        <v>431</v>
      </c>
      <c r="R132" s="122" t="s">
        <v>435</v>
      </c>
      <c r="S132" s="33">
        <f>P128/1.5+M132</f>
        <v>0.49968253968253967</v>
      </c>
    </row>
    <row r="133" spans="1:19" ht="15.75" hidden="1" x14ac:dyDescent="0.25">
      <c r="A133" t="s">
        <v>34</v>
      </c>
      <c r="B133" s="35" t="s">
        <v>33</v>
      </c>
      <c r="C133" s="93">
        <v>0</v>
      </c>
      <c r="D133" s="93">
        <v>0</v>
      </c>
      <c r="E133" s="93">
        <v>0</v>
      </c>
      <c r="F133" s="93">
        <v>0</v>
      </c>
      <c r="G133" s="93">
        <v>0.5</v>
      </c>
      <c r="M133" s="33">
        <f>(S127*200000+40000)/(350000*13)</f>
        <v>2.344322344322344E-2</v>
      </c>
      <c r="N133" s="122" t="s">
        <v>430</v>
      </c>
      <c r="O133" s="122" t="s">
        <v>434</v>
      </c>
      <c r="P133" s="33">
        <f>P127*2/13+M133</f>
        <v>0.21010989010989012</v>
      </c>
      <c r="Q133" s="122" t="s">
        <v>431</v>
      </c>
      <c r="R133" s="122" t="s">
        <v>434</v>
      </c>
      <c r="S133" s="33">
        <f>P128*2/13+M133</f>
        <v>0.11677655677655678</v>
      </c>
    </row>
    <row r="134" spans="1:19" ht="15.75" hidden="1" x14ac:dyDescent="0.25">
      <c r="A134" t="s">
        <v>35</v>
      </c>
      <c r="B134" s="35" t="s">
        <v>29</v>
      </c>
      <c r="C134" s="93">
        <v>0</v>
      </c>
      <c r="D134" s="93">
        <v>0</v>
      </c>
      <c r="E134" s="93">
        <v>0</v>
      </c>
      <c r="F134" s="93">
        <v>0</v>
      </c>
      <c r="G134" s="93">
        <v>34.299999999999997</v>
      </c>
    </row>
    <row r="135" spans="1:19" ht="15.75" hidden="1" x14ac:dyDescent="0.25">
      <c r="A135" t="s">
        <v>35</v>
      </c>
      <c r="B135" s="35" t="s">
        <v>150</v>
      </c>
      <c r="C135" s="93">
        <v>0</v>
      </c>
      <c r="D135" s="93">
        <v>0</v>
      </c>
      <c r="E135" s="93">
        <v>0</v>
      </c>
      <c r="F135" s="93">
        <v>0</v>
      </c>
      <c r="G135" s="93">
        <v>0.13</v>
      </c>
    </row>
    <row r="136" spans="1:19" ht="15.75" hidden="1" x14ac:dyDescent="0.25">
      <c r="A136" t="s">
        <v>35</v>
      </c>
      <c r="B136" s="35" t="s">
        <v>30</v>
      </c>
      <c r="C136" s="93">
        <v>0</v>
      </c>
      <c r="D136" s="93">
        <v>0</v>
      </c>
      <c r="E136" s="93">
        <v>0</v>
      </c>
      <c r="F136" s="93">
        <v>0</v>
      </c>
      <c r="G136" s="93">
        <v>0.01</v>
      </c>
    </row>
    <row r="137" spans="1:19" ht="15.75" hidden="1" x14ac:dyDescent="0.25">
      <c r="A137" t="s">
        <v>35</v>
      </c>
      <c r="B137" s="35" t="s">
        <v>31</v>
      </c>
      <c r="C137" s="93">
        <v>0</v>
      </c>
      <c r="D137" s="93">
        <v>0</v>
      </c>
      <c r="E137" s="93">
        <v>0</v>
      </c>
      <c r="F137" s="93">
        <v>0</v>
      </c>
      <c r="G137" s="93">
        <v>0.46</v>
      </c>
    </row>
    <row r="138" spans="1:19" ht="15.75" hidden="1" x14ac:dyDescent="0.25">
      <c r="A138" t="s">
        <v>35</v>
      </c>
      <c r="B138" s="35" t="s">
        <v>151</v>
      </c>
      <c r="C138" s="93">
        <v>0</v>
      </c>
      <c r="D138" s="93">
        <v>0</v>
      </c>
      <c r="E138" s="93">
        <v>0</v>
      </c>
      <c r="F138" s="93">
        <v>0</v>
      </c>
      <c r="G138" s="36">
        <v>0</v>
      </c>
    </row>
    <row r="139" spans="1:19" ht="15.75" hidden="1" x14ac:dyDescent="0.25">
      <c r="A139" t="s">
        <v>35</v>
      </c>
      <c r="B139" s="35" t="s">
        <v>32</v>
      </c>
      <c r="C139" s="93">
        <v>0</v>
      </c>
      <c r="D139" s="93">
        <v>0</v>
      </c>
      <c r="E139" s="93">
        <v>0</v>
      </c>
      <c r="F139" s="93">
        <v>0</v>
      </c>
      <c r="G139" s="93">
        <v>0.21</v>
      </c>
    </row>
    <row r="140" spans="1:19" ht="15.75" hidden="1" x14ac:dyDescent="0.25">
      <c r="A140" t="s">
        <v>35</v>
      </c>
      <c r="B140" s="35" t="s">
        <v>152</v>
      </c>
      <c r="C140" s="93">
        <v>0</v>
      </c>
      <c r="D140" s="93">
        <v>0</v>
      </c>
      <c r="E140" s="93">
        <v>0</v>
      </c>
      <c r="F140" s="93">
        <v>0</v>
      </c>
      <c r="G140" s="36">
        <v>0.2</v>
      </c>
    </row>
    <row r="141" spans="1:19" ht="15.75" hidden="1" x14ac:dyDescent="0.25">
      <c r="A141" t="s">
        <v>35</v>
      </c>
      <c r="B141" s="35" t="s">
        <v>33</v>
      </c>
      <c r="C141" s="93">
        <v>0</v>
      </c>
      <c r="D141" s="93">
        <v>0</v>
      </c>
      <c r="E141" s="93">
        <v>0</v>
      </c>
      <c r="F141" s="93">
        <v>0</v>
      </c>
      <c r="G141" s="93">
        <v>0.5</v>
      </c>
    </row>
    <row r="142" spans="1:19" ht="15.75" hidden="1" x14ac:dyDescent="0.25">
      <c r="A142" t="s">
        <v>414</v>
      </c>
      <c r="B142" s="35" t="s">
        <v>29</v>
      </c>
      <c r="C142" s="93">
        <v>0</v>
      </c>
      <c r="D142" s="93">
        <v>0</v>
      </c>
      <c r="E142" s="93">
        <v>0</v>
      </c>
      <c r="F142" s="93">
        <v>0</v>
      </c>
      <c r="G142" s="93">
        <v>51.881875000000008</v>
      </c>
    </row>
    <row r="143" spans="1:19" ht="15.75" hidden="1" x14ac:dyDescent="0.25">
      <c r="A143" t="s">
        <v>414</v>
      </c>
      <c r="B143" s="35" t="s">
        <v>150</v>
      </c>
      <c r="C143" s="93">
        <v>0</v>
      </c>
      <c r="D143" s="93">
        <v>0</v>
      </c>
      <c r="E143" s="93">
        <v>0</v>
      </c>
      <c r="F143" s="93">
        <v>0</v>
      </c>
      <c r="G143" s="93">
        <v>1.1708749999999999E-2</v>
      </c>
    </row>
    <row r="144" spans="1:19" ht="15.75" hidden="1" x14ac:dyDescent="0.25">
      <c r="A144" t="s">
        <v>414</v>
      </c>
      <c r="B144" s="35" t="s">
        <v>30</v>
      </c>
      <c r="C144" s="93">
        <v>0</v>
      </c>
      <c r="D144" s="93">
        <v>0</v>
      </c>
      <c r="E144" s="93">
        <v>0</v>
      </c>
      <c r="F144" s="93">
        <v>0</v>
      </c>
      <c r="G144" s="93">
        <v>2.0187500000000004E-4</v>
      </c>
    </row>
    <row r="145" spans="1:7" ht="15.75" hidden="1" x14ac:dyDescent="0.25">
      <c r="A145" t="s">
        <v>414</v>
      </c>
      <c r="B145" s="35" t="s">
        <v>31</v>
      </c>
      <c r="C145" s="93">
        <v>0</v>
      </c>
      <c r="D145" s="93">
        <v>0</v>
      </c>
      <c r="E145" s="93">
        <v>0</v>
      </c>
      <c r="F145" s="93">
        <v>0</v>
      </c>
      <c r="G145" s="93">
        <v>2.0187499999999998</v>
      </c>
    </row>
    <row r="146" spans="1:7" ht="15.75" hidden="1" x14ac:dyDescent="0.25">
      <c r="A146" t="s">
        <v>414</v>
      </c>
      <c r="B146" s="35" t="s">
        <v>151</v>
      </c>
      <c r="C146" s="93">
        <v>0</v>
      </c>
      <c r="D146" s="93">
        <v>0</v>
      </c>
      <c r="E146" s="93">
        <v>0</v>
      </c>
      <c r="F146" s="93">
        <v>0</v>
      </c>
      <c r="G146" s="93">
        <v>0</v>
      </c>
    </row>
    <row r="147" spans="1:7" ht="15.75" hidden="1" x14ac:dyDescent="0.25">
      <c r="A147" t="s">
        <v>414</v>
      </c>
      <c r="B147" s="35" t="s">
        <v>32</v>
      </c>
      <c r="C147" s="93">
        <v>0</v>
      </c>
      <c r="D147" s="93">
        <v>0</v>
      </c>
      <c r="E147" s="93">
        <v>0</v>
      </c>
      <c r="F147" s="93">
        <v>0</v>
      </c>
      <c r="G147" s="93">
        <v>0.64000000000000012</v>
      </c>
    </row>
    <row r="148" spans="1:7" ht="15.75" hidden="1" x14ac:dyDescent="0.25">
      <c r="A148" t="s">
        <v>414</v>
      </c>
      <c r="B148" s="35" t="s">
        <v>152</v>
      </c>
      <c r="C148" s="93">
        <v>0</v>
      </c>
      <c r="D148" s="93">
        <v>0</v>
      </c>
      <c r="E148" s="93">
        <v>0</v>
      </c>
      <c r="F148" s="93">
        <v>0</v>
      </c>
      <c r="G148" s="33">
        <v>0.45365079365079364</v>
      </c>
    </row>
    <row r="149" spans="1:7" ht="15.75" hidden="1" x14ac:dyDescent="0.25">
      <c r="A149" t="s">
        <v>414</v>
      </c>
      <c r="B149" s="35" t="s">
        <v>33</v>
      </c>
      <c r="C149" s="93">
        <v>0</v>
      </c>
      <c r="D149" s="93">
        <v>0</v>
      </c>
      <c r="E149" s="93">
        <v>0</v>
      </c>
      <c r="F149" s="93">
        <v>0</v>
      </c>
      <c r="G149" s="93">
        <v>0.42499999999999999</v>
      </c>
    </row>
    <row r="150" spans="1:7" ht="15.75" hidden="1" x14ac:dyDescent="0.25">
      <c r="A150" t="s">
        <v>415</v>
      </c>
      <c r="B150" s="35" t="s">
        <v>29</v>
      </c>
      <c r="C150" s="93">
        <v>0</v>
      </c>
      <c r="D150" s="93">
        <v>0</v>
      </c>
      <c r="E150" s="93">
        <v>0</v>
      </c>
      <c r="F150" s="93">
        <v>0</v>
      </c>
      <c r="G150" s="93">
        <v>12.451650000000001</v>
      </c>
    </row>
    <row r="151" spans="1:7" ht="15.75" hidden="1" x14ac:dyDescent="0.25">
      <c r="A151" t="s">
        <v>415</v>
      </c>
      <c r="B151" s="35" t="s">
        <v>150</v>
      </c>
      <c r="C151" s="93">
        <v>0</v>
      </c>
      <c r="D151" s="93">
        <v>0</v>
      </c>
      <c r="E151" s="93">
        <v>0</v>
      </c>
      <c r="F151" s="93">
        <v>0</v>
      </c>
      <c r="G151" s="93">
        <v>2.8100999999999998E-3</v>
      </c>
    </row>
    <row r="152" spans="1:7" ht="15.75" hidden="1" x14ac:dyDescent="0.25">
      <c r="A152" t="s">
        <v>415</v>
      </c>
      <c r="B152" s="35" t="s">
        <v>30</v>
      </c>
      <c r="C152" s="93">
        <v>0</v>
      </c>
      <c r="D152" s="93">
        <v>0</v>
      </c>
      <c r="E152" s="93">
        <v>0</v>
      </c>
      <c r="F152" s="93">
        <v>0</v>
      </c>
      <c r="G152" s="93">
        <v>4.8450000000000012E-5</v>
      </c>
    </row>
    <row r="153" spans="1:7" ht="15.75" hidden="1" x14ac:dyDescent="0.25">
      <c r="A153" t="s">
        <v>415</v>
      </c>
      <c r="B153" s="35" t="s">
        <v>31</v>
      </c>
      <c r="C153" s="93">
        <v>0</v>
      </c>
      <c r="D153" s="93">
        <v>0</v>
      </c>
      <c r="E153" s="93">
        <v>0</v>
      </c>
      <c r="F153" s="93">
        <v>0</v>
      </c>
      <c r="G153" s="93">
        <v>0.48449999999999999</v>
      </c>
    </row>
    <row r="154" spans="1:7" ht="15.75" hidden="1" x14ac:dyDescent="0.25">
      <c r="A154" t="s">
        <v>415</v>
      </c>
      <c r="B154" s="35" t="s">
        <v>151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</row>
    <row r="155" spans="1:7" ht="15.75" hidden="1" x14ac:dyDescent="0.25">
      <c r="A155" t="s">
        <v>415</v>
      </c>
      <c r="B155" s="35" t="s">
        <v>32</v>
      </c>
      <c r="C155" s="93">
        <v>0</v>
      </c>
      <c r="D155" s="93">
        <v>0</v>
      </c>
      <c r="E155" s="93">
        <v>0</v>
      </c>
      <c r="F155" s="93">
        <v>0</v>
      </c>
      <c r="G155" s="93">
        <v>0.64000000000000012</v>
      </c>
    </row>
    <row r="156" spans="1:7" ht="15.75" hidden="1" x14ac:dyDescent="0.25">
      <c r="A156" t="s">
        <v>415</v>
      </c>
      <c r="B156" s="35" t="s">
        <v>152</v>
      </c>
      <c r="C156" s="93">
        <v>0</v>
      </c>
      <c r="D156" s="93">
        <v>0</v>
      </c>
      <c r="E156" s="93">
        <v>0</v>
      </c>
      <c r="F156" s="93">
        <v>0</v>
      </c>
      <c r="G156" s="33">
        <v>0.11116190476190477</v>
      </c>
    </row>
    <row r="157" spans="1:7" ht="15.75" hidden="1" x14ac:dyDescent="0.25">
      <c r="A157" t="s">
        <v>415</v>
      </c>
      <c r="B157" s="35" t="s">
        <v>33</v>
      </c>
      <c r="C157" s="93">
        <v>0</v>
      </c>
      <c r="D157" s="93">
        <v>0</v>
      </c>
      <c r="E157" s="93">
        <v>0</v>
      </c>
      <c r="F157" s="93">
        <v>0</v>
      </c>
      <c r="G157" s="93">
        <v>0.5</v>
      </c>
    </row>
    <row r="158" spans="1:7" ht="15.75" hidden="1" x14ac:dyDescent="0.25">
      <c r="A158" t="s">
        <v>416</v>
      </c>
      <c r="B158" s="35" t="s">
        <v>29</v>
      </c>
      <c r="C158" s="93">
        <v>0</v>
      </c>
      <c r="D158" s="93">
        <v>0</v>
      </c>
      <c r="E158" s="93">
        <v>0</v>
      </c>
      <c r="F158" s="93">
        <v>0</v>
      </c>
      <c r="G158" s="93">
        <v>36.378350000000005</v>
      </c>
    </row>
    <row r="159" spans="1:7" ht="15.75" hidden="1" x14ac:dyDescent="0.25">
      <c r="A159" t="s">
        <v>416</v>
      </c>
      <c r="B159" s="35" t="s">
        <v>150</v>
      </c>
      <c r="C159" s="93">
        <v>0</v>
      </c>
      <c r="D159" s="93">
        <v>0</v>
      </c>
      <c r="E159" s="93">
        <v>0</v>
      </c>
      <c r="F159" s="93">
        <v>0</v>
      </c>
      <c r="G159" s="93">
        <v>8.2098999999999991E-3</v>
      </c>
    </row>
    <row r="160" spans="1:7" ht="15.75" hidden="1" x14ac:dyDescent="0.25">
      <c r="A160" t="s">
        <v>416</v>
      </c>
      <c r="B160" s="35" t="s">
        <v>30</v>
      </c>
      <c r="C160" s="93">
        <v>0</v>
      </c>
      <c r="D160" s="93">
        <v>0</v>
      </c>
      <c r="E160" s="93">
        <v>0</v>
      </c>
      <c r="F160" s="93">
        <v>0</v>
      </c>
      <c r="G160" s="93">
        <v>1.4155000000000003E-4</v>
      </c>
    </row>
    <row r="161" spans="1:7" ht="15.75" hidden="1" x14ac:dyDescent="0.25">
      <c r="A161" t="s">
        <v>416</v>
      </c>
      <c r="B161" s="35" t="s">
        <v>31</v>
      </c>
      <c r="C161" s="93">
        <v>0</v>
      </c>
      <c r="D161" s="93">
        <v>0</v>
      </c>
      <c r="E161" s="93">
        <v>0</v>
      </c>
      <c r="F161" s="93">
        <v>0</v>
      </c>
      <c r="G161" s="93">
        <v>1.4155000000000002</v>
      </c>
    </row>
    <row r="162" spans="1:7" ht="15.75" hidden="1" x14ac:dyDescent="0.25">
      <c r="A162" t="s">
        <v>416</v>
      </c>
      <c r="B162" s="35" t="s">
        <v>151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</row>
    <row r="163" spans="1:7" ht="15.75" hidden="1" x14ac:dyDescent="0.25">
      <c r="A163" t="s">
        <v>416</v>
      </c>
      <c r="B163" s="35" t="s">
        <v>32</v>
      </c>
      <c r="C163" s="93">
        <v>0</v>
      </c>
      <c r="D163" s="93">
        <v>0</v>
      </c>
      <c r="E163" s="93">
        <v>0</v>
      </c>
      <c r="F163" s="93">
        <v>0</v>
      </c>
      <c r="G163" s="93">
        <v>0.64000000000000012</v>
      </c>
    </row>
    <row r="164" spans="1:7" ht="15.75" hidden="1" x14ac:dyDescent="0.25">
      <c r="A164" t="s">
        <v>416</v>
      </c>
      <c r="B164" s="35" t="s">
        <v>152</v>
      </c>
      <c r="C164" s="93">
        <v>0</v>
      </c>
      <c r="D164" s="93">
        <v>0</v>
      </c>
      <c r="E164" s="93">
        <v>0</v>
      </c>
      <c r="F164" s="93">
        <v>0</v>
      </c>
      <c r="G164" s="33">
        <v>0.25142857142857145</v>
      </c>
    </row>
    <row r="165" spans="1:7" ht="15.75" hidden="1" x14ac:dyDescent="0.25">
      <c r="A165" t="s">
        <v>416</v>
      </c>
      <c r="B165" s="35" t="s">
        <v>33</v>
      </c>
      <c r="C165" s="93">
        <v>0</v>
      </c>
      <c r="D165" s="93">
        <v>0</v>
      </c>
      <c r="E165" s="93">
        <v>0</v>
      </c>
      <c r="F165" s="93">
        <v>0</v>
      </c>
      <c r="G165" s="93">
        <v>0.43</v>
      </c>
    </row>
    <row r="166" spans="1:7" ht="15.75" hidden="1" x14ac:dyDescent="0.25">
      <c r="A166" t="s">
        <v>417</v>
      </c>
      <c r="B166" s="35" t="s">
        <v>29</v>
      </c>
      <c r="C166" s="93">
        <v>0</v>
      </c>
      <c r="D166" s="93">
        <v>0</v>
      </c>
      <c r="E166" s="93">
        <v>0</v>
      </c>
      <c r="F166" s="93">
        <v>0</v>
      </c>
      <c r="G166" s="93">
        <v>8.7308040000000009</v>
      </c>
    </row>
    <row r="167" spans="1:7" ht="15.75" hidden="1" x14ac:dyDescent="0.25">
      <c r="A167" t="s">
        <v>417</v>
      </c>
      <c r="B167" s="35" t="s">
        <v>150</v>
      </c>
      <c r="C167" s="93">
        <v>0</v>
      </c>
      <c r="D167" s="93">
        <v>0</v>
      </c>
      <c r="E167" s="93">
        <v>0</v>
      </c>
      <c r="F167" s="93">
        <v>0</v>
      </c>
      <c r="G167" s="93">
        <v>1.9703759999999998E-3</v>
      </c>
    </row>
    <row r="168" spans="1:7" ht="15.75" hidden="1" x14ac:dyDescent="0.25">
      <c r="A168" t="s">
        <v>417</v>
      </c>
      <c r="B168" s="35" t="s">
        <v>30</v>
      </c>
      <c r="C168" s="93">
        <v>0</v>
      </c>
      <c r="D168" s="93">
        <v>0</v>
      </c>
      <c r="E168" s="93">
        <v>0</v>
      </c>
      <c r="F168" s="93">
        <v>0</v>
      </c>
      <c r="G168" s="93">
        <v>3.3972000000000006E-5</v>
      </c>
    </row>
    <row r="169" spans="1:7" ht="15.75" hidden="1" x14ac:dyDescent="0.25">
      <c r="A169" t="s">
        <v>417</v>
      </c>
      <c r="B169" s="35" t="s">
        <v>31</v>
      </c>
      <c r="C169" s="93">
        <v>0</v>
      </c>
      <c r="D169" s="93">
        <v>0</v>
      </c>
      <c r="E169" s="93">
        <v>0</v>
      </c>
      <c r="F169" s="93">
        <v>0</v>
      </c>
      <c r="G169" s="93">
        <v>0.33972000000000002</v>
      </c>
    </row>
    <row r="170" spans="1:7" ht="15.75" hidden="1" x14ac:dyDescent="0.25">
      <c r="A170" t="s">
        <v>417</v>
      </c>
      <c r="B170" s="35" t="s">
        <v>151</v>
      </c>
      <c r="C170" s="93">
        <v>0</v>
      </c>
      <c r="D170" s="93">
        <v>0</v>
      </c>
      <c r="E170" s="93">
        <v>0</v>
      </c>
      <c r="F170" s="93">
        <v>0</v>
      </c>
      <c r="G170" s="93">
        <v>0</v>
      </c>
    </row>
    <row r="171" spans="1:7" ht="15.75" hidden="1" x14ac:dyDescent="0.25">
      <c r="A171" t="s">
        <v>417</v>
      </c>
      <c r="B171" s="35" t="s">
        <v>32</v>
      </c>
      <c r="C171" s="93">
        <v>0</v>
      </c>
      <c r="D171" s="93">
        <v>0</v>
      </c>
      <c r="E171" s="93">
        <v>0</v>
      </c>
      <c r="F171" s="93">
        <v>0</v>
      </c>
      <c r="G171" s="93">
        <v>0.64000000000000012</v>
      </c>
    </row>
    <row r="172" spans="1:7" ht="15.75" hidden="1" x14ac:dyDescent="0.25">
      <c r="A172" t="s">
        <v>417</v>
      </c>
      <c r="B172" s="35" t="s">
        <v>152</v>
      </c>
      <c r="C172" s="93">
        <v>0</v>
      </c>
      <c r="D172" s="93">
        <v>0</v>
      </c>
      <c r="E172" s="93">
        <v>0</v>
      </c>
      <c r="F172" s="93">
        <v>0</v>
      </c>
      <c r="G172" s="33">
        <v>6.2628571428571436E-2</v>
      </c>
    </row>
    <row r="173" spans="1:7" ht="15.75" hidden="1" x14ac:dyDescent="0.25">
      <c r="A173" t="s">
        <v>417</v>
      </c>
      <c r="B173" s="35" t="s">
        <v>33</v>
      </c>
      <c r="C173" s="93">
        <v>0</v>
      </c>
      <c r="D173" s="93">
        <v>0</v>
      </c>
      <c r="E173" s="93">
        <v>0</v>
      </c>
      <c r="F173" s="93">
        <v>0</v>
      </c>
      <c r="G173" s="93">
        <v>0.5</v>
      </c>
    </row>
    <row r="174" spans="1:7" ht="15.75" hidden="1" x14ac:dyDescent="0.25">
      <c r="A174" t="s">
        <v>437</v>
      </c>
      <c r="B174" s="35" t="s">
        <v>29</v>
      </c>
      <c r="C174" s="93">
        <v>0</v>
      </c>
      <c r="D174" s="93">
        <v>0</v>
      </c>
      <c r="E174" s="93">
        <v>0</v>
      </c>
      <c r="F174" s="93">
        <v>0</v>
      </c>
      <c r="G174" s="92">
        <v>86.063097656250008</v>
      </c>
    </row>
    <row r="175" spans="1:7" ht="15.75" hidden="1" x14ac:dyDescent="0.25">
      <c r="A175" t="s">
        <v>437</v>
      </c>
      <c r="B175" s="35" t="s">
        <v>150</v>
      </c>
      <c r="C175" s="93">
        <v>0</v>
      </c>
      <c r="D175" s="93">
        <v>0</v>
      </c>
      <c r="E175" s="93">
        <v>0</v>
      </c>
      <c r="F175" s="93">
        <v>0</v>
      </c>
      <c r="G175" s="92">
        <v>0.18057012187499999</v>
      </c>
    </row>
    <row r="176" spans="1:7" ht="15.75" hidden="1" x14ac:dyDescent="0.25">
      <c r="A176" t="s">
        <v>437</v>
      </c>
      <c r="B176" s="35" t="s">
        <v>30</v>
      </c>
      <c r="C176" s="93">
        <v>0</v>
      </c>
      <c r="D176" s="93">
        <v>0</v>
      </c>
      <c r="E176" s="93">
        <v>0</v>
      </c>
      <c r="F176" s="93">
        <v>0</v>
      </c>
      <c r="G176" s="92">
        <v>2.5981312499999999E-3</v>
      </c>
    </row>
    <row r="177" spans="1:9" ht="15.75" hidden="1" x14ac:dyDescent="0.25">
      <c r="A177" t="s">
        <v>437</v>
      </c>
      <c r="B177" s="35" t="s">
        <v>31</v>
      </c>
      <c r="C177" s="93">
        <v>0</v>
      </c>
      <c r="D177" s="93">
        <v>0</v>
      </c>
      <c r="E177" s="93">
        <v>0</v>
      </c>
      <c r="F177" s="93">
        <v>0</v>
      </c>
      <c r="G177" s="92">
        <v>1.1408964640243906</v>
      </c>
    </row>
    <row r="178" spans="1:9" ht="15.75" hidden="1" x14ac:dyDescent="0.25">
      <c r="A178" t="s">
        <v>437</v>
      </c>
      <c r="B178" s="35" t="s">
        <v>32</v>
      </c>
      <c r="C178" s="93">
        <v>0</v>
      </c>
      <c r="D178" s="93">
        <v>0</v>
      </c>
      <c r="E178" s="93">
        <v>0</v>
      </c>
      <c r="F178" s="93">
        <v>0</v>
      </c>
      <c r="G178" s="33">
        <v>0.87318000000000007</v>
      </c>
    </row>
    <row r="179" spans="1:9" ht="15.75" hidden="1" x14ac:dyDescent="0.25">
      <c r="A179" t="s">
        <v>437</v>
      </c>
      <c r="B179" s="35" t="s">
        <v>152</v>
      </c>
      <c r="C179" s="93">
        <v>0</v>
      </c>
      <c r="D179" s="93">
        <v>0</v>
      </c>
      <c r="E179" s="93">
        <v>0</v>
      </c>
      <c r="F179" s="93">
        <v>0</v>
      </c>
      <c r="G179" s="36">
        <v>0.25</v>
      </c>
    </row>
    <row r="180" spans="1:9" ht="15.75" hidden="1" x14ac:dyDescent="0.25">
      <c r="A180" t="s">
        <v>437</v>
      </c>
      <c r="B180" s="35" t="s">
        <v>33</v>
      </c>
      <c r="C180" s="93">
        <v>0</v>
      </c>
      <c r="D180" s="93">
        <v>0</v>
      </c>
      <c r="E180" s="93">
        <v>0</v>
      </c>
      <c r="F180" s="93">
        <v>0</v>
      </c>
      <c r="G180" s="93">
        <v>0</v>
      </c>
    </row>
    <row r="181" spans="1:9" ht="15.75" hidden="1" x14ac:dyDescent="0.25">
      <c r="A181" t="s">
        <v>438</v>
      </c>
      <c r="B181" s="35" t="s">
        <v>29</v>
      </c>
      <c r="C181" s="93">
        <v>0</v>
      </c>
      <c r="D181" s="93">
        <v>0</v>
      </c>
      <c r="E181" s="93">
        <v>0</v>
      </c>
      <c r="F181" s="93">
        <v>0</v>
      </c>
      <c r="G181" s="33">
        <v>21.170246625000004</v>
      </c>
    </row>
    <row r="182" spans="1:9" ht="15.75" hidden="1" x14ac:dyDescent="0.25">
      <c r="A182" t="s">
        <v>438</v>
      </c>
      <c r="B182" s="35" t="s">
        <v>150</v>
      </c>
      <c r="C182" s="93">
        <v>0</v>
      </c>
      <c r="D182" s="93">
        <v>0</v>
      </c>
      <c r="E182" s="93">
        <v>0</v>
      </c>
      <c r="F182" s="93">
        <v>0</v>
      </c>
      <c r="G182" s="33">
        <v>4.4601393375000013E-2</v>
      </c>
    </row>
    <row r="183" spans="1:9" ht="15.75" hidden="1" x14ac:dyDescent="0.25">
      <c r="A183" t="s">
        <v>438</v>
      </c>
      <c r="B183" s="35" t="s">
        <v>30</v>
      </c>
      <c r="C183" s="93">
        <v>0</v>
      </c>
      <c r="D183" s="93">
        <v>0</v>
      </c>
      <c r="E183" s="93">
        <v>0</v>
      </c>
      <c r="F183" s="93">
        <v>0</v>
      </c>
      <c r="G183" s="33">
        <v>6.166091250000001E-4</v>
      </c>
    </row>
    <row r="184" spans="1:9" ht="15.75" hidden="1" x14ac:dyDescent="0.25">
      <c r="A184" t="s">
        <v>438</v>
      </c>
      <c r="B184" s="35" t="s">
        <v>31</v>
      </c>
      <c r="C184" s="93">
        <v>0</v>
      </c>
      <c r="D184" s="93">
        <v>0</v>
      </c>
      <c r="E184" s="93">
        <v>0</v>
      </c>
      <c r="F184" s="93">
        <v>0</v>
      </c>
      <c r="G184" s="33">
        <v>0.28775092499999999</v>
      </c>
    </row>
    <row r="185" spans="1:9" ht="15.75" hidden="1" x14ac:dyDescent="0.25">
      <c r="A185" t="s">
        <v>438</v>
      </c>
      <c r="B185" s="35" t="s">
        <v>32</v>
      </c>
      <c r="C185" s="93">
        <v>0</v>
      </c>
      <c r="D185" s="93">
        <v>0</v>
      </c>
      <c r="E185" s="93">
        <v>0</v>
      </c>
      <c r="F185" s="93">
        <v>0</v>
      </c>
      <c r="G185" s="33">
        <v>2.6460000000000001E-2</v>
      </c>
    </row>
    <row r="186" spans="1:9" ht="15.75" hidden="1" x14ac:dyDescent="0.25">
      <c r="A186" t="s">
        <v>438</v>
      </c>
      <c r="B186" s="35" t="s">
        <v>152</v>
      </c>
      <c r="C186" s="93">
        <v>0</v>
      </c>
      <c r="D186" s="93">
        <v>0</v>
      </c>
      <c r="E186" s="93">
        <v>0</v>
      </c>
      <c r="F186" s="93">
        <v>0</v>
      </c>
      <c r="G186" s="93">
        <v>0.1</v>
      </c>
    </row>
    <row r="187" spans="1:9" ht="15.75" hidden="1" x14ac:dyDescent="0.25">
      <c r="A187" t="s">
        <v>438</v>
      </c>
      <c r="B187" s="35" t="s">
        <v>33</v>
      </c>
      <c r="C187" s="93">
        <v>0</v>
      </c>
      <c r="D187" s="93">
        <v>0</v>
      </c>
      <c r="E187" s="93">
        <v>0</v>
      </c>
      <c r="F187" s="93">
        <v>0</v>
      </c>
      <c r="G187" s="93">
        <v>0</v>
      </c>
    </row>
    <row r="188" spans="1:9" hidden="1" x14ac:dyDescent="0.25">
      <c r="A188" s="122" t="s">
        <v>424</v>
      </c>
      <c r="B188" s="35" t="s">
        <v>29</v>
      </c>
      <c r="C188" s="93">
        <v>0</v>
      </c>
      <c r="D188" s="93">
        <v>0</v>
      </c>
      <c r="E188" s="93">
        <v>0</v>
      </c>
      <c r="F188" s="93">
        <v>0</v>
      </c>
      <c r="G188" s="33">
        <v>103.76375000000002</v>
      </c>
      <c r="I188" s="33">
        <f>D188*298/(12*13)</f>
        <v>0</v>
      </c>
    </row>
    <row r="189" spans="1:9" hidden="1" x14ac:dyDescent="0.25">
      <c r="A189" s="122" t="s">
        <v>424</v>
      </c>
      <c r="B189" s="35" t="s">
        <v>150</v>
      </c>
      <c r="C189" s="93">
        <v>0</v>
      </c>
      <c r="D189" s="93">
        <v>0</v>
      </c>
      <c r="E189" s="93">
        <v>0</v>
      </c>
      <c r="F189" s="93">
        <v>0</v>
      </c>
      <c r="G189" s="33">
        <v>2.3417499999999997E-2</v>
      </c>
      <c r="I189" s="33">
        <f t="shared" ref="I189:I191" si="8">D189*298/(12*13)</f>
        <v>0</v>
      </c>
    </row>
    <row r="190" spans="1:9" hidden="1" x14ac:dyDescent="0.25">
      <c r="A190" s="122" t="s">
        <v>424</v>
      </c>
      <c r="B190" s="35" t="s">
        <v>30</v>
      </c>
      <c r="C190" s="93">
        <v>0</v>
      </c>
      <c r="D190" s="93">
        <v>0</v>
      </c>
      <c r="E190" s="93">
        <v>0</v>
      </c>
      <c r="F190" s="93">
        <v>0</v>
      </c>
      <c r="G190" s="33">
        <v>4.0375000000000008E-4</v>
      </c>
      <c r="I190" s="33">
        <f t="shared" si="8"/>
        <v>0</v>
      </c>
    </row>
    <row r="191" spans="1:9" hidden="1" x14ac:dyDescent="0.25">
      <c r="A191" s="122" t="s">
        <v>424</v>
      </c>
      <c r="B191" s="35" t="s">
        <v>31</v>
      </c>
      <c r="C191" s="93">
        <v>0</v>
      </c>
      <c r="D191" s="93">
        <v>0</v>
      </c>
      <c r="E191" s="93">
        <v>0</v>
      </c>
      <c r="F191" s="93">
        <v>0</v>
      </c>
      <c r="G191" s="33">
        <v>4.0374999999999996</v>
      </c>
      <c r="I191" s="33">
        <f t="shared" si="8"/>
        <v>0</v>
      </c>
    </row>
    <row r="192" spans="1:9" hidden="1" x14ac:dyDescent="0.25">
      <c r="A192" s="122" t="s">
        <v>424</v>
      </c>
      <c r="B192" s="35" t="s">
        <v>32</v>
      </c>
      <c r="C192" s="93">
        <v>0</v>
      </c>
      <c r="D192" s="93">
        <v>0</v>
      </c>
      <c r="E192" s="93">
        <v>0</v>
      </c>
      <c r="F192" s="93">
        <v>0</v>
      </c>
      <c r="G192" s="33">
        <v>0.64</v>
      </c>
    </row>
    <row r="193" spans="1:7" hidden="1" x14ac:dyDescent="0.25">
      <c r="A193" s="122" t="s">
        <v>424</v>
      </c>
      <c r="B193" s="35" t="s">
        <v>152</v>
      </c>
      <c r="C193" s="93">
        <v>0</v>
      </c>
      <c r="D193" s="93">
        <v>0</v>
      </c>
      <c r="E193" s="93">
        <v>0</v>
      </c>
      <c r="F193" s="93">
        <v>0</v>
      </c>
      <c r="G193" s="33">
        <v>0.90412698412698411</v>
      </c>
    </row>
    <row r="194" spans="1:7" hidden="1" x14ac:dyDescent="0.25">
      <c r="A194" s="122" t="s">
        <v>424</v>
      </c>
      <c r="B194" s="35" t="s">
        <v>33</v>
      </c>
      <c r="C194" s="93">
        <v>0</v>
      </c>
      <c r="D194" s="93">
        <v>0</v>
      </c>
      <c r="E194" s="93">
        <v>0</v>
      </c>
      <c r="F194" s="93">
        <v>0</v>
      </c>
      <c r="G194" s="33">
        <v>0</v>
      </c>
    </row>
    <row r="195" spans="1:7" hidden="1" x14ac:dyDescent="0.25">
      <c r="A195" s="122" t="s">
        <v>425</v>
      </c>
      <c r="B195" s="35" t="s">
        <v>29</v>
      </c>
      <c r="C195" s="93">
        <v>0</v>
      </c>
      <c r="D195" s="93">
        <v>0</v>
      </c>
      <c r="E195" s="93">
        <v>0</v>
      </c>
      <c r="F195" s="93">
        <v>0</v>
      </c>
      <c r="G195" s="33">
        <v>23.945480769230773</v>
      </c>
    </row>
    <row r="196" spans="1:7" hidden="1" x14ac:dyDescent="0.25">
      <c r="A196" s="122" t="s">
        <v>425</v>
      </c>
      <c r="B196" s="35" t="s">
        <v>150</v>
      </c>
      <c r="C196" s="93">
        <v>0</v>
      </c>
      <c r="D196" s="93">
        <v>0</v>
      </c>
      <c r="E196" s="93">
        <v>0</v>
      </c>
      <c r="F196" s="93">
        <v>0</v>
      </c>
      <c r="G196" s="33">
        <v>2.7020192307692305E-3</v>
      </c>
    </row>
    <row r="197" spans="1:7" hidden="1" x14ac:dyDescent="0.25">
      <c r="A197" s="122" t="s">
        <v>425</v>
      </c>
      <c r="B197" s="35" t="s">
        <v>30</v>
      </c>
      <c r="C197" s="93">
        <v>0</v>
      </c>
      <c r="D197" s="93">
        <v>0</v>
      </c>
      <c r="E197" s="93">
        <v>0</v>
      </c>
      <c r="F197" s="93">
        <v>0</v>
      </c>
      <c r="G197" s="33">
        <v>4.6586538461538471E-5</v>
      </c>
    </row>
    <row r="198" spans="1:7" hidden="1" x14ac:dyDescent="0.25">
      <c r="A198" s="122" t="s">
        <v>425</v>
      </c>
      <c r="B198" s="35" t="s">
        <v>31</v>
      </c>
      <c r="C198" s="93">
        <v>0</v>
      </c>
      <c r="D198" s="93">
        <v>0</v>
      </c>
      <c r="E198" s="93">
        <v>0</v>
      </c>
      <c r="F198" s="93">
        <v>0</v>
      </c>
      <c r="G198" s="33">
        <v>0.46586538461538457</v>
      </c>
    </row>
    <row r="199" spans="1:7" hidden="1" x14ac:dyDescent="0.25">
      <c r="A199" s="122" t="s">
        <v>425</v>
      </c>
      <c r="B199" s="35" t="s">
        <v>32</v>
      </c>
      <c r="C199" s="93">
        <v>0</v>
      </c>
      <c r="D199" s="93">
        <v>0</v>
      </c>
      <c r="E199" s="93">
        <v>0</v>
      </c>
      <c r="F199" s="93">
        <v>0</v>
      </c>
      <c r="G199" s="33">
        <v>0.64</v>
      </c>
    </row>
    <row r="200" spans="1:7" hidden="1" x14ac:dyDescent="0.25">
      <c r="A200" s="122" t="s">
        <v>425</v>
      </c>
      <c r="B200" s="35" t="s">
        <v>152</v>
      </c>
      <c r="C200" s="93">
        <v>0</v>
      </c>
      <c r="D200" s="93">
        <v>0</v>
      </c>
      <c r="E200" s="93">
        <v>0</v>
      </c>
      <c r="F200" s="93">
        <v>0</v>
      </c>
      <c r="G200" s="33">
        <v>0.21010989010989012</v>
      </c>
    </row>
    <row r="201" spans="1:7" hidden="1" x14ac:dyDescent="0.25">
      <c r="A201" s="122" t="s">
        <v>425</v>
      </c>
      <c r="B201" s="35" t="s">
        <v>33</v>
      </c>
      <c r="C201" s="93">
        <v>0</v>
      </c>
      <c r="D201" s="93">
        <v>0</v>
      </c>
      <c r="E201" s="93">
        <v>0</v>
      </c>
      <c r="F201" s="93">
        <v>0</v>
      </c>
      <c r="G201" s="33">
        <v>0</v>
      </c>
    </row>
    <row r="202" spans="1:7" hidden="1" x14ac:dyDescent="0.25">
      <c r="A202" s="122" t="s">
        <v>426</v>
      </c>
      <c r="B202" s="35" t="s">
        <v>29</v>
      </c>
      <c r="C202" s="93">
        <v>0</v>
      </c>
      <c r="D202" s="93">
        <v>0</v>
      </c>
      <c r="E202" s="93">
        <v>0</v>
      </c>
      <c r="F202" s="93">
        <v>0</v>
      </c>
      <c r="G202" s="33">
        <v>72.756700000000009</v>
      </c>
    </row>
    <row r="203" spans="1:7" hidden="1" x14ac:dyDescent="0.25">
      <c r="A203" s="122" t="s">
        <v>426</v>
      </c>
      <c r="B203" s="35" t="s">
        <v>150</v>
      </c>
      <c r="C203" s="93">
        <v>0</v>
      </c>
      <c r="D203" s="93">
        <v>0</v>
      </c>
      <c r="E203" s="93">
        <v>0</v>
      </c>
      <c r="F203" s="93">
        <v>0</v>
      </c>
      <c r="G203" s="33">
        <v>1.6419799999999998E-2</v>
      </c>
    </row>
    <row r="204" spans="1:7" hidden="1" x14ac:dyDescent="0.25">
      <c r="A204" s="122" t="s">
        <v>426</v>
      </c>
      <c r="B204" s="35" t="s">
        <v>30</v>
      </c>
      <c r="C204" s="93">
        <v>0</v>
      </c>
      <c r="D204" s="93">
        <v>0</v>
      </c>
      <c r="E204" s="93">
        <v>0</v>
      </c>
      <c r="F204" s="93">
        <v>0</v>
      </c>
      <c r="G204" s="33">
        <v>2.8310000000000005E-4</v>
      </c>
    </row>
    <row r="205" spans="1:7" hidden="1" x14ac:dyDescent="0.25">
      <c r="A205" s="122" t="s">
        <v>426</v>
      </c>
      <c r="B205" s="35" t="s">
        <v>31</v>
      </c>
      <c r="C205" s="93">
        <v>0</v>
      </c>
      <c r="D205" s="93">
        <v>0</v>
      </c>
      <c r="E205" s="93">
        <v>0</v>
      </c>
      <c r="F205" s="93">
        <v>0</v>
      </c>
      <c r="G205" s="33">
        <v>2.8310000000000004</v>
      </c>
    </row>
    <row r="206" spans="1:7" hidden="1" x14ac:dyDescent="0.25">
      <c r="A206" s="122" t="s">
        <v>426</v>
      </c>
      <c r="B206" s="35" t="s">
        <v>32</v>
      </c>
      <c r="C206" s="93">
        <v>0</v>
      </c>
      <c r="D206" s="93">
        <v>0</v>
      </c>
      <c r="E206" s="93">
        <v>0</v>
      </c>
      <c r="F206" s="93">
        <v>0</v>
      </c>
      <c r="G206" s="33">
        <v>0.64</v>
      </c>
    </row>
    <row r="207" spans="1:7" hidden="1" x14ac:dyDescent="0.25">
      <c r="A207" s="122" t="s">
        <v>426</v>
      </c>
      <c r="B207" s="35" t="s">
        <v>152</v>
      </c>
      <c r="C207" s="93">
        <v>0</v>
      </c>
      <c r="D207" s="93">
        <v>0</v>
      </c>
      <c r="E207" s="93">
        <v>0</v>
      </c>
      <c r="F207" s="93">
        <v>0</v>
      </c>
      <c r="G207" s="33">
        <v>0.49968253968253967</v>
      </c>
    </row>
    <row r="208" spans="1:7" hidden="1" x14ac:dyDescent="0.25">
      <c r="A208" s="122" t="s">
        <v>426</v>
      </c>
      <c r="B208" s="35" t="s">
        <v>33</v>
      </c>
      <c r="C208" s="93">
        <v>0</v>
      </c>
      <c r="D208" s="93">
        <v>0</v>
      </c>
      <c r="E208" s="93">
        <v>0</v>
      </c>
      <c r="F208" s="93">
        <v>0</v>
      </c>
      <c r="G208" s="33">
        <v>0</v>
      </c>
    </row>
    <row r="209" spans="1:7" hidden="1" x14ac:dyDescent="0.25">
      <c r="A209" s="122" t="s">
        <v>427</v>
      </c>
      <c r="B209" s="35" t="s">
        <v>29</v>
      </c>
      <c r="C209" s="93">
        <v>0</v>
      </c>
      <c r="D209" s="93">
        <v>0</v>
      </c>
      <c r="E209" s="93">
        <v>0</v>
      </c>
      <c r="F209" s="93">
        <v>0</v>
      </c>
      <c r="G209" s="33">
        <v>16.790007692307693</v>
      </c>
    </row>
    <row r="210" spans="1:7" hidden="1" x14ac:dyDescent="0.25">
      <c r="A210" s="122" t="s">
        <v>427</v>
      </c>
      <c r="B210" s="35" t="s">
        <v>150</v>
      </c>
      <c r="C210" s="93">
        <v>0</v>
      </c>
      <c r="D210" s="93">
        <v>0</v>
      </c>
      <c r="E210" s="93">
        <v>0</v>
      </c>
      <c r="F210" s="93">
        <v>0</v>
      </c>
      <c r="G210" s="33">
        <v>3.7891846153846154E-3</v>
      </c>
    </row>
    <row r="211" spans="1:7" hidden="1" x14ac:dyDescent="0.25">
      <c r="A211" s="122" t="s">
        <v>427</v>
      </c>
      <c r="B211" s="35" t="s">
        <v>30</v>
      </c>
      <c r="C211" s="93">
        <v>0</v>
      </c>
      <c r="D211" s="93">
        <v>0</v>
      </c>
      <c r="E211" s="93">
        <v>0</v>
      </c>
      <c r="F211" s="93">
        <v>0</v>
      </c>
      <c r="G211" s="33">
        <v>6.5330769230769237E-5</v>
      </c>
    </row>
    <row r="212" spans="1:7" hidden="1" x14ac:dyDescent="0.25">
      <c r="A212" s="122" t="s">
        <v>427</v>
      </c>
      <c r="B212" s="35" t="s">
        <v>31</v>
      </c>
      <c r="C212" s="93">
        <v>0</v>
      </c>
      <c r="D212" s="93">
        <v>0</v>
      </c>
      <c r="E212" s="93">
        <v>0</v>
      </c>
      <c r="F212" s="93">
        <v>0</v>
      </c>
      <c r="G212" s="33">
        <v>0.65330769230769237</v>
      </c>
    </row>
    <row r="213" spans="1:7" hidden="1" x14ac:dyDescent="0.25">
      <c r="A213" s="122" t="s">
        <v>427</v>
      </c>
      <c r="B213" s="35" t="s">
        <v>32</v>
      </c>
      <c r="C213" s="93">
        <v>0</v>
      </c>
      <c r="D213" s="93">
        <v>0</v>
      </c>
      <c r="E213" s="93">
        <v>0</v>
      </c>
      <c r="F213" s="93">
        <v>0</v>
      </c>
      <c r="G213" s="33">
        <v>0.64</v>
      </c>
    </row>
    <row r="214" spans="1:7" hidden="1" x14ac:dyDescent="0.25">
      <c r="A214" s="122" t="s">
        <v>427</v>
      </c>
      <c r="B214" s="35" t="s">
        <v>152</v>
      </c>
      <c r="C214" s="93">
        <v>0</v>
      </c>
      <c r="D214" s="93">
        <v>0</v>
      </c>
      <c r="E214" s="93">
        <v>0</v>
      </c>
      <c r="F214" s="93">
        <v>0</v>
      </c>
      <c r="G214" s="33">
        <v>0.11677655677655678</v>
      </c>
    </row>
    <row r="215" spans="1:7" hidden="1" x14ac:dyDescent="0.25">
      <c r="A215" s="122" t="s">
        <v>427</v>
      </c>
      <c r="B215" s="35" t="s">
        <v>33</v>
      </c>
      <c r="C215" s="93">
        <v>0</v>
      </c>
      <c r="D215" s="93">
        <v>0</v>
      </c>
      <c r="E215" s="93">
        <v>0</v>
      </c>
      <c r="F215" s="93">
        <v>0</v>
      </c>
      <c r="G215" s="33">
        <v>0</v>
      </c>
    </row>
  </sheetData>
  <autoFilter ref="A1:F215" xr:uid="{C05132B3-7187-451C-A0D1-D08E48331305}">
    <filterColumn colId="0">
      <filters>
        <filter val="MIV"/>
      </filters>
    </filterColumn>
    <filterColumn colId="1">
      <filters>
        <filter val="THG"/>
      </filters>
    </filterColumn>
  </autoFilter>
  <mergeCells count="1">
    <mergeCell ref="H40:H5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7499-7645-4C83-BEC3-C3D33F73B95C}">
  <sheetPr codeName="Tabelle7" filterMode="1"/>
  <dimension ref="A1:H216"/>
  <sheetViews>
    <sheetView workbookViewId="0">
      <selection activeCell="C59" sqref="C59"/>
    </sheetView>
  </sheetViews>
  <sheetFormatPr baseColWidth="10" defaultColWidth="10.5" defaultRowHeight="15" x14ac:dyDescent="0.25"/>
  <cols>
    <col min="1" max="1" width="14" style="33" bestFit="1" customWidth="1"/>
    <col min="2" max="2" width="13.625" style="35" bestFit="1" customWidth="1"/>
    <col min="3" max="4" width="11.5" style="33" bestFit="1" customWidth="1"/>
    <col min="5" max="7" width="10.75" style="33" bestFit="1" customWidth="1"/>
    <col min="8" max="8" width="45.375" style="33" bestFit="1" customWidth="1"/>
    <col min="9" max="16384" width="10.5" style="33"/>
  </cols>
  <sheetData>
    <row r="1" spans="1:7" x14ac:dyDescent="0.25">
      <c r="A1" s="28"/>
      <c r="B1" s="29"/>
      <c r="C1" s="38" t="s">
        <v>146</v>
      </c>
      <c r="D1" s="39" t="s">
        <v>146</v>
      </c>
      <c r="E1" s="39" t="s">
        <v>147</v>
      </c>
      <c r="F1" s="39" t="s">
        <v>148</v>
      </c>
      <c r="G1" s="39" t="s">
        <v>68</v>
      </c>
    </row>
    <row r="2" spans="1:7" x14ac:dyDescent="0.25">
      <c r="A2" s="28" t="s">
        <v>143</v>
      </c>
      <c r="B2" s="29" t="s">
        <v>144</v>
      </c>
      <c r="C2" s="39" t="s">
        <v>170</v>
      </c>
      <c r="D2" s="39" t="s">
        <v>171</v>
      </c>
      <c r="E2" s="39" t="s">
        <v>170</v>
      </c>
      <c r="F2" s="39" t="s">
        <v>170</v>
      </c>
      <c r="G2" s="39" t="s">
        <v>170</v>
      </c>
    </row>
    <row r="3" spans="1:7" hidden="1" x14ac:dyDescent="0.25">
      <c r="A3" s="34" t="s">
        <v>149</v>
      </c>
      <c r="B3" s="35" t="s">
        <v>29</v>
      </c>
      <c r="C3" s="33">
        <v>1</v>
      </c>
      <c r="E3" s="33">
        <v>1</v>
      </c>
      <c r="F3" s="33">
        <v>1</v>
      </c>
      <c r="G3" s="33">
        <v>1</v>
      </c>
    </row>
    <row r="4" spans="1:7" hidden="1" x14ac:dyDescent="0.25">
      <c r="A4" s="34" t="s">
        <v>149</v>
      </c>
      <c r="B4" s="35" t="s">
        <v>150</v>
      </c>
      <c r="C4" s="33">
        <v>1</v>
      </c>
      <c r="E4" s="33">
        <v>1</v>
      </c>
      <c r="F4" s="33">
        <v>1</v>
      </c>
      <c r="G4" s="33">
        <v>1</v>
      </c>
    </row>
    <row r="5" spans="1:7" hidden="1" x14ac:dyDescent="0.25">
      <c r="A5" s="34" t="s">
        <v>149</v>
      </c>
      <c r="B5" s="35" t="s">
        <v>30</v>
      </c>
      <c r="C5" s="33">
        <v>1</v>
      </c>
      <c r="E5" s="33">
        <v>1</v>
      </c>
      <c r="F5" s="33">
        <v>1</v>
      </c>
      <c r="G5" s="33">
        <v>1</v>
      </c>
    </row>
    <row r="6" spans="1:7" hidden="1" x14ac:dyDescent="0.25">
      <c r="A6" s="34" t="s">
        <v>149</v>
      </c>
      <c r="B6" s="35" t="s">
        <v>31</v>
      </c>
      <c r="C6" s="33">
        <v>1</v>
      </c>
      <c r="E6" s="33">
        <v>1</v>
      </c>
      <c r="F6" s="33">
        <v>1</v>
      </c>
      <c r="G6" s="33">
        <v>1</v>
      </c>
    </row>
    <row r="7" spans="1:7" hidden="1" x14ac:dyDescent="0.25">
      <c r="A7" s="34" t="s">
        <v>149</v>
      </c>
      <c r="B7" s="35" t="s">
        <v>151</v>
      </c>
      <c r="C7" s="33">
        <v>1</v>
      </c>
      <c r="E7" s="33">
        <v>1</v>
      </c>
      <c r="F7" s="33">
        <v>1</v>
      </c>
      <c r="G7" s="33">
        <v>1</v>
      </c>
    </row>
    <row r="8" spans="1:7" hidden="1" x14ac:dyDescent="0.25">
      <c r="A8" s="34" t="s">
        <v>149</v>
      </c>
      <c r="B8" s="35" t="s">
        <v>32</v>
      </c>
      <c r="C8" s="33">
        <v>0.441</v>
      </c>
      <c r="E8" s="33">
        <v>0.9</v>
      </c>
      <c r="F8" s="33">
        <v>0.9</v>
      </c>
      <c r="G8" s="33">
        <v>0.9</v>
      </c>
    </row>
    <row r="9" spans="1:7" hidden="1" x14ac:dyDescent="0.25">
      <c r="A9" s="34" t="s">
        <v>149</v>
      </c>
      <c r="B9" s="35" t="s">
        <v>152</v>
      </c>
      <c r="C9" s="33">
        <v>1</v>
      </c>
      <c r="E9" s="33">
        <v>1</v>
      </c>
      <c r="F9" s="33">
        <v>1</v>
      </c>
      <c r="G9" s="33">
        <v>1</v>
      </c>
    </row>
    <row r="10" spans="1:7" hidden="1" x14ac:dyDescent="0.25">
      <c r="A10" s="34" t="s">
        <v>149</v>
      </c>
      <c r="B10" s="35" t="s">
        <v>33</v>
      </c>
      <c r="C10" s="33">
        <v>1</v>
      </c>
      <c r="E10" s="33">
        <v>1</v>
      </c>
      <c r="F10" s="33">
        <v>1</v>
      </c>
      <c r="G10" s="33">
        <v>1</v>
      </c>
    </row>
    <row r="11" spans="1:7" hidden="1" x14ac:dyDescent="0.25">
      <c r="A11" s="34" t="s">
        <v>153</v>
      </c>
      <c r="B11" s="35" t="s">
        <v>29</v>
      </c>
      <c r="C11" s="33">
        <v>1</v>
      </c>
      <c r="E11" s="33">
        <v>1</v>
      </c>
      <c r="F11" s="33">
        <v>1</v>
      </c>
      <c r="G11" s="33">
        <v>1</v>
      </c>
    </row>
    <row r="12" spans="1:7" hidden="1" x14ac:dyDescent="0.25">
      <c r="A12" s="34" t="s">
        <v>153</v>
      </c>
      <c r="B12" s="35" t="s">
        <v>150</v>
      </c>
      <c r="C12" s="33">
        <v>1</v>
      </c>
      <c r="E12" s="33">
        <v>1</v>
      </c>
      <c r="F12" s="33">
        <v>1</v>
      </c>
      <c r="G12" s="33">
        <v>1</v>
      </c>
    </row>
    <row r="13" spans="1:7" hidden="1" x14ac:dyDescent="0.25">
      <c r="A13" s="34" t="s">
        <v>153</v>
      </c>
      <c r="B13" s="35" t="s">
        <v>30</v>
      </c>
      <c r="C13" s="33">
        <v>1</v>
      </c>
      <c r="E13" s="33">
        <v>1</v>
      </c>
      <c r="F13" s="33">
        <v>1</v>
      </c>
      <c r="G13" s="33">
        <v>1</v>
      </c>
    </row>
    <row r="14" spans="1:7" hidden="1" x14ac:dyDescent="0.25">
      <c r="A14" s="34" t="s">
        <v>153</v>
      </c>
      <c r="B14" s="35" t="s">
        <v>31</v>
      </c>
      <c r="C14" s="33">
        <v>1</v>
      </c>
      <c r="E14" s="33">
        <v>1</v>
      </c>
      <c r="F14" s="33">
        <v>1</v>
      </c>
      <c r="G14" s="33">
        <v>1</v>
      </c>
    </row>
    <row r="15" spans="1:7" hidden="1" x14ac:dyDescent="0.25">
      <c r="A15" s="34" t="s">
        <v>153</v>
      </c>
      <c r="B15" s="35" t="s">
        <v>151</v>
      </c>
      <c r="C15" s="33">
        <v>0.90300000000000002</v>
      </c>
      <c r="E15" s="33">
        <v>1</v>
      </c>
      <c r="F15" s="33">
        <v>1</v>
      </c>
      <c r="G15" s="33">
        <v>1</v>
      </c>
    </row>
    <row r="16" spans="1:7" hidden="1" x14ac:dyDescent="0.25">
      <c r="A16" s="34" t="s">
        <v>153</v>
      </c>
      <c r="B16" s="35" t="s">
        <v>32</v>
      </c>
      <c r="C16" s="33">
        <v>0.441</v>
      </c>
      <c r="E16" s="33">
        <v>0.9</v>
      </c>
      <c r="F16" s="33">
        <v>0.9</v>
      </c>
      <c r="G16" s="33">
        <v>0.9</v>
      </c>
    </row>
    <row r="17" spans="1:7" hidden="1" x14ac:dyDescent="0.25">
      <c r="A17" s="34" t="s">
        <v>153</v>
      </c>
      <c r="B17" s="35" t="s">
        <v>152</v>
      </c>
      <c r="C17" s="33">
        <v>1</v>
      </c>
      <c r="E17" s="33">
        <v>1</v>
      </c>
      <c r="F17" s="33">
        <v>1</v>
      </c>
      <c r="G17" s="33">
        <v>1</v>
      </c>
    </row>
    <row r="18" spans="1:7" hidden="1" x14ac:dyDescent="0.25">
      <c r="A18" s="34" t="s">
        <v>153</v>
      </c>
      <c r="B18" s="35" t="s">
        <v>33</v>
      </c>
      <c r="C18" s="33">
        <v>1</v>
      </c>
      <c r="E18" s="33">
        <v>1</v>
      </c>
      <c r="F18" s="33">
        <v>1</v>
      </c>
      <c r="G18" s="33">
        <v>1</v>
      </c>
    </row>
    <row r="19" spans="1:7" hidden="1" x14ac:dyDescent="0.25">
      <c r="A19" s="34" t="s">
        <v>154</v>
      </c>
      <c r="B19" s="35" t="s">
        <v>29</v>
      </c>
      <c r="C19" s="33">
        <v>0</v>
      </c>
      <c r="D19" s="33" t="s">
        <v>172</v>
      </c>
      <c r="E19" s="33">
        <v>1</v>
      </c>
      <c r="F19" s="33">
        <v>1</v>
      </c>
      <c r="G19" s="43">
        <v>1</v>
      </c>
    </row>
    <row r="20" spans="1:7" hidden="1" x14ac:dyDescent="0.25">
      <c r="A20" s="34" t="s">
        <v>154</v>
      </c>
      <c r="B20" s="35" t="s">
        <v>150</v>
      </c>
      <c r="C20" s="33">
        <v>0</v>
      </c>
      <c r="D20" s="33" t="s">
        <v>172</v>
      </c>
      <c r="E20" s="33">
        <v>1</v>
      </c>
      <c r="F20" s="33">
        <v>1</v>
      </c>
      <c r="G20" s="33">
        <v>1</v>
      </c>
    </row>
    <row r="21" spans="1:7" hidden="1" x14ac:dyDescent="0.25">
      <c r="A21" s="34" t="s">
        <v>154</v>
      </c>
      <c r="B21" s="35" t="s">
        <v>30</v>
      </c>
      <c r="C21" s="33">
        <v>0</v>
      </c>
      <c r="D21" s="33" t="s">
        <v>172</v>
      </c>
      <c r="E21" s="33">
        <v>1</v>
      </c>
      <c r="F21" s="33">
        <v>1</v>
      </c>
      <c r="G21" s="33">
        <v>1</v>
      </c>
    </row>
    <row r="22" spans="1:7" hidden="1" x14ac:dyDescent="0.25">
      <c r="A22" s="34" t="s">
        <v>154</v>
      </c>
      <c r="B22" s="35" t="s">
        <v>31</v>
      </c>
      <c r="C22" s="33">
        <v>1</v>
      </c>
      <c r="D22" s="33" t="s">
        <v>172</v>
      </c>
      <c r="E22" s="33">
        <v>1</v>
      </c>
      <c r="F22" s="33">
        <v>1</v>
      </c>
      <c r="G22" s="33">
        <v>1</v>
      </c>
    </row>
    <row r="23" spans="1:7" hidden="1" x14ac:dyDescent="0.25">
      <c r="A23" s="34" t="s">
        <v>154</v>
      </c>
      <c r="B23" s="35" t="s">
        <v>151</v>
      </c>
      <c r="C23" s="33">
        <v>10.220000000000001</v>
      </c>
      <c r="E23" s="33">
        <v>1</v>
      </c>
      <c r="F23" s="33">
        <v>1</v>
      </c>
      <c r="G23" s="33">
        <v>1</v>
      </c>
    </row>
    <row r="24" spans="1:7" hidden="1" x14ac:dyDescent="0.25">
      <c r="A24" s="34" t="s">
        <v>154</v>
      </c>
      <c r="B24" s="35" t="s">
        <v>32</v>
      </c>
      <c r="C24" s="33">
        <v>0.441</v>
      </c>
      <c r="E24" s="33">
        <v>0.9</v>
      </c>
      <c r="F24" s="33">
        <v>0.9</v>
      </c>
      <c r="G24" s="33">
        <v>0.9</v>
      </c>
    </row>
    <row r="25" spans="1:7" hidden="1" x14ac:dyDescent="0.25">
      <c r="A25" s="34" t="s">
        <v>154</v>
      </c>
      <c r="B25" s="35" t="s">
        <v>152</v>
      </c>
      <c r="C25" s="33">
        <v>1</v>
      </c>
      <c r="E25" s="33">
        <v>1</v>
      </c>
      <c r="F25" s="33">
        <v>1</v>
      </c>
      <c r="G25" s="33">
        <v>1</v>
      </c>
    </row>
    <row r="26" spans="1:7" hidden="1" x14ac:dyDescent="0.25">
      <c r="A26" s="34" t="s">
        <v>154</v>
      </c>
      <c r="B26" s="35" t="s">
        <v>33</v>
      </c>
      <c r="C26" s="33">
        <v>1</v>
      </c>
      <c r="E26" s="33">
        <v>1</v>
      </c>
      <c r="F26" s="33">
        <v>1</v>
      </c>
      <c r="G26" s="33">
        <v>1</v>
      </c>
    </row>
    <row r="27" spans="1:7" hidden="1" x14ac:dyDescent="0.25">
      <c r="A27" s="34" t="s">
        <v>155</v>
      </c>
      <c r="B27" s="35" t="s">
        <v>29</v>
      </c>
      <c r="C27" s="33">
        <v>0.73150000000000004</v>
      </c>
      <c r="E27" s="33">
        <v>0.91600000000000004</v>
      </c>
      <c r="F27" s="33">
        <v>0.91600000000000004</v>
      </c>
      <c r="G27" s="33">
        <v>0.91600000000000004</v>
      </c>
    </row>
    <row r="28" spans="1:7" hidden="1" x14ac:dyDescent="0.25">
      <c r="A28" s="34" t="s">
        <v>155</v>
      </c>
      <c r="B28" s="35" t="s">
        <v>150</v>
      </c>
      <c r="C28" s="33">
        <v>0.73150000000000004</v>
      </c>
      <c r="E28" s="33">
        <v>0.91600000000000004</v>
      </c>
      <c r="F28" s="33">
        <v>0.91600000000000004</v>
      </c>
      <c r="G28" s="33">
        <v>0.91600000000000004</v>
      </c>
    </row>
    <row r="29" spans="1:7" hidden="1" x14ac:dyDescent="0.25">
      <c r="A29" s="34" t="s">
        <v>155</v>
      </c>
      <c r="B29" s="35" t="s">
        <v>30</v>
      </c>
      <c r="C29" s="33">
        <v>0.73150000000000004</v>
      </c>
      <c r="E29" s="33">
        <v>0.91600000000000004</v>
      </c>
      <c r="F29" s="33">
        <v>0.91600000000000004</v>
      </c>
      <c r="G29" s="33">
        <v>0.91600000000000004</v>
      </c>
    </row>
    <row r="30" spans="1:7" hidden="1" x14ac:dyDescent="0.25">
      <c r="A30" s="34" t="s">
        <v>155</v>
      </c>
      <c r="B30" s="35" t="s">
        <v>31</v>
      </c>
      <c r="C30" s="33">
        <v>0.73150000000000004</v>
      </c>
      <c r="E30" s="33">
        <v>0.91600000000000004</v>
      </c>
      <c r="F30" s="33">
        <v>0.91600000000000004</v>
      </c>
      <c r="G30" s="33">
        <v>0.91600000000000004</v>
      </c>
    </row>
    <row r="31" spans="1:7" hidden="1" x14ac:dyDescent="0.25">
      <c r="A31" s="34" t="s">
        <v>155</v>
      </c>
      <c r="B31" s="35" t="s">
        <v>151</v>
      </c>
    </row>
    <row r="32" spans="1:7" hidden="1" x14ac:dyDescent="0.25">
      <c r="A32" s="34" t="s">
        <v>155</v>
      </c>
      <c r="B32" s="35" t="s">
        <v>32</v>
      </c>
      <c r="C32" s="33">
        <v>0.441</v>
      </c>
      <c r="E32" s="33">
        <v>0.9</v>
      </c>
      <c r="F32" s="33">
        <v>0.9</v>
      </c>
      <c r="G32" s="33">
        <v>0.9</v>
      </c>
    </row>
    <row r="33" spans="1:7" hidden="1" x14ac:dyDescent="0.25">
      <c r="A33" s="34" t="s">
        <v>155</v>
      </c>
      <c r="B33" s="35" t="s">
        <v>152</v>
      </c>
      <c r="C33" s="33">
        <v>1.1000000000000001</v>
      </c>
      <c r="E33" s="33">
        <v>0.83</v>
      </c>
      <c r="F33" s="33">
        <v>0.82</v>
      </c>
      <c r="G33" s="33">
        <v>0.82</v>
      </c>
    </row>
    <row r="34" spans="1:7" hidden="1" x14ac:dyDescent="0.25">
      <c r="A34" s="34" t="s">
        <v>155</v>
      </c>
      <c r="B34" s="35" t="s">
        <v>33</v>
      </c>
      <c r="C34" s="33">
        <v>1</v>
      </c>
      <c r="E34" s="33">
        <v>1</v>
      </c>
      <c r="F34" s="33">
        <v>1</v>
      </c>
      <c r="G34" s="33">
        <v>1</v>
      </c>
    </row>
    <row r="35" spans="1:7" hidden="1" x14ac:dyDescent="0.25">
      <c r="A35" s="34" t="s">
        <v>156</v>
      </c>
      <c r="B35" s="35" t="s">
        <v>29</v>
      </c>
      <c r="C35" s="33">
        <v>0</v>
      </c>
      <c r="D35" s="33" t="s">
        <v>172</v>
      </c>
      <c r="E35" s="33">
        <v>1</v>
      </c>
      <c r="F35" s="33">
        <v>1</v>
      </c>
      <c r="G35" s="33">
        <v>1</v>
      </c>
    </row>
    <row r="36" spans="1:7" hidden="1" x14ac:dyDescent="0.25">
      <c r="A36" s="34" t="s">
        <v>156</v>
      </c>
      <c r="B36" s="35" t="s">
        <v>150</v>
      </c>
      <c r="C36" s="33">
        <v>0</v>
      </c>
      <c r="D36" s="33" t="s">
        <v>172</v>
      </c>
      <c r="E36" s="33">
        <v>1</v>
      </c>
      <c r="F36" s="33">
        <v>1</v>
      </c>
      <c r="G36" s="33">
        <v>1</v>
      </c>
    </row>
    <row r="37" spans="1:7" hidden="1" x14ac:dyDescent="0.25">
      <c r="A37" s="34" t="s">
        <v>156</v>
      </c>
      <c r="B37" s="35" t="s">
        <v>30</v>
      </c>
      <c r="C37" s="33">
        <v>0</v>
      </c>
      <c r="D37" s="33" t="s">
        <v>172</v>
      </c>
      <c r="E37" s="33">
        <v>1</v>
      </c>
      <c r="F37" s="33">
        <v>1</v>
      </c>
      <c r="G37" s="33">
        <v>1</v>
      </c>
    </row>
    <row r="38" spans="1:7" hidden="1" x14ac:dyDescent="0.25">
      <c r="A38" s="34" t="s">
        <v>156</v>
      </c>
      <c r="B38" s="35" t="s">
        <v>31</v>
      </c>
      <c r="C38" s="33">
        <v>0.76</v>
      </c>
      <c r="D38" s="33" t="s">
        <v>172</v>
      </c>
      <c r="E38" s="33">
        <v>1</v>
      </c>
      <c r="F38" s="33">
        <v>1</v>
      </c>
      <c r="G38" s="33">
        <v>1</v>
      </c>
    </row>
    <row r="39" spans="1:7" hidden="1" x14ac:dyDescent="0.25">
      <c r="A39" s="34" t="s">
        <v>156</v>
      </c>
      <c r="B39" s="35" t="s">
        <v>151</v>
      </c>
    </row>
    <row r="40" spans="1:7" hidden="1" x14ac:dyDescent="0.25">
      <c r="A40" s="34" t="s">
        <v>156</v>
      </c>
      <c r="B40" s="35" t="s">
        <v>32</v>
      </c>
      <c r="C40" s="33">
        <v>0.8</v>
      </c>
      <c r="E40" s="33">
        <v>0.9</v>
      </c>
      <c r="F40" s="33">
        <v>0.9</v>
      </c>
      <c r="G40" s="33">
        <v>0.9</v>
      </c>
    </row>
    <row r="41" spans="1:7" hidden="1" x14ac:dyDescent="0.25">
      <c r="A41" s="34" t="s">
        <v>156</v>
      </c>
      <c r="B41" s="35" t="s">
        <v>152</v>
      </c>
      <c r="C41" s="33">
        <v>1</v>
      </c>
      <c r="E41" s="33">
        <v>0.86</v>
      </c>
      <c r="F41" s="33">
        <v>0.86</v>
      </c>
      <c r="G41" s="33">
        <v>0.86</v>
      </c>
    </row>
    <row r="42" spans="1:7" hidden="1" x14ac:dyDescent="0.25">
      <c r="A42" s="34" t="s">
        <v>156</v>
      </c>
      <c r="B42" s="35" t="s">
        <v>33</v>
      </c>
      <c r="C42" s="33">
        <v>1</v>
      </c>
      <c r="E42" s="33">
        <v>1</v>
      </c>
      <c r="F42" s="33">
        <v>1</v>
      </c>
      <c r="G42" s="33">
        <v>1</v>
      </c>
    </row>
    <row r="43" spans="1:7" hidden="1" x14ac:dyDescent="0.25">
      <c r="A43" s="34" t="s">
        <v>158</v>
      </c>
      <c r="B43" s="35" t="s">
        <v>29</v>
      </c>
      <c r="C43" s="33">
        <v>0</v>
      </c>
      <c r="D43" s="33" t="s">
        <v>172</v>
      </c>
      <c r="E43" s="33">
        <v>0.85</v>
      </c>
      <c r="F43" s="33">
        <v>0.85</v>
      </c>
      <c r="G43" s="33">
        <v>0.85</v>
      </c>
    </row>
    <row r="44" spans="1:7" hidden="1" x14ac:dyDescent="0.25">
      <c r="A44" s="34" t="s">
        <v>158</v>
      </c>
      <c r="B44" s="35" t="s">
        <v>150</v>
      </c>
      <c r="C44" s="33">
        <v>0</v>
      </c>
      <c r="D44" s="33" t="s">
        <v>172</v>
      </c>
      <c r="E44" s="33">
        <v>0.85</v>
      </c>
      <c r="F44" s="33">
        <v>0.85</v>
      </c>
      <c r="G44" s="33">
        <v>0.85</v>
      </c>
    </row>
    <row r="45" spans="1:7" hidden="1" x14ac:dyDescent="0.25">
      <c r="A45" s="34" t="s">
        <v>158</v>
      </c>
      <c r="B45" s="35" t="s">
        <v>30</v>
      </c>
      <c r="C45" s="33">
        <v>0</v>
      </c>
      <c r="D45" s="33" t="s">
        <v>172</v>
      </c>
      <c r="E45" s="33">
        <v>0.85</v>
      </c>
      <c r="F45" s="33">
        <v>0.85</v>
      </c>
      <c r="G45" s="33">
        <v>0.85</v>
      </c>
    </row>
    <row r="46" spans="1:7" hidden="1" x14ac:dyDescent="0.25">
      <c r="A46" s="34" t="s">
        <v>158</v>
      </c>
      <c r="B46" s="35" t="s">
        <v>31</v>
      </c>
      <c r="C46" s="33">
        <v>0.76</v>
      </c>
      <c r="D46" s="33" t="s">
        <v>172</v>
      </c>
      <c r="E46" s="33">
        <v>0.85</v>
      </c>
      <c r="F46" s="33">
        <v>0.85</v>
      </c>
      <c r="G46" s="33">
        <v>0.85</v>
      </c>
    </row>
    <row r="47" spans="1:7" hidden="1" x14ac:dyDescent="0.25">
      <c r="A47" s="34" t="s">
        <v>158</v>
      </c>
      <c r="B47" s="35" t="s">
        <v>151</v>
      </c>
    </row>
    <row r="48" spans="1:7" hidden="1" x14ac:dyDescent="0.25">
      <c r="A48" s="34" t="s">
        <v>158</v>
      </c>
      <c r="B48" s="35" t="s">
        <v>32</v>
      </c>
      <c r="C48" s="33">
        <v>0.8</v>
      </c>
      <c r="E48" s="33">
        <v>1</v>
      </c>
      <c r="F48" s="33">
        <v>1</v>
      </c>
      <c r="G48" s="33">
        <v>1</v>
      </c>
    </row>
    <row r="49" spans="1:7" hidden="1" x14ac:dyDescent="0.25">
      <c r="A49" s="34" t="s">
        <v>158</v>
      </c>
      <c r="B49" s="35" t="s">
        <v>152</v>
      </c>
      <c r="C49" s="33">
        <v>1</v>
      </c>
      <c r="E49" s="33">
        <v>0.86</v>
      </c>
      <c r="F49" s="33">
        <v>0.86</v>
      </c>
      <c r="G49" s="33">
        <v>0.86</v>
      </c>
    </row>
    <row r="50" spans="1:7" hidden="1" x14ac:dyDescent="0.25">
      <c r="A50" s="34" t="s">
        <v>158</v>
      </c>
      <c r="B50" s="35" t="s">
        <v>33</v>
      </c>
      <c r="C50" s="33">
        <v>1</v>
      </c>
      <c r="E50" s="33">
        <v>1</v>
      </c>
      <c r="F50" s="33">
        <v>1</v>
      </c>
      <c r="G50" s="33">
        <v>1</v>
      </c>
    </row>
    <row r="51" spans="1:7" hidden="1" x14ac:dyDescent="0.25">
      <c r="A51" s="37" t="s">
        <v>159</v>
      </c>
      <c r="B51" s="35" t="s">
        <v>29</v>
      </c>
      <c r="C51" s="33">
        <v>0</v>
      </c>
      <c r="D51" s="33" t="s">
        <v>172</v>
      </c>
      <c r="E51" s="33">
        <v>0.9</v>
      </c>
      <c r="F51" s="33">
        <v>0.9</v>
      </c>
      <c r="G51" s="33">
        <v>0.9</v>
      </c>
    </row>
    <row r="52" spans="1:7" hidden="1" x14ac:dyDescent="0.25">
      <c r="A52" s="34" t="s">
        <v>159</v>
      </c>
      <c r="B52" s="35" t="s">
        <v>150</v>
      </c>
      <c r="C52" s="33">
        <v>0</v>
      </c>
      <c r="D52" s="33" t="s">
        <v>172</v>
      </c>
      <c r="E52" s="33">
        <v>0.9</v>
      </c>
      <c r="F52" s="33">
        <v>0.9</v>
      </c>
      <c r="G52" s="33">
        <v>0.9</v>
      </c>
    </row>
    <row r="53" spans="1:7" hidden="1" x14ac:dyDescent="0.25">
      <c r="A53" s="34" t="s">
        <v>159</v>
      </c>
      <c r="B53" s="35" t="s">
        <v>30</v>
      </c>
      <c r="C53" s="33">
        <v>0</v>
      </c>
      <c r="D53" s="33" t="s">
        <v>172</v>
      </c>
      <c r="E53" s="33">
        <v>0.9</v>
      </c>
      <c r="F53" s="33">
        <v>0.9</v>
      </c>
      <c r="G53" s="33">
        <v>0.9</v>
      </c>
    </row>
    <row r="54" spans="1:7" hidden="1" x14ac:dyDescent="0.25">
      <c r="A54" s="34" t="s">
        <v>159</v>
      </c>
      <c r="B54" s="35" t="s">
        <v>31</v>
      </c>
      <c r="C54" s="33">
        <v>0.76</v>
      </c>
      <c r="D54" s="33" t="s">
        <v>172</v>
      </c>
      <c r="E54" s="33">
        <v>0.9</v>
      </c>
      <c r="F54" s="33">
        <v>0.9</v>
      </c>
      <c r="G54" s="33">
        <v>0.9</v>
      </c>
    </row>
    <row r="55" spans="1:7" hidden="1" x14ac:dyDescent="0.25">
      <c r="A55" s="34" t="s">
        <v>159</v>
      </c>
      <c r="B55" s="35" t="s">
        <v>151</v>
      </c>
    </row>
    <row r="56" spans="1:7" hidden="1" x14ac:dyDescent="0.25">
      <c r="A56" s="34" t="s">
        <v>159</v>
      </c>
      <c r="B56" s="35" t="s">
        <v>32</v>
      </c>
      <c r="C56" s="33">
        <v>0.8</v>
      </c>
      <c r="E56" s="33">
        <v>1</v>
      </c>
      <c r="F56" s="33">
        <v>1</v>
      </c>
      <c r="G56" s="33">
        <v>1</v>
      </c>
    </row>
    <row r="57" spans="1:7" hidden="1" x14ac:dyDescent="0.25">
      <c r="A57" s="34" t="s">
        <v>159</v>
      </c>
      <c r="B57" s="35" t="s">
        <v>152</v>
      </c>
      <c r="C57" s="33">
        <v>1</v>
      </c>
      <c r="E57" s="33">
        <v>0.86</v>
      </c>
      <c r="F57" s="33">
        <v>0.86</v>
      </c>
      <c r="G57" s="33">
        <v>0.86</v>
      </c>
    </row>
    <row r="58" spans="1:7" hidden="1" x14ac:dyDescent="0.25">
      <c r="A58" s="34" t="s">
        <v>159</v>
      </c>
      <c r="B58" s="35" t="s">
        <v>33</v>
      </c>
      <c r="C58" s="33">
        <v>1</v>
      </c>
      <c r="E58" s="33">
        <v>1</v>
      </c>
      <c r="F58" s="33">
        <v>1</v>
      </c>
      <c r="G58" s="33">
        <v>1</v>
      </c>
    </row>
    <row r="59" spans="1:7" x14ac:dyDescent="0.25">
      <c r="A59" s="34" t="s">
        <v>69</v>
      </c>
      <c r="B59" s="35" t="s">
        <v>29</v>
      </c>
      <c r="C59" s="33">
        <v>0.63700000000000001</v>
      </c>
      <c r="E59" s="40">
        <v>0.96495387776761621</v>
      </c>
      <c r="F59" s="40">
        <v>0.94221105527638194</v>
      </c>
      <c r="G59" s="40">
        <v>0.94221105527638194</v>
      </c>
    </row>
    <row r="60" spans="1:7" hidden="1" x14ac:dyDescent="0.25">
      <c r="A60" s="34" t="s">
        <v>69</v>
      </c>
      <c r="B60" s="35" t="s">
        <v>150</v>
      </c>
      <c r="C60" s="33">
        <v>0.63800000000000001</v>
      </c>
      <c r="E60" s="40">
        <v>0.96313364055299533</v>
      </c>
      <c r="F60" s="40">
        <v>0.94221105527638194</v>
      </c>
      <c r="G60" s="40">
        <v>0.94221105527638194</v>
      </c>
    </row>
    <row r="61" spans="1:7" hidden="1" x14ac:dyDescent="0.25">
      <c r="A61" s="34" t="s">
        <v>69</v>
      </c>
      <c r="B61" s="35" t="s">
        <v>30</v>
      </c>
      <c r="C61" s="33">
        <v>0.63700000000000001</v>
      </c>
      <c r="E61" s="40">
        <v>0.96470588235294119</v>
      </c>
      <c r="F61" s="40">
        <v>0.94221105527638183</v>
      </c>
      <c r="G61" s="40">
        <v>0.94221105527638183</v>
      </c>
    </row>
    <row r="62" spans="1:7" hidden="1" x14ac:dyDescent="0.25">
      <c r="A62" s="34" t="s">
        <v>69</v>
      </c>
      <c r="B62" s="35" t="s">
        <v>31</v>
      </c>
      <c r="C62" s="33">
        <v>0.59799999999999998</v>
      </c>
      <c r="E62" s="40">
        <v>0.96481970096745817</v>
      </c>
      <c r="F62" s="40">
        <v>0.94221105527638205</v>
      </c>
      <c r="G62" s="40">
        <v>0.94221105527638205</v>
      </c>
    </row>
    <row r="63" spans="1:7" hidden="1" x14ac:dyDescent="0.25">
      <c r="A63" s="34" t="s">
        <v>69</v>
      </c>
      <c r="B63" s="35" t="s">
        <v>151</v>
      </c>
      <c r="C63" s="33">
        <v>0.95499999999999996</v>
      </c>
    </row>
    <row r="64" spans="1:7" hidden="1" x14ac:dyDescent="0.25">
      <c r="A64" s="34" t="s">
        <v>69</v>
      </c>
      <c r="B64" s="35" t="s">
        <v>32</v>
      </c>
      <c r="C64" s="33">
        <v>0.441</v>
      </c>
      <c r="E64" s="33">
        <v>0.9</v>
      </c>
      <c r="F64" s="33">
        <v>0.9</v>
      </c>
      <c r="G64" s="33">
        <v>0.9</v>
      </c>
    </row>
    <row r="65" spans="1:7" hidden="1" x14ac:dyDescent="0.25">
      <c r="A65" s="34" t="s">
        <v>69</v>
      </c>
      <c r="B65" s="35" t="s">
        <v>152</v>
      </c>
      <c r="C65" s="33">
        <v>1.1043449999999999</v>
      </c>
      <c r="E65" s="33">
        <v>1.04</v>
      </c>
      <c r="F65" s="33">
        <v>0.99658974981782844</v>
      </c>
      <c r="G65" s="33">
        <v>0.99658974981782844</v>
      </c>
    </row>
    <row r="66" spans="1:7" hidden="1" x14ac:dyDescent="0.25">
      <c r="A66" s="34" t="s">
        <v>69</v>
      </c>
      <c r="B66" s="35" t="s">
        <v>33</v>
      </c>
      <c r="C66" s="33">
        <v>1</v>
      </c>
      <c r="E66" s="33">
        <v>1</v>
      </c>
      <c r="F66" s="33">
        <v>1.07</v>
      </c>
      <c r="G66" s="33">
        <v>1.07</v>
      </c>
    </row>
    <row r="67" spans="1:7" hidden="1" x14ac:dyDescent="0.25">
      <c r="A67" s="34" t="s">
        <v>160</v>
      </c>
      <c r="B67" s="35" t="s">
        <v>29</v>
      </c>
      <c r="C67" s="33">
        <v>0</v>
      </c>
      <c r="D67" s="33" t="s">
        <v>172</v>
      </c>
      <c r="E67" s="33">
        <v>0.9</v>
      </c>
      <c r="F67" s="33">
        <v>0.9</v>
      </c>
      <c r="G67" s="33">
        <v>0.9</v>
      </c>
    </row>
    <row r="68" spans="1:7" hidden="1" x14ac:dyDescent="0.25">
      <c r="A68" s="34" t="s">
        <v>160</v>
      </c>
      <c r="B68" s="35" t="s">
        <v>150</v>
      </c>
      <c r="C68" s="33">
        <v>0</v>
      </c>
      <c r="D68" s="33" t="s">
        <v>172</v>
      </c>
      <c r="E68" s="33">
        <v>0.9</v>
      </c>
      <c r="F68" s="33">
        <v>0.9</v>
      </c>
      <c r="G68" s="33">
        <v>0.9</v>
      </c>
    </row>
    <row r="69" spans="1:7" hidden="1" x14ac:dyDescent="0.25">
      <c r="A69" s="34" t="s">
        <v>160</v>
      </c>
      <c r="B69" s="35" t="s">
        <v>30</v>
      </c>
      <c r="C69" s="33">
        <v>0</v>
      </c>
      <c r="D69" s="33" t="s">
        <v>172</v>
      </c>
      <c r="E69" s="33">
        <v>0.9</v>
      </c>
      <c r="F69" s="33">
        <v>0.9</v>
      </c>
      <c r="G69" s="33">
        <v>0.9</v>
      </c>
    </row>
    <row r="70" spans="1:7" hidden="1" x14ac:dyDescent="0.25">
      <c r="A70" s="34" t="s">
        <v>160</v>
      </c>
      <c r="B70" s="35" t="s">
        <v>31</v>
      </c>
      <c r="C70" s="33">
        <v>0.76</v>
      </c>
      <c r="D70" s="33" t="s">
        <v>172</v>
      </c>
      <c r="E70" s="33">
        <v>0.9</v>
      </c>
      <c r="F70" s="33">
        <v>0.9</v>
      </c>
      <c r="G70" s="33">
        <v>0.9</v>
      </c>
    </row>
    <row r="71" spans="1:7" hidden="1" x14ac:dyDescent="0.25">
      <c r="A71" s="34" t="s">
        <v>160</v>
      </c>
      <c r="B71" s="35" t="s">
        <v>151</v>
      </c>
    </row>
    <row r="72" spans="1:7" hidden="1" x14ac:dyDescent="0.25">
      <c r="A72" s="34" t="s">
        <v>160</v>
      </c>
      <c r="B72" s="35" t="s">
        <v>32</v>
      </c>
      <c r="C72" s="33">
        <v>0.8</v>
      </c>
      <c r="E72" s="33">
        <v>1</v>
      </c>
      <c r="F72" s="33">
        <v>1</v>
      </c>
      <c r="G72" s="33">
        <v>1</v>
      </c>
    </row>
    <row r="73" spans="1:7" hidden="1" x14ac:dyDescent="0.25">
      <c r="A73" s="34" t="s">
        <v>160</v>
      </c>
      <c r="B73" s="35" t="s">
        <v>152</v>
      </c>
      <c r="C73" s="33">
        <v>1</v>
      </c>
      <c r="E73" s="33">
        <v>0.86</v>
      </c>
      <c r="F73" s="33">
        <v>0.86</v>
      </c>
      <c r="G73" s="33">
        <v>0.86</v>
      </c>
    </row>
    <row r="74" spans="1:7" hidden="1" x14ac:dyDescent="0.25">
      <c r="A74" s="34" t="s">
        <v>160</v>
      </c>
      <c r="B74" s="35" t="s">
        <v>33</v>
      </c>
      <c r="C74" s="33">
        <v>1</v>
      </c>
      <c r="E74" s="33">
        <v>1</v>
      </c>
      <c r="F74" s="33">
        <v>1</v>
      </c>
      <c r="G74" s="33">
        <v>1</v>
      </c>
    </row>
    <row r="75" spans="1:7" hidden="1" x14ac:dyDescent="0.25">
      <c r="A75" s="34" t="s">
        <v>163</v>
      </c>
      <c r="B75" s="35" t="s">
        <v>29</v>
      </c>
      <c r="C75" s="33">
        <v>0.60729999999999995</v>
      </c>
      <c r="E75" s="33">
        <v>1</v>
      </c>
      <c r="F75" s="33">
        <v>1</v>
      </c>
      <c r="G75" s="33">
        <v>1</v>
      </c>
    </row>
    <row r="76" spans="1:7" hidden="1" x14ac:dyDescent="0.25">
      <c r="A76" s="34" t="s">
        <v>163</v>
      </c>
      <c r="B76" s="35" t="s">
        <v>150</v>
      </c>
      <c r="C76" s="33">
        <v>0.60729999999999995</v>
      </c>
      <c r="E76" s="33">
        <v>1</v>
      </c>
      <c r="F76" s="33">
        <v>1</v>
      </c>
      <c r="G76" s="33">
        <v>1</v>
      </c>
    </row>
    <row r="77" spans="1:7" hidden="1" x14ac:dyDescent="0.25">
      <c r="A77" s="34" t="s">
        <v>163</v>
      </c>
      <c r="B77" s="35" t="s">
        <v>30</v>
      </c>
      <c r="C77" s="33">
        <v>0.60729999999999995</v>
      </c>
      <c r="E77" s="33">
        <v>1</v>
      </c>
      <c r="F77" s="33">
        <v>1</v>
      </c>
      <c r="G77" s="33">
        <v>1</v>
      </c>
    </row>
    <row r="78" spans="1:7" hidden="1" x14ac:dyDescent="0.25">
      <c r="A78" s="34" t="s">
        <v>163</v>
      </c>
      <c r="B78" s="35" t="s">
        <v>31</v>
      </c>
      <c r="C78" s="33">
        <v>0.60729999999999995</v>
      </c>
      <c r="E78" s="33">
        <v>1</v>
      </c>
      <c r="F78" s="33">
        <v>1</v>
      </c>
      <c r="G78" s="33">
        <v>1</v>
      </c>
    </row>
    <row r="79" spans="1:7" hidden="1" x14ac:dyDescent="0.25">
      <c r="A79" s="34" t="s">
        <v>163</v>
      </c>
      <c r="B79" s="35" t="s">
        <v>151</v>
      </c>
    </row>
    <row r="80" spans="1:7" hidden="1" x14ac:dyDescent="0.25">
      <c r="A80" s="34" t="s">
        <v>163</v>
      </c>
      <c r="B80" s="35" t="s">
        <v>32</v>
      </c>
      <c r="C80" s="33">
        <v>0.60699999999999998</v>
      </c>
      <c r="E80" s="33">
        <v>1</v>
      </c>
      <c r="F80" s="33">
        <v>1</v>
      </c>
      <c r="G80" s="33">
        <v>1</v>
      </c>
    </row>
    <row r="81" spans="1:7" hidden="1" x14ac:dyDescent="0.25">
      <c r="A81" s="34" t="s">
        <v>163</v>
      </c>
      <c r="B81" s="35" t="s">
        <v>152</v>
      </c>
      <c r="C81" s="33">
        <v>1</v>
      </c>
      <c r="E81" s="33">
        <v>1</v>
      </c>
      <c r="F81" s="33">
        <v>1</v>
      </c>
      <c r="G81" s="33">
        <v>1</v>
      </c>
    </row>
    <row r="82" spans="1:7" hidden="1" x14ac:dyDescent="0.25">
      <c r="A82" s="34" t="s">
        <v>163</v>
      </c>
      <c r="B82" s="35" t="s">
        <v>33</v>
      </c>
      <c r="C82" s="33">
        <v>1</v>
      </c>
      <c r="E82" s="33">
        <v>1</v>
      </c>
      <c r="F82" s="33">
        <v>1</v>
      </c>
      <c r="G82" s="33">
        <v>1</v>
      </c>
    </row>
    <row r="83" spans="1:7" hidden="1" x14ac:dyDescent="0.25">
      <c r="A83" s="34" t="s">
        <v>164</v>
      </c>
      <c r="B83" s="35" t="s">
        <v>29</v>
      </c>
      <c r="C83" s="33">
        <v>0.55000000000000004</v>
      </c>
      <c r="E83" s="33">
        <v>0.95</v>
      </c>
      <c r="F83" s="33">
        <v>0.92624999999999991</v>
      </c>
      <c r="G83" s="33">
        <v>0.92624999999999991</v>
      </c>
    </row>
    <row r="84" spans="1:7" hidden="1" x14ac:dyDescent="0.25">
      <c r="A84" s="34" t="s">
        <v>164</v>
      </c>
      <c r="B84" s="35" t="s">
        <v>150</v>
      </c>
      <c r="C84" s="33">
        <v>0.55000000000000004</v>
      </c>
      <c r="E84" s="33">
        <v>0.95</v>
      </c>
      <c r="F84" s="33">
        <v>0.92624999999999991</v>
      </c>
      <c r="G84" s="33">
        <v>0.92624999999999991</v>
      </c>
    </row>
    <row r="85" spans="1:7" hidden="1" x14ac:dyDescent="0.25">
      <c r="A85" s="34" t="s">
        <v>164</v>
      </c>
      <c r="B85" s="35" t="s">
        <v>30</v>
      </c>
      <c r="C85" s="33">
        <v>0.55000000000000004</v>
      </c>
      <c r="E85" s="33">
        <v>0.95</v>
      </c>
      <c r="F85" s="33">
        <v>0.92624999999999991</v>
      </c>
      <c r="G85" s="33">
        <v>0.92624999999999991</v>
      </c>
    </row>
    <row r="86" spans="1:7" hidden="1" x14ac:dyDescent="0.25">
      <c r="A86" s="34" t="s">
        <v>164</v>
      </c>
      <c r="B86" s="35" t="s">
        <v>31</v>
      </c>
      <c r="C86" s="33">
        <v>0.55000000000000004</v>
      </c>
      <c r="E86" s="33">
        <v>0.95</v>
      </c>
      <c r="F86" s="33">
        <v>0.90365853658536588</v>
      </c>
      <c r="G86" s="33">
        <v>0.90365853658536588</v>
      </c>
    </row>
    <row r="87" spans="1:7" hidden="1" x14ac:dyDescent="0.25">
      <c r="A87" s="34" t="s">
        <v>164</v>
      </c>
      <c r="B87" s="35" t="s">
        <v>32</v>
      </c>
      <c r="C87" s="33">
        <v>0.441</v>
      </c>
      <c r="E87" s="33">
        <v>0.9</v>
      </c>
      <c r="F87" s="33">
        <v>0.9</v>
      </c>
      <c r="G87" s="33">
        <v>0.9</v>
      </c>
    </row>
    <row r="88" spans="1:7" hidden="1" x14ac:dyDescent="0.25">
      <c r="A88" s="34" t="s">
        <v>164</v>
      </c>
      <c r="B88" s="35" t="s">
        <v>152</v>
      </c>
      <c r="C88" s="33">
        <v>1.05</v>
      </c>
      <c r="E88" s="33">
        <v>0.83</v>
      </c>
      <c r="F88" s="33">
        <v>0.79995387985702759</v>
      </c>
      <c r="G88" s="33">
        <v>0.79995387985702759</v>
      </c>
    </row>
    <row r="89" spans="1:7" hidden="1" x14ac:dyDescent="0.25">
      <c r="A89" s="34" t="s">
        <v>164</v>
      </c>
      <c r="B89" s="35" t="s">
        <v>33</v>
      </c>
      <c r="C89" s="33">
        <v>1</v>
      </c>
      <c r="E89" s="33">
        <v>1</v>
      </c>
      <c r="F89" s="33">
        <v>1.0249999999999999</v>
      </c>
      <c r="G89" s="33">
        <v>1.0249999999999999</v>
      </c>
    </row>
    <row r="90" spans="1:7" hidden="1" x14ac:dyDescent="0.25">
      <c r="A90" s="34" t="s">
        <v>165</v>
      </c>
      <c r="B90" s="35" t="s">
        <v>29</v>
      </c>
      <c r="C90" s="33">
        <v>0.55000000000000004</v>
      </c>
      <c r="E90" s="33">
        <v>0.85</v>
      </c>
      <c r="F90" s="33">
        <v>0.82874999999999999</v>
      </c>
      <c r="G90" s="33">
        <v>0.82874999999999999</v>
      </c>
    </row>
    <row r="91" spans="1:7" hidden="1" x14ac:dyDescent="0.25">
      <c r="A91" s="34" t="s">
        <v>165</v>
      </c>
      <c r="B91" s="35" t="s">
        <v>150</v>
      </c>
      <c r="C91" s="33">
        <v>0.55000000000000004</v>
      </c>
      <c r="E91" s="33">
        <v>0.85</v>
      </c>
      <c r="F91" s="33">
        <v>0.82874999999999999</v>
      </c>
      <c r="G91" s="33">
        <v>0.82874999999999999</v>
      </c>
    </row>
    <row r="92" spans="1:7" hidden="1" x14ac:dyDescent="0.25">
      <c r="A92" s="34" t="s">
        <v>165</v>
      </c>
      <c r="B92" s="35" t="s">
        <v>30</v>
      </c>
      <c r="C92" s="33">
        <v>0.55000000000000004</v>
      </c>
      <c r="E92" s="33">
        <v>0.85</v>
      </c>
      <c r="F92" s="33">
        <v>0.82874999999999999</v>
      </c>
      <c r="G92" s="33">
        <v>0.82874999999999999</v>
      </c>
    </row>
    <row r="93" spans="1:7" hidden="1" x14ac:dyDescent="0.25">
      <c r="A93" s="34" t="s">
        <v>165</v>
      </c>
      <c r="B93" s="35" t="s">
        <v>31</v>
      </c>
      <c r="C93" s="33">
        <v>0.55000000000000004</v>
      </c>
      <c r="E93" s="33">
        <v>0.85</v>
      </c>
      <c r="F93" s="33">
        <v>0.82874999999999999</v>
      </c>
      <c r="G93" s="33">
        <v>0.82874999999999999</v>
      </c>
    </row>
    <row r="94" spans="1:7" hidden="1" x14ac:dyDescent="0.25">
      <c r="A94" s="34" t="s">
        <v>165</v>
      </c>
      <c r="B94" s="35" t="s">
        <v>32</v>
      </c>
      <c r="C94" s="33">
        <v>0.441</v>
      </c>
      <c r="E94" s="33">
        <v>0.9</v>
      </c>
      <c r="F94" s="33">
        <v>0.9</v>
      </c>
      <c r="G94" s="33">
        <v>0.9</v>
      </c>
    </row>
    <row r="95" spans="1:7" hidden="1" x14ac:dyDescent="0.25">
      <c r="A95" s="34" t="s">
        <v>165</v>
      </c>
      <c r="B95" s="35" t="s">
        <v>152</v>
      </c>
      <c r="C95" s="33">
        <v>1.25</v>
      </c>
      <c r="E95" s="33">
        <v>0.82499999999999996</v>
      </c>
      <c r="F95" s="33">
        <v>0.82</v>
      </c>
      <c r="G95" s="33">
        <v>0.82</v>
      </c>
    </row>
    <row r="96" spans="1:7" hidden="1" x14ac:dyDescent="0.25">
      <c r="A96" s="34" t="s">
        <v>165</v>
      </c>
      <c r="B96" s="35" t="s">
        <v>33</v>
      </c>
    </row>
    <row r="97" spans="1:7" hidden="1" x14ac:dyDescent="0.25">
      <c r="A97" s="34" t="s">
        <v>166</v>
      </c>
      <c r="B97" s="35" t="s">
        <v>29</v>
      </c>
      <c r="C97" s="33">
        <v>0</v>
      </c>
      <c r="D97" s="33" t="s">
        <v>172</v>
      </c>
      <c r="E97" s="33">
        <v>0.95</v>
      </c>
      <c r="F97" s="33">
        <v>0.95</v>
      </c>
      <c r="G97" s="33">
        <v>0.95</v>
      </c>
    </row>
    <row r="98" spans="1:7" hidden="1" x14ac:dyDescent="0.25">
      <c r="A98" s="34" t="s">
        <v>166</v>
      </c>
      <c r="B98" s="35" t="s">
        <v>150</v>
      </c>
      <c r="C98" s="33">
        <v>0</v>
      </c>
      <c r="D98" s="33" t="s">
        <v>172</v>
      </c>
      <c r="E98" s="33">
        <v>0.95</v>
      </c>
      <c r="F98" s="33">
        <v>0.95</v>
      </c>
      <c r="G98" s="33">
        <v>0.95</v>
      </c>
    </row>
    <row r="99" spans="1:7" hidden="1" x14ac:dyDescent="0.25">
      <c r="A99" s="34" t="s">
        <v>166</v>
      </c>
      <c r="B99" s="35" t="s">
        <v>30</v>
      </c>
      <c r="C99" s="33">
        <v>0</v>
      </c>
      <c r="D99" s="33" t="s">
        <v>172</v>
      </c>
      <c r="E99" s="33">
        <v>0.95</v>
      </c>
      <c r="F99" s="33">
        <v>0.95</v>
      </c>
      <c r="G99" s="33">
        <v>0.95</v>
      </c>
    </row>
    <row r="100" spans="1:7" hidden="1" x14ac:dyDescent="0.25">
      <c r="A100" s="34" t="s">
        <v>166</v>
      </c>
      <c r="B100" s="35" t="s">
        <v>31</v>
      </c>
      <c r="C100" s="33">
        <v>0.76</v>
      </c>
      <c r="D100" s="33" t="s">
        <v>172</v>
      </c>
      <c r="E100" s="33">
        <v>0.95</v>
      </c>
      <c r="F100" s="33">
        <v>0.95</v>
      </c>
      <c r="G100" s="33">
        <v>0.95</v>
      </c>
    </row>
    <row r="101" spans="1:7" hidden="1" x14ac:dyDescent="0.25">
      <c r="A101" s="34" t="s">
        <v>166</v>
      </c>
      <c r="B101" s="35" t="s">
        <v>32</v>
      </c>
      <c r="C101" s="33">
        <v>0.8</v>
      </c>
      <c r="E101" s="33">
        <v>1</v>
      </c>
      <c r="F101" s="33">
        <v>1</v>
      </c>
      <c r="G101" s="33">
        <v>1</v>
      </c>
    </row>
    <row r="102" spans="1:7" hidden="1" x14ac:dyDescent="0.25">
      <c r="A102" s="34" t="s">
        <v>166</v>
      </c>
      <c r="B102" s="35" t="s">
        <v>152</v>
      </c>
      <c r="C102" s="33">
        <v>1</v>
      </c>
      <c r="E102" s="33">
        <v>0.86</v>
      </c>
      <c r="F102" s="33">
        <v>0.86</v>
      </c>
      <c r="G102" s="33">
        <v>0.86</v>
      </c>
    </row>
    <row r="103" spans="1:7" hidden="1" x14ac:dyDescent="0.25">
      <c r="A103" s="34" t="s">
        <v>166</v>
      </c>
      <c r="B103" s="35" t="s">
        <v>33</v>
      </c>
    </row>
    <row r="104" spans="1:7" hidden="1" x14ac:dyDescent="0.25">
      <c r="A104" s="34" t="s">
        <v>167</v>
      </c>
      <c r="B104" s="35" t="s">
        <v>29</v>
      </c>
      <c r="C104" s="33">
        <v>0.7</v>
      </c>
      <c r="E104" s="33">
        <v>1</v>
      </c>
      <c r="F104" s="33">
        <v>1</v>
      </c>
      <c r="G104" s="33">
        <v>1</v>
      </c>
    </row>
    <row r="105" spans="1:7" hidden="1" x14ac:dyDescent="0.25">
      <c r="A105" s="34" t="s">
        <v>167</v>
      </c>
      <c r="B105" s="35" t="s">
        <v>150</v>
      </c>
      <c r="C105" s="33">
        <v>0.7</v>
      </c>
      <c r="E105" s="33">
        <v>1</v>
      </c>
      <c r="F105" s="33">
        <v>1</v>
      </c>
      <c r="G105" s="33">
        <v>1</v>
      </c>
    </row>
    <row r="106" spans="1:7" hidden="1" x14ac:dyDescent="0.25">
      <c r="A106" s="34" t="s">
        <v>167</v>
      </c>
      <c r="B106" s="35" t="s">
        <v>30</v>
      </c>
      <c r="C106" s="33">
        <v>0.7</v>
      </c>
      <c r="E106" s="33">
        <v>1</v>
      </c>
      <c r="F106" s="33">
        <v>1</v>
      </c>
      <c r="G106" s="33">
        <v>1</v>
      </c>
    </row>
    <row r="107" spans="1:7" hidden="1" x14ac:dyDescent="0.25">
      <c r="A107" s="34" t="s">
        <v>167</v>
      </c>
      <c r="B107" s="35" t="s">
        <v>31</v>
      </c>
      <c r="C107" s="33">
        <v>0.7</v>
      </c>
      <c r="E107" s="33">
        <v>1</v>
      </c>
      <c r="F107" s="33">
        <v>1</v>
      </c>
      <c r="G107" s="33">
        <v>1</v>
      </c>
    </row>
    <row r="108" spans="1:7" hidden="1" x14ac:dyDescent="0.25">
      <c r="A108" s="34" t="s">
        <v>167</v>
      </c>
      <c r="B108" s="35" t="s">
        <v>32</v>
      </c>
      <c r="C108" s="33">
        <v>1</v>
      </c>
      <c r="E108" s="33">
        <v>1</v>
      </c>
      <c r="F108" s="33">
        <v>1</v>
      </c>
      <c r="G108" s="33">
        <v>1</v>
      </c>
    </row>
    <row r="109" spans="1:7" hidden="1" x14ac:dyDescent="0.25">
      <c r="A109" s="34" t="s">
        <v>167</v>
      </c>
      <c r="B109" s="35" t="s">
        <v>152</v>
      </c>
      <c r="C109" s="33">
        <v>1</v>
      </c>
      <c r="E109" s="33">
        <v>0.86</v>
      </c>
      <c r="F109" s="33">
        <v>0.86</v>
      </c>
      <c r="G109" s="33">
        <v>0.86</v>
      </c>
    </row>
    <row r="110" spans="1:7" hidden="1" x14ac:dyDescent="0.25">
      <c r="A110" s="34" t="s">
        <v>167</v>
      </c>
      <c r="B110" s="35" t="s">
        <v>33</v>
      </c>
    </row>
    <row r="111" spans="1:7" hidden="1" x14ac:dyDescent="0.25">
      <c r="A111" s="33" t="s">
        <v>168</v>
      </c>
      <c r="B111" s="35" t="s">
        <v>29</v>
      </c>
      <c r="C111" s="33">
        <v>0</v>
      </c>
      <c r="D111" s="33" t="s">
        <v>172</v>
      </c>
      <c r="E111" s="33">
        <v>1</v>
      </c>
      <c r="F111" s="33">
        <v>1</v>
      </c>
      <c r="G111" s="33">
        <v>1</v>
      </c>
    </row>
    <row r="112" spans="1:7" hidden="1" x14ac:dyDescent="0.25">
      <c r="A112" s="33" t="s">
        <v>168</v>
      </c>
      <c r="B112" s="35" t="s">
        <v>150</v>
      </c>
      <c r="C112" s="33">
        <v>0</v>
      </c>
      <c r="D112" s="33" t="s">
        <v>172</v>
      </c>
      <c r="E112" s="33">
        <v>1</v>
      </c>
      <c r="F112" s="33">
        <v>1</v>
      </c>
      <c r="G112" s="33">
        <v>1</v>
      </c>
    </row>
    <row r="113" spans="1:8" hidden="1" x14ac:dyDescent="0.25">
      <c r="A113" s="33" t="s">
        <v>168</v>
      </c>
      <c r="B113" s="35" t="s">
        <v>30</v>
      </c>
      <c r="C113" s="33">
        <v>0</v>
      </c>
      <c r="D113" s="33" t="s">
        <v>172</v>
      </c>
      <c r="E113" s="33">
        <v>1</v>
      </c>
      <c r="F113" s="33">
        <v>1</v>
      </c>
      <c r="G113" s="33">
        <v>1</v>
      </c>
    </row>
    <row r="114" spans="1:8" hidden="1" x14ac:dyDescent="0.25">
      <c r="A114" s="33" t="s">
        <v>168</v>
      </c>
      <c r="B114" s="35" t="s">
        <v>31</v>
      </c>
      <c r="C114" s="33">
        <v>1</v>
      </c>
      <c r="D114" s="33" t="s">
        <v>172</v>
      </c>
      <c r="E114" s="33">
        <v>1</v>
      </c>
      <c r="F114" s="33">
        <v>1</v>
      </c>
      <c r="G114" s="33">
        <v>1</v>
      </c>
    </row>
    <row r="115" spans="1:8" hidden="1" x14ac:dyDescent="0.25">
      <c r="A115" s="33" t="s">
        <v>168</v>
      </c>
      <c r="B115" s="35" t="s">
        <v>151</v>
      </c>
      <c r="C115" s="33">
        <v>10.220000000000001</v>
      </c>
      <c r="E115" s="33">
        <v>1</v>
      </c>
      <c r="F115" s="33">
        <v>1</v>
      </c>
      <c r="G115" s="33">
        <v>1</v>
      </c>
    </row>
    <row r="116" spans="1:8" hidden="1" x14ac:dyDescent="0.25">
      <c r="A116" s="33" t="s">
        <v>168</v>
      </c>
      <c r="B116" s="35" t="s">
        <v>32</v>
      </c>
      <c r="C116" s="33">
        <v>0.441</v>
      </c>
      <c r="E116" s="33">
        <v>0.9</v>
      </c>
      <c r="F116" s="33">
        <v>0.9</v>
      </c>
      <c r="G116" s="33">
        <v>0.9</v>
      </c>
    </row>
    <row r="117" spans="1:8" hidden="1" x14ac:dyDescent="0.25">
      <c r="A117" s="33" t="s">
        <v>168</v>
      </c>
      <c r="B117" s="35" t="s">
        <v>152</v>
      </c>
      <c r="C117" s="33">
        <v>1</v>
      </c>
      <c r="E117" s="33">
        <v>1</v>
      </c>
      <c r="F117" s="33">
        <v>1</v>
      </c>
      <c r="G117" s="33">
        <v>1</v>
      </c>
    </row>
    <row r="118" spans="1:8" hidden="1" x14ac:dyDescent="0.25">
      <c r="A118" s="33" t="s">
        <v>168</v>
      </c>
      <c r="B118" s="35" t="s">
        <v>33</v>
      </c>
      <c r="C118" s="33">
        <v>1</v>
      </c>
      <c r="E118" s="33">
        <v>1</v>
      </c>
      <c r="F118" s="33">
        <v>1</v>
      </c>
      <c r="G118" s="33">
        <v>1</v>
      </c>
    </row>
    <row r="119" spans="1:8" hidden="1" x14ac:dyDescent="0.25">
      <c r="A119" s="33" t="s">
        <v>169</v>
      </c>
      <c r="B119" s="35" t="s">
        <v>29</v>
      </c>
      <c r="C119" s="33">
        <v>0.63700000000000001</v>
      </c>
      <c r="E119" s="33">
        <v>0.96495387776761621</v>
      </c>
      <c r="F119" s="33">
        <v>0.9018260539884263</v>
      </c>
      <c r="G119" s="33">
        <v>0.9018260539884263</v>
      </c>
    </row>
    <row r="120" spans="1:8" hidden="1" x14ac:dyDescent="0.25">
      <c r="A120" s="33" t="s">
        <v>169</v>
      </c>
      <c r="B120" s="35" t="s">
        <v>150</v>
      </c>
      <c r="C120" s="33">
        <v>0.63800000000000001</v>
      </c>
      <c r="E120" s="33">
        <v>0.96313364055299533</v>
      </c>
      <c r="F120" s="33">
        <v>0.90012489771307969</v>
      </c>
      <c r="G120" s="33">
        <v>0.90012489771307969</v>
      </c>
    </row>
    <row r="121" spans="1:8" hidden="1" x14ac:dyDescent="0.25">
      <c r="A121" s="33" t="s">
        <v>169</v>
      </c>
      <c r="B121" s="35" t="s">
        <v>30</v>
      </c>
      <c r="C121" s="33">
        <v>0.63700000000000001</v>
      </c>
      <c r="E121" s="33">
        <v>0.96470588235294119</v>
      </c>
      <c r="F121" s="33">
        <v>0.90159428257284224</v>
      </c>
      <c r="G121" s="33">
        <v>0.90159428257284224</v>
      </c>
    </row>
    <row r="122" spans="1:8" hidden="1" x14ac:dyDescent="0.25">
      <c r="A122" s="33" t="s">
        <v>169</v>
      </c>
      <c r="B122" s="35" t="s">
        <v>31</v>
      </c>
      <c r="C122" s="33">
        <v>0.59799999999999998</v>
      </c>
      <c r="E122" s="33">
        <v>0.96481970096745817</v>
      </c>
      <c r="F122" s="33">
        <v>0.90170065510977393</v>
      </c>
      <c r="G122" s="33">
        <v>0.90170065510977393</v>
      </c>
    </row>
    <row r="123" spans="1:8" hidden="1" x14ac:dyDescent="0.25">
      <c r="A123" s="33" t="s">
        <v>169</v>
      </c>
      <c r="B123" s="35" t="s">
        <v>151</v>
      </c>
      <c r="C123" s="33">
        <v>1</v>
      </c>
      <c r="E123" s="33">
        <v>1</v>
      </c>
      <c r="F123" s="33">
        <v>1</v>
      </c>
      <c r="G123" s="33">
        <v>1</v>
      </c>
    </row>
    <row r="124" spans="1:8" hidden="1" x14ac:dyDescent="0.25">
      <c r="A124" s="33" t="s">
        <v>169</v>
      </c>
      <c r="B124" s="35" t="s">
        <v>32</v>
      </c>
      <c r="C124" s="33">
        <v>0.441</v>
      </c>
      <c r="E124" s="33">
        <v>0.9</v>
      </c>
      <c r="F124" s="33">
        <v>0.9</v>
      </c>
      <c r="G124" s="33">
        <v>0.9</v>
      </c>
    </row>
    <row r="125" spans="1:8" hidden="1" x14ac:dyDescent="0.25">
      <c r="A125" s="33" t="s">
        <v>169</v>
      </c>
      <c r="B125" s="35" t="s">
        <v>152</v>
      </c>
      <c r="C125" s="33">
        <v>1.05</v>
      </c>
      <c r="E125" s="33">
        <v>0.14536340852130325</v>
      </c>
      <c r="F125" s="33">
        <v>0.11194653299916459</v>
      </c>
      <c r="G125" s="33">
        <v>0.11194653299916459</v>
      </c>
      <c r="H125" s="33" t="s">
        <v>173</v>
      </c>
    </row>
    <row r="126" spans="1:8" hidden="1" x14ac:dyDescent="0.25">
      <c r="A126" s="33" t="s">
        <v>169</v>
      </c>
      <c r="B126" s="35" t="s">
        <v>33</v>
      </c>
      <c r="C126" s="33">
        <v>1</v>
      </c>
      <c r="E126" s="33">
        <v>1</v>
      </c>
      <c r="F126" s="33">
        <v>1.2</v>
      </c>
      <c r="G126" s="33">
        <v>1.2</v>
      </c>
    </row>
    <row r="127" spans="1:8" ht="15.75" x14ac:dyDescent="0.25">
      <c r="A127"/>
    </row>
    <row r="128" spans="1:8" ht="15.75" x14ac:dyDescent="0.25">
      <c r="A128"/>
    </row>
    <row r="129" spans="1:1" ht="15.75" x14ac:dyDescent="0.25">
      <c r="A129"/>
    </row>
    <row r="130" spans="1:1" ht="15.75" x14ac:dyDescent="0.25">
      <c r="A130"/>
    </row>
    <row r="131" spans="1:1" ht="15.75" x14ac:dyDescent="0.25">
      <c r="A131"/>
    </row>
    <row r="132" spans="1:1" ht="15.75" x14ac:dyDescent="0.25">
      <c r="A132"/>
    </row>
    <row r="133" spans="1:1" ht="15.75" x14ac:dyDescent="0.25">
      <c r="A133"/>
    </row>
    <row r="134" spans="1:1" ht="15.75" x14ac:dyDescent="0.25">
      <c r="A134"/>
    </row>
    <row r="135" spans="1:1" ht="15.75" x14ac:dyDescent="0.25">
      <c r="A135"/>
    </row>
    <row r="136" spans="1:1" ht="15.75" x14ac:dyDescent="0.25">
      <c r="A136"/>
    </row>
    <row r="137" spans="1:1" ht="15.75" x14ac:dyDescent="0.25">
      <c r="A137"/>
    </row>
    <row r="138" spans="1:1" ht="15.75" x14ac:dyDescent="0.25">
      <c r="A138"/>
    </row>
    <row r="139" spans="1:1" ht="15.75" x14ac:dyDescent="0.25">
      <c r="A139"/>
    </row>
    <row r="140" spans="1:1" ht="15.75" x14ac:dyDescent="0.25">
      <c r="A140"/>
    </row>
    <row r="141" spans="1:1" ht="15.75" x14ac:dyDescent="0.25">
      <c r="A141"/>
    </row>
    <row r="142" spans="1:1" ht="15.75" x14ac:dyDescent="0.25">
      <c r="A142"/>
    </row>
    <row r="143" spans="1:1" ht="15.75" x14ac:dyDescent="0.25">
      <c r="A143"/>
    </row>
    <row r="144" spans="1:1" ht="15.75" x14ac:dyDescent="0.25">
      <c r="A144"/>
    </row>
    <row r="145" spans="1:1" ht="15.75" x14ac:dyDescent="0.25">
      <c r="A145"/>
    </row>
    <row r="146" spans="1:1" ht="15.75" x14ac:dyDescent="0.25">
      <c r="A146"/>
    </row>
    <row r="147" spans="1:1" ht="15.75" x14ac:dyDescent="0.25">
      <c r="A147"/>
    </row>
    <row r="148" spans="1:1" ht="15.75" x14ac:dyDescent="0.25">
      <c r="A148"/>
    </row>
    <row r="149" spans="1:1" ht="15.75" x14ac:dyDescent="0.25">
      <c r="A149"/>
    </row>
    <row r="150" spans="1:1" ht="15.75" x14ac:dyDescent="0.25">
      <c r="A150"/>
    </row>
    <row r="151" spans="1:1" ht="15.75" x14ac:dyDescent="0.25">
      <c r="A151"/>
    </row>
    <row r="152" spans="1:1" ht="15.75" x14ac:dyDescent="0.25">
      <c r="A152"/>
    </row>
    <row r="153" spans="1:1" ht="15.75" x14ac:dyDescent="0.25">
      <c r="A153"/>
    </row>
    <row r="154" spans="1:1" ht="15.75" x14ac:dyDescent="0.25">
      <c r="A154"/>
    </row>
    <row r="155" spans="1:1" ht="15.75" x14ac:dyDescent="0.25">
      <c r="A155"/>
    </row>
    <row r="156" spans="1:1" ht="15.75" x14ac:dyDescent="0.25">
      <c r="A156"/>
    </row>
    <row r="157" spans="1:1" ht="15.75" x14ac:dyDescent="0.25">
      <c r="A157"/>
    </row>
    <row r="158" spans="1:1" ht="15.75" x14ac:dyDescent="0.25">
      <c r="A158"/>
    </row>
    <row r="159" spans="1:1" ht="15.75" x14ac:dyDescent="0.25">
      <c r="A159"/>
    </row>
    <row r="160" spans="1:1" ht="15.75" x14ac:dyDescent="0.25">
      <c r="A160"/>
    </row>
    <row r="161" spans="1:1" ht="15.75" x14ac:dyDescent="0.25">
      <c r="A161"/>
    </row>
    <row r="162" spans="1:1" ht="15.75" x14ac:dyDescent="0.25">
      <c r="A162"/>
    </row>
    <row r="163" spans="1:1" ht="15.75" x14ac:dyDescent="0.25">
      <c r="A163"/>
    </row>
    <row r="164" spans="1:1" ht="15.75" x14ac:dyDescent="0.25">
      <c r="A164"/>
    </row>
    <row r="165" spans="1:1" ht="15.75" x14ac:dyDescent="0.25">
      <c r="A165"/>
    </row>
    <row r="166" spans="1:1" ht="15.75" x14ac:dyDescent="0.25">
      <c r="A166"/>
    </row>
    <row r="167" spans="1:1" ht="15.75" x14ac:dyDescent="0.25">
      <c r="A167"/>
    </row>
    <row r="168" spans="1:1" ht="15.75" x14ac:dyDescent="0.25">
      <c r="A168"/>
    </row>
    <row r="169" spans="1:1" ht="15.75" x14ac:dyDescent="0.25">
      <c r="A169"/>
    </row>
    <row r="170" spans="1:1" ht="15.75" x14ac:dyDescent="0.25">
      <c r="A170"/>
    </row>
    <row r="171" spans="1:1" ht="15.75" x14ac:dyDescent="0.25">
      <c r="A171"/>
    </row>
    <row r="172" spans="1:1" ht="15.75" x14ac:dyDescent="0.25">
      <c r="A172"/>
    </row>
    <row r="173" spans="1:1" ht="15.75" x14ac:dyDescent="0.25">
      <c r="A173"/>
    </row>
    <row r="174" spans="1:1" ht="15.75" x14ac:dyDescent="0.25">
      <c r="A174"/>
    </row>
    <row r="175" spans="1:1" ht="15.75" x14ac:dyDescent="0.25">
      <c r="A175"/>
    </row>
    <row r="176" spans="1:1" ht="15.75" x14ac:dyDescent="0.25">
      <c r="A176"/>
    </row>
    <row r="177" spans="1:1" ht="15.75" x14ac:dyDescent="0.25">
      <c r="A177"/>
    </row>
    <row r="178" spans="1:1" ht="15.75" x14ac:dyDescent="0.25">
      <c r="A178"/>
    </row>
    <row r="179" spans="1:1" ht="15.75" x14ac:dyDescent="0.25">
      <c r="A179"/>
    </row>
    <row r="180" spans="1:1" ht="15.75" x14ac:dyDescent="0.25">
      <c r="A180"/>
    </row>
    <row r="181" spans="1:1" ht="15.75" x14ac:dyDescent="0.25">
      <c r="A181"/>
    </row>
    <row r="182" spans="1:1" ht="15.75" x14ac:dyDescent="0.25">
      <c r="A182"/>
    </row>
    <row r="183" spans="1:1" ht="15.75" x14ac:dyDescent="0.25">
      <c r="A183"/>
    </row>
    <row r="184" spans="1:1" ht="15.75" x14ac:dyDescent="0.25">
      <c r="A184"/>
    </row>
    <row r="185" spans="1:1" ht="15.75" x14ac:dyDescent="0.25">
      <c r="A185"/>
    </row>
    <row r="186" spans="1:1" ht="15.75" x14ac:dyDescent="0.25">
      <c r="A186"/>
    </row>
    <row r="187" spans="1:1" ht="15.75" x14ac:dyDescent="0.25">
      <c r="A187"/>
    </row>
    <row r="188" spans="1:1" ht="15.75" x14ac:dyDescent="0.25">
      <c r="A188"/>
    </row>
    <row r="189" spans="1:1" x14ac:dyDescent="0.25">
      <c r="A189" s="122"/>
    </row>
    <row r="190" spans="1:1" x14ac:dyDescent="0.25">
      <c r="A190" s="122"/>
    </row>
    <row r="191" spans="1:1" x14ac:dyDescent="0.25">
      <c r="A191" s="122"/>
    </row>
    <row r="192" spans="1:1" x14ac:dyDescent="0.25">
      <c r="A192" s="122"/>
    </row>
    <row r="193" spans="1:1" x14ac:dyDescent="0.25">
      <c r="A193" s="122"/>
    </row>
    <row r="194" spans="1:1" x14ac:dyDescent="0.25">
      <c r="A194" s="122"/>
    </row>
    <row r="195" spans="1:1" x14ac:dyDescent="0.25">
      <c r="A195" s="122"/>
    </row>
    <row r="196" spans="1:1" x14ac:dyDescent="0.25">
      <c r="A196" s="122"/>
    </row>
    <row r="197" spans="1:1" x14ac:dyDescent="0.25">
      <c r="A197" s="122"/>
    </row>
    <row r="198" spans="1:1" x14ac:dyDescent="0.25">
      <c r="A198" s="122"/>
    </row>
    <row r="199" spans="1:1" x14ac:dyDescent="0.25">
      <c r="A199" s="122"/>
    </row>
    <row r="200" spans="1:1" x14ac:dyDescent="0.25">
      <c r="A200" s="122"/>
    </row>
    <row r="201" spans="1:1" x14ac:dyDescent="0.25">
      <c r="A201" s="122"/>
    </row>
    <row r="202" spans="1:1" x14ac:dyDescent="0.25">
      <c r="A202" s="122"/>
    </row>
    <row r="203" spans="1:1" x14ac:dyDescent="0.25">
      <c r="A203" s="122"/>
    </row>
    <row r="204" spans="1:1" x14ac:dyDescent="0.25">
      <c r="A204" s="122"/>
    </row>
    <row r="205" spans="1:1" x14ac:dyDescent="0.25">
      <c r="A205" s="122"/>
    </row>
    <row r="206" spans="1:1" x14ac:dyDescent="0.25">
      <c r="A206" s="122"/>
    </row>
    <row r="207" spans="1:1" x14ac:dyDescent="0.25">
      <c r="A207" s="122"/>
    </row>
    <row r="208" spans="1:1" x14ac:dyDescent="0.25">
      <c r="A208" s="122"/>
    </row>
    <row r="209" spans="1:1" x14ac:dyDescent="0.25">
      <c r="A209" s="122"/>
    </row>
    <row r="210" spans="1:1" x14ac:dyDescent="0.25">
      <c r="A210" s="122"/>
    </row>
    <row r="211" spans="1:1" x14ac:dyDescent="0.25">
      <c r="A211" s="122"/>
    </row>
    <row r="212" spans="1:1" x14ac:dyDescent="0.25">
      <c r="A212" s="122"/>
    </row>
    <row r="213" spans="1:1" x14ac:dyDescent="0.25">
      <c r="A213" s="122"/>
    </row>
    <row r="214" spans="1:1" x14ac:dyDescent="0.25">
      <c r="A214" s="122"/>
    </row>
    <row r="215" spans="1:1" x14ac:dyDescent="0.25">
      <c r="A215" s="122"/>
    </row>
    <row r="216" spans="1:1" x14ac:dyDescent="0.25">
      <c r="A216" s="122"/>
    </row>
  </sheetData>
  <autoFilter ref="A2:F126" xr:uid="{19DED959-E668-4517-B022-601D1228136F}">
    <filterColumn colId="0">
      <filters>
        <filter val="MIV"/>
      </filters>
    </filterColumn>
    <filterColumn colId="1">
      <filters>
        <filter val="THG"/>
      </filters>
    </filterColumn>
  </autoFilter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3366-D387-4705-8E37-C677CD354FC2}">
  <sheetPr filterMode="1"/>
  <dimension ref="A1:Z221"/>
  <sheetViews>
    <sheetView tabSelected="1" zoomScaleNormal="100" workbookViewId="0">
      <pane xSplit="3" ySplit="2" topLeftCell="D198" activePane="bottomRight" state="frozen"/>
      <selection pane="topRight" activeCell="D1" sqref="D1"/>
      <selection pane="bottomLeft" activeCell="A3" sqref="A3"/>
      <selection pane="bottomRight" activeCell="G119" sqref="G119:G221"/>
    </sheetView>
  </sheetViews>
  <sheetFormatPr baseColWidth="10" defaultColWidth="8.5" defaultRowHeight="15.75" x14ac:dyDescent="0.25"/>
  <cols>
    <col min="1" max="1" width="6.75" style="33" bestFit="1" customWidth="1"/>
    <col min="2" max="2" width="12.75" style="33" bestFit="1" customWidth="1"/>
    <col min="3" max="3" width="16.375" style="33" bestFit="1" customWidth="1"/>
    <col min="4" max="4" width="11.625" style="33" bestFit="1" customWidth="1"/>
    <col min="5" max="5" width="10.125" style="33" bestFit="1" customWidth="1"/>
    <col min="6" max="6" width="9.25" style="33" bestFit="1" customWidth="1"/>
    <col min="7" max="7" width="7.75" style="33" bestFit="1" customWidth="1"/>
    <col min="8" max="8" width="12.5" style="36" bestFit="1" customWidth="1"/>
    <col min="9" max="9" width="14.25" style="33" bestFit="1" customWidth="1"/>
    <col min="10" max="10" width="13.625" style="33" bestFit="1" customWidth="1"/>
    <col min="11" max="11" width="14.125" style="36" bestFit="1" customWidth="1"/>
    <col min="12" max="12" width="14.25" style="33" bestFit="1" customWidth="1"/>
    <col min="13" max="13" width="13.625" bestFit="1" customWidth="1"/>
    <col min="14" max="14" width="12.75" style="36" bestFit="1" customWidth="1"/>
    <col min="15" max="15" width="14.25" style="33" bestFit="1" customWidth="1"/>
    <col min="16" max="16" width="13.625" style="33" bestFit="1" customWidth="1"/>
    <col min="17" max="17" width="12.75" style="33" bestFit="1" customWidth="1"/>
    <col min="18" max="18" width="14.25" style="33" bestFit="1" customWidth="1"/>
    <col min="19" max="19" width="13.625" style="33" bestFit="1" customWidth="1"/>
    <col min="20" max="20" width="12.5" style="33" bestFit="1" customWidth="1"/>
    <col min="21" max="21" width="14.25" style="33" bestFit="1" customWidth="1"/>
    <col min="22" max="22" width="13.625" style="33" bestFit="1" customWidth="1"/>
    <col min="23" max="23" width="7.25" style="33" bestFit="1" customWidth="1"/>
    <col min="24" max="24" width="14.25" style="33" bestFit="1" customWidth="1"/>
    <col min="25" max="25" width="13.625" bestFit="1" customWidth="1"/>
    <col min="27" max="30" width="12.125" style="33" bestFit="1" customWidth="1"/>
    <col min="31" max="1030" width="8.375" style="33" customWidth="1"/>
    <col min="1031" max="16384" width="8.5" style="33"/>
  </cols>
  <sheetData>
    <row r="1" spans="1:25" x14ac:dyDescent="0.25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</row>
    <row r="2" spans="1:25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</row>
    <row r="3" spans="1:25" hidden="1" x14ac:dyDescent="0.25">
      <c r="A3" s="33">
        <v>0</v>
      </c>
      <c r="B3" s="33" t="s">
        <v>200</v>
      </c>
      <c r="C3" s="33">
        <v>1</v>
      </c>
      <c r="D3" s="33">
        <v>30</v>
      </c>
      <c r="E3" s="33">
        <v>0</v>
      </c>
      <c r="F3" s="33">
        <v>30</v>
      </c>
      <c r="G3" s="33">
        <v>2500</v>
      </c>
      <c r="H3" s="36" t="s">
        <v>149</v>
      </c>
      <c r="I3" s="33">
        <v>2500</v>
      </c>
      <c r="J3" s="33">
        <v>0</v>
      </c>
      <c r="M3" s="33" t="s">
        <v>201</v>
      </c>
      <c r="P3" s="33" t="s">
        <v>201</v>
      </c>
      <c r="S3" s="33" t="s">
        <v>201</v>
      </c>
      <c r="V3" s="33" t="s">
        <v>201</v>
      </c>
      <c r="Y3" s="33" t="s">
        <v>201</v>
      </c>
    </row>
    <row r="4" spans="1:25" hidden="1" x14ac:dyDescent="0.25">
      <c r="A4" s="33">
        <v>1</v>
      </c>
      <c r="B4" s="33" t="s">
        <v>200</v>
      </c>
      <c r="C4" s="33">
        <v>1</v>
      </c>
      <c r="D4" s="33">
        <v>8</v>
      </c>
      <c r="E4" s="33">
        <v>0</v>
      </c>
      <c r="F4" s="33">
        <v>8</v>
      </c>
      <c r="G4" s="33">
        <v>2600</v>
      </c>
      <c r="H4" s="36" t="s">
        <v>153</v>
      </c>
      <c r="I4" s="33">
        <v>2600</v>
      </c>
      <c r="J4" s="33">
        <v>0</v>
      </c>
      <c r="M4" s="33" t="s">
        <v>201</v>
      </c>
      <c r="P4" s="33" t="s">
        <v>201</v>
      </c>
      <c r="S4" s="33" t="s">
        <v>201</v>
      </c>
      <c r="V4" s="33" t="s">
        <v>201</v>
      </c>
      <c r="Y4" s="33" t="s">
        <v>201</v>
      </c>
    </row>
    <row r="5" spans="1:25" hidden="1" x14ac:dyDescent="0.25">
      <c r="A5" s="33">
        <v>2</v>
      </c>
      <c r="B5" s="33" t="s">
        <v>200</v>
      </c>
      <c r="C5" s="33">
        <v>1</v>
      </c>
      <c r="D5" s="33">
        <v>16</v>
      </c>
      <c r="E5" s="33">
        <v>0</v>
      </c>
      <c r="F5" s="33">
        <v>16</v>
      </c>
      <c r="G5" s="33">
        <v>3600</v>
      </c>
      <c r="H5" s="36" t="s">
        <v>149</v>
      </c>
      <c r="I5" s="33">
        <v>400</v>
      </c>
      <c r="J5" s="33">
        <v>0</v>
      </c>
      <c r="K5" s="36" t="s">
        <v>69</v>
      </c>
      <c r="L5" s="33">
        <v>3200</v>
      </c>
      <c r="M5" s="33">
        <v>0.96031999999999995</v>
      </c>
      <c r="P5" s="33" t="s">
        <v>201</v>
      </c>
      <c r="S5" s="33" t="s">
        <v>201</v>
      </c>
      <c r="V5" s="33" t="s">
        <v>201</v>
      </c>
      <c r="Y5" s="33" t="s">
        <v>201</v>
      </c>
    </row>
    <row r="6" spans="1:25" hidden="1" x14ac:dyDescent="0.25">
      <c r="A6" s="33">
        <v>3</v>
      </c>
      <c r="B6" s="33" t="s">
        <v>200</v>
      </c>
      <c r="C6" s="33">
        <v>1</v>
      </c>
      <c r="D6" s="33">
        <v>19</v>
      </c>
      <c r="E6" s="33">
        <v>1</v>
      </c>
      <c r="F6" s="33">
        <v>18</v>
      </c>
      <c r="G6" s="33">
        <v>3790</v>
      </c>
      <c r="H6" s="36" t="s">
        <v>149</v>
      </c>
      <c r="I6" s="33">
        <v>500</v>
      </c>
      <c r="J6" s="33">
        <v>0</v>
      </c>
      <c r="K6" s="36" t="s">
        <v>158</v>
      </c>
      <c r="L6" s="33">
        <v>1620</v>
      </c>
      <c r="M6" s="33">
        <v>1.9375</v>
      </c>
      <c r="N6" s="36" t="s">
        <v>155</v>
      </c>
      <c r="O6" s="33">
        <v>1670</v>
      </c>
      <c r="P6" s="33">
        <v>1.9375</v>
      </c>
      <c r="S6" s="33" t="s">
        <v>201</v>
      </c>
      <c r="V6" s="33" t="s">
        <v>201</v>
      </c>
      <c r="Y6" s="33" t="s">
        <v>201</v>
      </c>
    </row>
    <row r="7" spans="1:25" hidden="1" x14ac:dyDescent="0.25">
      <c r="A7" s="33">
        <v>4</v>
      </c>
      <c r="B7" s="33" t="s">
        <v>200</v>
      </c>
      <c r="C7" s="33">
        <v>1</v>
      </c>
      <c r="D7" s="33">
        <v>7.0909000000000004</v>
      </c>
      <c r="E7" s="33">
        <v>0</v>
      </c>
      <c r="F7" s="33">
        <v>7.0909000000000004</v>
      </c>
      <c r="G7" s="33">
        <v>2600</v>
      </c>
      <c r="H7" s="36" t="s">
        <v>154</v>
      </c>
      <c r="I7" s="33">
        <v>2600</v>
      </c>
      <c r="J7" s="33">
        <v>0</v>
      </c>
      <c r="M7" s="33" t="s">
        <v>201</v>
      </c>
      <c r="P7" s="33" t="s">
        <v>201</v>
      </c>
      <c r="S7" s="33" t="s">
        <v>201</v>
      </c>
      <c r="V7" s="33" t="s">
        <v>201</v>
      </c>
      <c r="Y7" s="33" t="s">
        <v>201</v>
      </c>
    </row>
    <row r="8" spans="1:25" hidden="1" x14ac:dyDescent="0.25">
      <c r="A8" s="33">
        <v>5</v>
      </c>
      <c r="B8" s="33" t="s">
        <v>200</v>
      </c>
      <c r="C8" s="33">
        <v>2</v>
      </c>
      <c r="D8" s="33">
        <v>28</v>
      </c>
      <c r="E8" s="33">
        <v>0</v>
      </c>
      <c r="F8" s="33">
        <v>28</v>
      </c>
      <c r="G8" s="33">
        <v>2300</v>
      </c>
      <c r="H8" s="36" t="s">
        <v>149</v>
      </c>
      <c r="I8" s="33">
        <v>2300</v>
      </c>
      <c r="J8" s="33">
        <v>0</v>
      </c>
      <c r="M8" s="33" t="s">
        <v>201</v>
      </c>
      <c r="P8" s="33" t="s">
        <v>201</v>
      </c>
      <c r="S8" s="33" t="s">
        <v>201</v>
      </c>
      <c r="V8" s="33" t="s">
        <v>201</v>
      </c>
      <c r="Y8" s="33" t="s">
        <v>201</v>
      </c>
    </row>
    <row r="9" spans="1:25" hidden="1" x14ac:dyDescent="0.25">
      <c r="A9" s="33">
        <v>6</v>
      </c>
      <c r="B9" s="33" t="s">
        <v>200</v>
      </c>
      <c r="C9" s="33">
        <v>2</v>
      </c>
      <c r="D9" s="33">
        <v>8</v>
      </c>
      <c r="E9" s="33">
        <v>0</v>
      </c>
      <c r="F9" s="33">
        <v>8</v>
      </c>
      <c r="G9" s="33">
        <v>2600</v>
      </c>
      <c r="H9" s="36" t="s">
        <v>153</v>
      </c>
      <c r="I9" s="33">
        <v>2600</v>
      </c>
      <c r="J9" s="33">
        <v>0</v>
      </c>
      <c r="M9" s="33" t="s">
        <v>201</v>
      </c>
      <c r="P9" s="33" t="s">
        <v>201</v>
      </c>
      <c r="S9" s="33" t="s">
        <v>201</v>
      </c>
      <c r="V9" s="33" t="s">
        <v>201</v>
      </c>
      <c r="Y9" s="33" t="s">
        <v>201</v>
      </c>
    </row>
    <row r="10" spans="1:25" hidden="1" x14ac:dyDescent="0.25">
      <c r="A10" s="33">
        <v>7</v>
      </c>
      <c r="B10" s="33" t="s">
        <v>200</v>
      </c>
      <c r="C10" s="33">
        <v>2</v>
      </c>
      <c r="D10" s="33">
        <v>13</v>
      </c>
      <c r="E10" s="33">
        <v>0</v>
      </c>
      <c r="F10" s="33">
        <v>13</v>
      </c>
      <c r="G10" s="33">
        <v>2600</v>
      </c>
      <c r="H10" s="36" t="s">
        <v>149</v>
      </c>
      <c r="I10" s="33">
        <v>200</v>
      </c>
      <c r="J10" s="33">
        <v>0</v>
      </c>
      <c r="K10" s="36" t="s">
        <v>69</v>
      </c>
      <c r="L10" s="33">
        <v>2400</v>
      </c>
      <c r="M10" s="33">
        <v>0.72023999999999988</v>
      </c>
      <c r="P10" s="33" t="s">
        <v>201</v>
      </c>
      <c r="S10" s="33" t="s">
        <v>201</v>
      </c>
      <c r="V10" s="33" t="s">
        <v>201</v>
      </c>
      <c r="Y10" s="33" t="s">
        <v>201</v>
      </c>
    </row>
    <row r="11" spans="1:25" hidden="1" x14ac:dyDescent="0.25">
      <c r="A11" s="33">
        <v>8</v>
      </c>
      <c r="B11" s="33" t="s">
        <v>200</v>
      </c>
      <c r="C11" s="33">
        <v>2</v>
      </c>
      <c r="D11" s="33">
        <v>21</v>
      </c>
      <c r="E11" s="33">
        <v>2</v>
      </c>
      <c r="F11" s="33">
        <v>19</v>
      </c>
      <c r="G11" s="33">
        <v>3340</v>
      </c>
      <c r="H11" s="36" t="s">
        <v>149</v>
      </c>
      <c r="I11" s="33">
        <v>1300</v>
      </c>
      <c r="J11" s="33">
        <v>0</v>
      </c>
      <c r="K11" s="36" t="s">
        <v>159</v>
      </c>
      <c r="L11" s="33">
        <v>2040</v>
      </c>
      <c r="M11" s="33">
        <v>1.9375</v>
      </c>
      <c r="P11" s="33" t="s">
        <v>201</v>
      </c>
      <c r="S11" s="33" t="s">
        <v>201</v>
      </c>
      <c r="V11" s="33" t="s">
        <v>201</v>
      </c>
      <c r="Y11" s="33" t="s">
        <v>201</v>
      </c>
    </row>
    <row r="12" spans="1:25" hidden="1" x14ac:dyDescent="0.25">
      <c r="A12" s="33">
        <v>9</v>
      </c>
      <c r="B12" s="33" t="s">
        <v>200</v>
      </c>
      <c r="C12" s="33">
        <v>2</v>
      </c>
      <c r="D12" s="33">
        <v>7.0909000000000004</v>
      </c>
      <c r="E12" s="33">
        <v>0</v>
      </c>
      <c r="F12" s="33">
        <v>7.0909000000000004</v>
      </c>
      <c r="G12" s="33">
        <v>2600</v>
      </c>
      <c r="H12" s="36" t="s">
        <v>154</v>
      </c>
      <c r="I12" s="33">
        <v>2600</v>
      </c>
      <c r="J12" s="33">
        <v>0</v>
      </c>
      <c r="M12" s="33" t="s">
        <v>201</v>
      </c>
      <c r="P12" s="33" t="s">
        <v>201</v>
      </c>
      <c r="S12" s="33" t="s">
        <v>201</v>
      </c>
      <c r="V12" s="33" t="s">
        <v>201</v>
      </c>
      <c r="Y12" s="33" t="s">
        <v>201</v>
      </c>
    </row>
    <row r="13" spans="1:25" hidden="1" x14ac:dyDescent="0.25">
      <c r="A13" s="33">
        <v>10</v>
      </c>
      <c r="B13" s="33" t="s">
        <v>200</v>
      </c>
      <c r="C13" s="33">
        <v>3</v>
      </c>
      <c r="D13" s="33">
        <v>33</v>
      </c>
      <c r="E13" s="33">
        <v>0</v>
      </c>
      <c r="F13" s="33">
        <v>33</v>
      </c>
      <c r="G13" s="33">
        <v>2800</v>
      </c>
      <c r="H13" s="36" t="s">
        <v>149</v>
      </c>
      <c r="I13" s="33">
        <v>2800</v>
      </c>
      <c r="J13" s="33">
        <v>0</v>
      </c>
      <c r="M13" s="33" t="s">
        <v>201</v>
      </c>
      <c r="P13" s="33" t="s">
        <v>201</v>
      </c>
      <c r="S13" s="33" t="s">
        <v>201</v>
      </c>
      <c r="V13" s="33" t="s">
        <v>201</v>
      </c>
      <c r="Y13" s="33" t="s">
        <v>201</v>
      </c>
    </row>
    <row r="14" spans="1:25" hidden="1" x14ac:dyDescent="0.25">
      <c r="A14" s="33">
        <v>11</v>
      </c>
      <c r="B14" s="33" t="s">
        <v>200</v>
      </c>
      <c r="C14" s="33">
        <v>3</v>
      </c>
      <c r="D14" s="33">
        <v>10</v>
      </c>
      <c r="E14" s="33">
        <v>0</v>
      </c>
      <c r="F14" s="33">
        <v>10</v>
      </c>
      <c r="G14" s="33">
        <v>3000</v>
      </c>
      <c r="H14" s="36" t="s">
        <v>153</v>
      </c>
      <c r="I14" s="33">
        <v>3000</v>
      </c>
      <c r="J14" s="33">
        <v>0</v>
      </c>
      <c r="M14" s="33" t="s">
        <v>201</v>
      </c>
      <c r="P14" s="33" t="s">
        <v>201</v>
      </c>
      <c r="S14" s="33" t="s">
        <v>201</v>
      </c>
      <c r="V14" s="33" t="s">
        <v>201</v>
      </c>
      <c r="Y14" s="33" t="s">
        <v>201</v>
      </c>
    </row>
    <row r="15" spans="1:25" hidden="1" x14ac:dyDescent="0.25">
      <c r="A15" s="33">
        <v>12</v>
      </c>
      <c r="B15" s="33" t="s">
        <v>200</v>
      </c>
      <c r="C15" s="33">
        <v>3</v>
      </c>
      <c r="D15" s="33">
        <v>10</v>
      </c>
      <c r="E15" s="33">
        <v>0</v>
      </c>
      <c r="F15" s="33">
        <v>10</v>
      </c>
      <c r="G15" s="33">
        <v>3100</v>
      </c>
      <c r="H15" s="36" t="s">
        <v>149</v>
      </c>
      <c r="I15" s="33">
        <v>100</v>
      </c>
      <c r="J15" s="33">
        <v>0</v>
      </c>
      <c r="K15" s="36" t="s">
        <v>69</v>
      </c>
      <c r="L15" s="33">
        <v>3000</v>
      </c>
      <c r="M15" s="33">
        <v>0.90029999999999988</v>
      </c>
      <c r="P15" s="33" t="s">
        <v>201</v>
      </c>
      <c r="S15" s="33" t="s">
        <v>201</v>
      </c>
      <c r="V15" s="33" t="s">
        <v>201</v>
      </c>
      <c r="Y15" s="33" t="s">
        <v>201</v>
      </c>
    </row>
    <row r="16" spans="1:25" hidden="1" x14ac:dyDescent="0.25">
      <c r="A16" s="33">
        <v>13</v>
      </c>
      <c r="B16" s="33" t="s">
        <v>200</v>
      </c>
      <c r="C16" s="33">
        <v>3</v>
      </c>
      <c r="D16" s="33">
        <v>39</v>
      </c>
      <c r="E16" s="33">
        <v>14</v>
      </c>
      <c r="F16" s="33">
        <v>25</v>
      </c>
      <c r="G16" s="33">
        <v>3110</v>
      </c>
      <c r="H16" s="36" t="s">
        <v>149</v>
      </c>
      <c r="I16" s="33">
        <v>1850</v>
      </c>
      <c r="J16" s="33">
        <v>0</v>
      </c>
      <c r="K16" s="36" t="s">
        <v>155</v>
      </c>
      <c r="L16" s="33">
        <v>1260</v>
      </c>
      <c r="M16" s="33">
        <v>1.9375</v>
      </c>
      <c r="P16" s="33" t="s">
        <v>201</v>
      </c>
      <c r="S16" s="33" t="s">
        <v>201</v>
      </c>
      <c r="V16" s="33" t="s">
        <v>201</v>
      </c>
      <c r="Y16" s="33" t="s">
        <v>201</v>
      </c>
    </row>
    <row r="17" spans="1:25" hidden="1" x14ac:dyDescent="0.25">
      <c r="A17" s="33">
        <v>14</v>
      </c>
      <c r="B17" s="33" t="s">
        <v>200</v>
      </c>
      <c r="C17" s="33">
        <v>3</v>
      </c>
      <c r="D17" s="33">
        <v>8.1818000000000008</v>
      </c>
      <c r="E17" s="33">
        <v>0</v>
      </c>
      <c r="F17" s="33">
        <v>8.1818000000000008</v>
      </c>
      <c r="G17" s="33">
        <v>3000</v>
      </c>
      <c r="H17" s="36" t="s">
        <v>154</v>
      </c>
      <c r="I17" s="33">
        <v>3000</v>
      </c>
      <c r="J17" s="33">
        <v>0</v>
      </c>
      <c r="M17" s="33" t="s">
        <v>201</v>
      </c>
      <c r="P17" s="33" t="s">
        <v>201</v>
      </c>
      <c r="S17" s="33" t="s">
        <v>201</v>
      </c>
      <c r="V17" s="33" t="s">
        <v>201</v>
      </c>
      <c r="Y17" s="33" t="s">
        <v>201</v>
      </c>
    </row>
    <row r="18" spans="1:25" hidden="1" x14ac:dyDescent="0.25">
      <c r="A18" s="33">
        <v>15</v>
      </c>
      <c r="B18" s="33" t="s">
        <v>200</v>
      </c>
      <c r="C18" s="33">
        <v>4</v>
      </c>
      <c r="D18" s="33">
        <v>8</v>
      </c>
      <c r="E18" s="33">
        <v>0</v>
      </c>
      <c r="F18" s="33">
        <v>8</v>
      </c>
      <c r="G18" s="33">
        <v>2500</v>
      </c>
      <c r="H18" s="36" t="s">
        <v>153</v>
      </c>
      <c r="I18" s="33">
        <v>2500</v>
      </c>
      <c r="J18" s="33">
        <v>0</v>
      </c>
      <c r="M18" s="33" t="s">
        <v>201</v>
      </c>
      <c r="P18" s="33" t="s">
        <v>201</v>
      </c>
      <c r="S18" s="33" t="s">
        <v>201</v>
      </c>
      <c r="V18" s="33" t="s">
        <v>201</v>
      </c>
      <c r="Y18" s="33" t="s">
        <v>201</v>
      </c>
    </row>
    <row r="19" spans="1:25" hidden="1" x14ac:dyDescent="0.25">
      <c r="A19" s="33">
        <v>16</v>
      </c>
      <c r="B19" s="33" t="s">
        <v>200</v>
      </c>
      <c r="C19" s="33">
        <v>4</v>
      </c>
      <c r="D19" s="33">
        <v>12</v>
      </c>
      <c r="E19" s="33">
        <v>0</v>
      </c>
      <c r="F19" s="33">
        <v>12</v>
      </c>
      <c r="G19" s="33">
        <v>4500</v>
      </c>
      <c r="H19" s="36" t="s">
        <v>149</v>
      </c>
      <c r="I19" s="33">
        <v>200</v>
      </c>
      <c r="J19" s="33">
        <v>0</v>
      </c>
      <c r="K19" s="36" t="s">
        <v>69</v>
      </c>
      <c r="L19" s="33">
        <v>4300</v>
      </c>
      <c r="M19" s="33">
        <v>1.2904299999999997</v>
      </c>
      <c r="P19" s="33" t="s">
        <v>201</v>
      </c>
      <c r="S19" s="33" t="s">
        <v>201</v>
      </c>
      <c r="V19" s="33" t="s">
        <v>201</v>
      </c>
      <c r="Y19" s="33" t="s">
        <v>201</v>
      </c>
    </row>
    <row r="20" spans="1:25" hidden="1" x14ac:dyDescent="0.25">
      <c r="A20" s="33">
        <v>17</v>
      </c>
      <c r="B20" s="33" t="s">
        <v>200</v>
      </c>
      <c r="C20" s="33">
        <v>4</v>
      </c>
      <c r="D20" s="33">
        <v>19</v>
      </c>
      <c r="E20" s="33">
        <v>3</v>
      </c>
      <c r="F20" s="33">
        <v>16</v>
      </c>
      <c r="G20" s="33">
        <v>2740</v>
      </c>
      <c r="H20" s="36" t="s">
        <v>156</v>
      </c>
      <c r="I20" s="33">
        <v>2240</v>
      </c>
      <c r="J20" s="33">
        <v>1.9375</v>
      </c>
      <c r="K20" s="36" t="s">
        <v>149</v>
      </c>
      <c r="L20" s="33">
        <v>500</v>
      </c>
      <c r="M20" s="33">
        <v>0</v>
      </c>
      <c r="P20" s="33" t="s">
        <v>201</v>
      </c>
      <c r="S20" s="33" t="s">
        <v>201</v>
      </c>
      <c r="V20" s="33" t="s">
        <v>201</v>
      </c>
      <c r="Y20" s="33" t="s">
        <v>201</v>
      </c>
    </row>
    <row r="21" spans="1:25" hidden="1" x14ac:dyDescent="0.25">
      <c r="A21" s="33">
        <v>18</v>
      </c>
      <c r="B21" s="33" t="s">
        <v>200</v>
      </c>
      <c r="C21" s="33">
        <v>4</v>
      </c>
      <c r="D21" s="33">
        <v>32</v>
      </c>
      <c r="E21" s="33">
        <v>0</v>
      </c>
      <c r="F21" s="33">
        <v>32</v>
      </c>
      <c r="G21" s="33">
        <v>2500</v>
      </c>
      <c r="H21" s="36" t="s">
        <v>149</v>
      </c>
      <c r="I21" s="33">
        <v>2500</v>
      </c>
      <c r="J21" s="33">
        <v>0</v>
      </c>
      <c r="M21" s="33" t="s">
        <v>201</v>
      </c>
      <c r="P21" s="33" t="s">
        <v>201</v>
      </c>
      <c r="S21" s="33" t="s">
        <v>201</v>
      </c>
      <c r="V21" s="33" t="s">
        <v>201</v>
      </c>
      <c r="Y21" s="33" t="s">
        <v>201</v>
      </c>
    </row>
    <row r="22" spans="1:25" hidden="1" x14ac:dyDescent="0.25">
      <c r="A22" s="33">
        <v>19</v>
      </c>
      <c r="B22" s="33" t="s">
        <v>200</v>
      </c>
      <c r="C22" s="33">
        <v>4</v>
      </c>
      <c r="D22" s="33">
        <v>6.8182</v>
      </c>
      <c r="E22" s="33">
        <v>0</v>
      </c>
      <c r="F22" s="33">
        <v>6.8182</v>
      </c>
      <c r="G22" s="33">
        <v>2500</v>
      </c>
      <c r="H22" s="36" t="s">
        <v>154</v>
      </c>
      <c r="I22" s="33">
        <v>2500</v>
      </c>
      <c r="J22" s="33">
        <v>0</v>
      </c>
      <c r="M22" s="33" t="s">
        <v>201</v>
      </c>
      <c r="P22" s="33" t="s">
        <v>201</v>
      </c>
      <c r="S22" s="33" t="s">
        <v>201</v>
      </c>
      <c r="V22" s="33" t="s">
        <v>201</v>
      </c>
      <c r="Y22" s="33" t="s">
        <v>201</v>
      </c>
    </row>
    <row r="23" spans="1:25" hidden="1" x14ac:dyDescent="0.25">
      <c r="A23" s="33">
        <v>20</v>
      </c>
      <c r="B23" s="33" t="s">
        <v>200</v>
      </c>
      <c r="C23" s="33">
        <v>5</v>
      </c>
      <c r="D23" s="33">
        <v>8</v>
      </c>
      <c r="E23" s="33">
        <v>0</v>
      </c>
      <c r="F23" s="33">
        <v>8</v>
      </c>
      <c r="G23" s="33">
        <v>4250</v>
      </c>
      <c r="H23" s="36" t="s">
        <v>149</v>
      </c>
      <c r="I23" s="33">
        <v>150</v>
      </c>
      <c r="J23" s="33">
        <v>0</v>
      </c>
      <c r="K23" s="36" t="s">
        <v>69</v>
      </c>
      <c r="L23" s="33">
        <v>4100</v>
      </c>
      <c r="M23" s="33">
        <v>1.2304099999999998</v>
      </c>
      <c r="P23" s="33" t="s">
        <v>201</v>
      </c>
      <c r="S23" s="33" t="s">
        <v>201</v>
      </c>
      <c r="V23" s="33" t="s">
        <v>201</v>
      </c>
      <c r="Y23" s="33" t="s">
        <v>201</v>
      </c>
    </row>
    <row r="24" spans="1:25" hidden="1" x14ac:dyDescent="0.25">
      <c r="A24" s="33">
        <v>21</v>
      </c>
      <c r="B24" s="33" t="s">
        <v>200</v>
      </c>
      <c r="C24" s="33">
        <v>5</v>
      </c>
      <c r="D24" s="33">
        <v>29</v>
      </c>
      <c r="E24" s="33">
        <v>5</v>
      </c>
      <c r="F24" s="33">
        <v>24</v>
      </c>
      <c r="G24" s="33">
        <v>2620</v>
      </c>
      <c r="H24" s="36" t="s">
        <v>149</v>
      </c>
      <c r="I24" s="33">
        <v>1200</v>
      </c>
      <c r="J24" s="33">
        <v>0</v>
      </c>
      <c r="K24" s="36" t="s">
        <v>155</v>
      </c>
      <c r="L24" s="33">
        <v>1210</v>
      </c>
      <c r="M24" s="33">
        <v>1.9375</v>
      </c>
      <c r="N24" s="36" t="s">
        <v>149</v>
      </c>
      <c r="O24" s="33">
        <v>210</v>
      </c>
      <c r="P24" s="33">
        <v>0</v>
      </c>
      <c r="S24" s="33" t="s">
        <v>201</v>
      </c>
      <c r="V24" s="33" t="s">
        <v>201</v>
      </c>
      <c r="Y24" s="33" t="s">
        <v>201</v>
      </c>
    </row>
    <row r="25" spans="1:25" hidden="1" x14ac:dyDescent="0.25">
      <c r="A25" s="33">
        <v>22</v>
      </c>
      <c r="B25" s="33" t="s">
        <v>200</v>
      </c>
      <c r="C25" s="33">
        <v>5</v>
      </c>
      <c r="D25" s="33">
        <v>32</v>
      </c>
      <c r="E25" s="33">
        <v>0</v>
      </c>
      <c r="F25" s="33">
        <v>32</v>
      </c>
      <c r="G25" s="33">
        <v>2600</v>
      </c>
      <c r="H25" s="36" t="s">
        <v>149</v>
      </c>
      <c r="I25" s="33">
        <v>2600</v>
      </c>
      <c r="J25" s="33">
        <v>0</v>
      </c>
      <c r="M25" s="33" t="s">
        <v>201</v>
      </c>
      <c r="P25" s="33" t="s">
        <v>201</v>
      </c>
      <c r="Q25" s="36"/>
      <c r="S25" s="33" t="s">
        <v>201</v>
      </c>
      <c r="T25" s="36"/>
      <c r="V25" s="33" t="s">
        <v>201</v>
      </c>
      <c r="W25" s="36"/>
      <c r="Y25" s="33" t="s">
        <v>201</v>
      </c>
    </row>
    <row r="26" spans="1:25" hidden="1" x14ac:dyDescent="0.25">
      <c r="A26" s="33">
        <v>23</v>
      </c>
      <c r="B26" s="33" t="s">
        <v>200</v>
      </c>
      <c r="C26" s="33">
        <v>5</v>
      </c>
      <c r="D26" s="33">
        <v>10</v>
      </c>
      <c r="E26" s="33">
        <v>0</v>
      </c>
      <c r="F26" s="33">
        <v>10</v>
      </c>
      <c r="G26" s="33">
        <v>2700</v>
      </c>
      <c r="H26" s="36" t="s">
        <v>153</v>
      </c>
      <c r="I26" s="33">
        <v>2700</v>
      </c>
      <c r="J26" s="33">
        <v>0</v>
      </c>
      <c r="M26" s="33" t="s">
        <v>201</v>
      </c>
      <c r="P26" s="33" t="s">
        <v>201</v>
      </c>
      <c r="S26" s="33" t="s">
        <v>201</v>
      </c>
      <c r="V26" s="33" t="s">
        <v>201</v>
      </c>
      <c r="Y26" s="33" t="s">
        <v>201</v>
      </c>
    </row>
    <row r="27" spans="1:25" hidden="1" x14ac:dyDescent="0.25">
      <c r="A27" s="33">
        <v>24</v>
      </c>
      <c r="B27" s="33" t="s">
        <v>200</v>
      </c>
      <c r="C27" s="33">
        <v>5</v>
      </c>
      <c r="D27" s="33">
        <v>7.3635999999999999</v>
      </c>
      <c r="E27" s="33">
        <v>0</v>
      </c>
      <c r="F27" s="33">
        <v>7.3635999999999999</v>
      </c>
      <c r="G27" s="33">
        <v>2700</v>
      </c>
      <c r="H27" s="36" t="s">
        <v>154</v>
      </c>
      <c r="I27" s="33">
        <v>2700</v>
      </c>
      <c r="J27" s="33">
        <v>0</v>
      </c>
      <c r="M27" s="33" t="s">
        <v>201</v>
      </c>
      <c r="P27" s="33" t="s">
        <v>201</v>
      </c>
      <c r="S27" s="33" t="s">
        <v>201</v>
      </c>
      <c r="V27" s="33" t="s">
        <v>201</v>
      </c>
      <c r="Y27" s="33" t="s">
        <v>201</v>
      </c>
    </row>
    <row r="28" spans="1:25" hidden="1" x14ac:dyDescent="0.25">
      <c r="A28" s="33">
        <v>25</v>
      </c>
      <c r="B28" s="33" t="s">
        <v>200</v>
      </c>
      <c r="C28" s="33">
        <v>6</v>
      </c>
      <c r="D28" s="33">
        <v>7</v>
      </c>
      <c r="E28" s="33">
        <v>0</v>
      </c>
      <c r="F28" s="33">
        <v>7</v>
      </c>
      <c r="G28" s="33">
        <v>3400</v>
      </c>
      <c r="H28" s="36" t="s">
        <v>149</v>
      </c>
      <c r="I28" s="33">
        <v>100</v>
      </c>
      <c r="J28" s="33">
        <v>0</v>
      </c>
      <c r="K28" s="36" t="s">
        <v>69</v>
      </c>
      <c r="L28" s="33">
        <v>3300</v>
      </c>
      <c r="M28" s="33">
        <v>0.99032999999999982</v>
      </c>
      <c r="P28" s="33" t="s">
        <v>201</v>
      </c>
      <c r="S28" s="33" t="s">
        <v>201</v>
      </c>
      <c r="V28" s="33" t="s">
        <v>201</v>
      </c>
      <c r="Y28" s="33" t="s">
        <v>201</v>
      </c>
    </row>
    <row r="29" spans="1:25" hidden="1" x14ac:dyDescent="0.25">
      <c r="A29" s="33">
        <v>26</v>
      </c>
      <c r="B29" s="33" t="s">
        <v>200</v>
      </c>
      <c r="C29" s="33">
        <v>6</v>
      </c>
      <c r="D29" s="33">
        <v>23</v>
      </c>
      <c r="E29" s="33">
        <v>6</v>
      </c>
      <c r="F29" s="33">
        <v>17</v>
      </c>
      <c r="G29" s="33">
        <v>2600</v>
      </c>
      <c r="H29" s="36" t="s">
        <v>159</v>
      </c>
      <c r="I29" s="33">
        <v>1300</v>
      </c>
      <c r="J29" s="33">
        <v>1.9375</v>
      </c>
      <c r="K29" s="36" t="s">
        <v>149</v>
      </c>
      <c r="L29" s="33">
        <v>1300</v>
      </c>
      <c r="M29" s="33">
        <v>0</v>
      </c>
      <c r="P29" s="33" t="s">
        <v>201</v>
      </c>
      <c r="S29" s="33" t="s">
        <v>201</v>
      </c>
      <c r="V29" s="33" t="s">
        <v>201</v>
      </c>
      <c r="Y29" s="33" t="s">
        <v>201</v>
      </c>
    </row>
    <row r="30" spans="1:25" hidden="1" x14ac:dyDescent="0.25">
      <c r="A30" s="33">
        <v>27</v>
      </c>
      <c r="B30" s="33" t="s">
        <v>200</v>
      </c>
      <c r="C30" s="33">
        <v>6</v>
      </c>
      <c r="D30" s="33">
        <v>35</v>
      </c>
      <c r="E30" s="33">
        <v>0</v>
      </c>
      <c r="F30" s="33">
        <v>35</v>
      </c>
      <c r="G30" s="33">
        <v>2900</v>
      </c>
      <c r="H30" s="36" t="s">
        <v>149</v>
      </c>
      <c r="I30" s="33">
        <v>2900</v>
      </c>
      <c r="J30" s="33">
        <v>0</v>
      </c>
      <c r="M30" s="33" t="s">
        <v>201</v>
      </c>
      <c r="P30" s="33" t="s">
        <v>201</v>
      </c>
      <c r="S30" s="33" t="s">
        <v>201</v>
      </c>
      <c r="V30" s="33" t="s">
        <v>201</v>
      </c>
      <c r="Y30" s="33" t="s">
        <v>201</v>
      </c>
    </row>
    <row r="31" spans="1:25" hidden="1" x14ac:dyDescent="0.25">
      <c r="A31" s="33">
        <v>28</v>
      </c>
      <c r="B31" s="33" t="s">
        <v>200</v>
      </c>
      <c r="C31" s="33">
        <v>6</v>
      </c>
      <c r="D31" s="33">
        <v>11</v>
      </c>
      <c r="E31" s="33">
        <v>0</v>
      </c>
      <c r="F31" s="33">
        <v>11</v>
      </c>
      <c r="G31" s="33">
        <v>2900</v>
      </c>
      <c r="H31" s="36" t="s">
        <v>153</v>
      </c>
      <c r="I31" s="33">
        <v>2900</v>
      </c>
      <c r="J31" s="33">
        <v>0</v>
      </c>
      <c r="M31" s="33" t="s">
        <v>201</v>
      </c>
      <c r="P31" s="33" t="s">
        <v>201</v>
      </c>
      <c r="S31" s="33" t="s">
        <v>201</v>
      </c>
      <c r="V31" s="33" t="s">
        <v>201</v>
      </c>
      <c r="Y31" s="33" t="s">
        <v>201</v>
      </c>
    </row>
    <row r="32" spans="1:25" hidden="1" x14ac:dyDescent="0.25">
      <c r="A32" s="33">
        <v>29</v>
      </c>
      <c r="B32" s="33" t="s">
        <v>200</v>
      </c>
      <c r="C32" s="33">
        <v>6</v>
      </c>
      <c r="D32" s="33">
        <v>7.9090999999999996</v>
      </c>
      <c r="E32" s="33">
        <v>0</v>
      </c>
      <c r="F32" s="33">
        <v>7.9090999999999996</v>
      </c>
      <c r="G32" s="33">
        <v>2900</v>
      </c>
      <c r="H32" s="36" t="s">
        <v>154</v>
      </c>
      <c r="I32" s="33">
        <v>2900</v>
      </c>
      <c r="J32" s="33">
        <v>0</v>
      </c>
      <c r="M32" s="33" t="s">
        <v>201</v>
      </c>
      <c r="N32" s="33"/>
      <c r="P32" s="33" t="s">
        <v>201</v>
      </c>
      <c r="S32" s="33" t="s">
        <v>201</v>
      </c>
      <c r="V32" s="33" t="s">
        <v>201</v>
      </c>
      <c r="Y32" s="33" t="s">
        <v>201</v>
      </c>
    </row>
    <row r="33" spans="1:25" hidden="1" x14ac:dyDescent="0.25">
      <c r="A33" s="33">
        <v>30</v>
      </c>
      <c r="B33" s="33" t="s">
        <v>200</v>
      </c>
      <c r="C33" s="33">
        <v>7</v>
      </c>
      <c r="D33" s="33">
        <v>7</v>
      </c>
      <c r="E33" s="33">
        <v>0</v>
      </c>
      <c r="F33" s="33">
        <v>7</v>
      </c>
      <c r="G33" s="33">
        <v>2500</v>
      </c>
      <c r="H33" s="36" t="s">
        <v>149</v>
      </c>
      <c r="I33" s="33">
        <v>100</v>
      </c>
      <c r="J33" s="33">
        <v>0</v>
      </c>
      <c r="K33" s="36" t="s">
        <v>69</v>
      </c>
      <c r="L33" s="33">
        <v>2400</v>
      </c>
      <c r="M33" s="33">
        <v>0.72023999999999988</v>
      </c>
      <c r="P33" s="33" t="s">
        <v>201</v>
      </c>
      <c r="S33" s="33" t="s">
        <v>201</v>
      </c>
      <c r="V33" s="33" t="s">
        <v>201</v>
      </c>
      <c r="Y33" s="33" t="s">
        <v>201</v>
      </c>
    </row>
    <row r="34" spans="1:25" hidden="1" x14ac:dyDescent="0.25">
      <c r="A34" s="33">
        <v>31</v>
      </c>
      <c r="B34" s="33" t="s">
        <v>200</v>
      </c>
      <c r="C34" s="33">
        <v>7</v>
      </c>
      <c r="D34" s="33">
        <v>31</v>
      </c>
      <c r="E34" s="33">
        <v>0</v>
      </c>
      <c r="F34" s="33">
        <v>31</v>
      </c>
      <c r="G34" s="33">
        <v>2400</v>
      </c>
      <c r="H34" s="36" t="s">
        <v>149</v>
      </c>
      <c r="I34" s="33">
        <v>2400</v>
      </c>
      <c r="J34" s="33">
        <v>0</v>
      </c>
      <c r="M34" s="33" t="s">
        <v>201</v>
      </c>
      <c r="P34" s="33" t="s">
        <v>201</v>
      </c>
      <c r="S34" s="33" t="s">
        <v>201</v>
      </c>
      <c r="V34" s="33" t="s">
        <v>201</v>
      </c>
      <c r="Y34" s="33" t="s">
        <v>201</v>
      </c>
    </row>
    <row r="35" spans="1:25" hidden="1" x14ac:dyDescent="0.25">
      <c r="A35" s="33">
        <v>32</v>
      </c>
      <c r="B35" s="33" t="s">
        <v>200</v>
      </c>
      <c r="C35" s="33">
        <v>7</v>
      </c>
      <c r="D35" s="33">
        <v>9</v>
      </c>
      <c r="E35" s="33">
        <v>0</v>
      </c>
      <c r="F35" s="33">
        <v>9</v>
      </c>
      <c r="G35" s="33">
        <v>2400</v>
      </c>
      <c r="H35" s="36" t="s">
        <v>153</v>
      </c>
      <c r="I35" s="33">
        <v>2400</v>
      </c>
      <c r="J35" s="33">
        <v>0</v>
      </c>
      <c r="M35" s="33" t="s">
        <v>201</v>
      </c>
      <c r="P35" s="33" t="s">
        <v>201</v>
      </c>
      <c r="S35" s="33" t="s">
        <v>201</v>
      </c>
      <c r="V35" s="33" t="s">
        <v>201</v>
      </c>
      <c r="Y35" s="33" t="s">
        <v>201</v>
      </c>
    </row>
    <row r="36" spans="1:25" hidden="1" x14ac:dyDescent="0.25">
      <c r="A36" s="33">
        <v>33</v>
      </c>
      <c r="B36" s="33" t="s">
        <v>200</v>
      </c>
      <c r="C36" s="33">
        <v>7</v>
      </c>
      <c r="D36" s="33">
        <v>6.5454999999999997</v>
      </c>
      <c r="E36" s="33">
        <v>0</v>
      </c>
      <c r="F36" s="33">
        <v>6.5454999999999997</v>
      </c>
      <c r="G36" s="33">
        <v>2400</v>
      </c>
      <c r="H36" s="36" t="s">
        <v>154</v>
      </c>
      <c r="I36" s="33">
        <v>2400</v>
      </c>
      <c r="J36" s="33">
        <v>0</v>
      </c>
      <c r="M36" s="33" t="s">
        <v>201</v>
      </c>
      <c r="P36" s="33" t="s">
        <v>201</v>
      </c>
      <c r="S36" s="33" t="s">
        <v>201</v>
      </c>
      <c r="V36" s="33" t="s">
        <v>201</v>
      </c>
      <c r="Y36" s="33" t="s">
        <v>201</v>
      </c>
    </row>
    <row r="37" spans="1:25" hidden="1" x14ac:dyDescent="0.25">
      <c r="A37" s="33">
        <v>34</v>
      </c>
      <c r="B37" s="33" t="s">
        <v>200</v>
      </c>
      <c r="C37" s="33">
        <v>8</v>
      </c>
      <c r="D37" s="33">
        <v>12</v>
      </c>
      <c r="E37" s="33">
        <v>0</v>
      </c>
      <c r="F37" s="33">
        <v>12</v>
      </c>
      <c r="G37" s="33">
        <v>2800</v>
      </c>
      <c r="H37" s="36" t="s">
        <v>149</v>
      </c>
      <c r="I37" s="33">
        <v>400</v>
      </c>
      <c r="J37" s="33">
        <v>0</v>
      </c>
      <c r="K37" s="36" t="s">
        <v>69</v>
      </c>
      <c r="L37" s="33">
        <v>2400</v>
      </c>
      <c r="M37" s="33">
        <v>0.72023999999999988</v>
      </c>
      <c r="P37" s="33" t="s">
        <v>201</v>
      </c>
      <c r="S37" s="33" t="s">
        <v>201</v>
      </c>
      <c r="V37" s="33" t="s">
        <v>201</v>
      </c>
      <c r="Y37" s="33" t="s">
        <v>201</v>
      </c>
    </row>
    <row r="38" spans="1:25" hidden="1" x14ac:dyDescent="0.25">
      <c r="A38" s="33">
        <v>35</v>
      </c>
      <c r="B38" s="33" t="s">
        <v>200</v>
      </c>
      <c r="C38" s="33">
        <v>8</v>
      </c>
      <c r="D38" s="33">
        <v>16</v>
      </c>
      <c r="E38" s="33">
        <v>1</v>
      </c>
      <c r="F38" s="33">
        <v>15</v>
      </c>
      <c r="G38" s="33">
        <v>2890</v>
      </c>
      <c r="H38" s="36" t="s">
        <v>149</v>
      </c>
      <c r="I38" s="33">
        <v>700</v>
      </c>
      <c r="J38" s="33">
        <v>0</v>
      </c>
      <c r="K38" s="36" t="s">
        <v>159</v>
      </c>
      <c r="L38" s="33">
        <v>1500</v>
      </c>
      <c r="M38" s="33">
        <v>1.9375</v>
      </c>
      <c r="N38" s="36" t="s">
        <v>149</v>
      </c>
      <c r="O38" s="33">
        <v>190</v>
      </c>
      <c r="P38" s="33">
        <v>0</v>
      </c>
      <c r="S38" s="33" t="s">
        <v>201</v>
      </c>
      <c r="V38" s="33" t="s">
        <v>201</v>
      </c>
      <c r="Y38" s="33" t="s">
        <v>201</v>
      </c>
    </row>
    <row r="39" spans="1:25" hidden="1" x14ac:dyDescent="0.25">
      <c r="A39" s="33">
        <v>36</v>
      </c>
      <c r="B39" s="33" t="s">
        <v>200</v>
      </c>
      <c r="C39" s="33">
        <v>8</v>
      </c>
      <c r="D39" s="33">
        <v>31</v>
      </c>
      <c r="E39" s="33">
        <v>0</v>
      </c>
      <c r="F39" s="33">
        <v>31</v>
      </c>
      <c r="G39" s="33">
        <v>2400</v>
      </c>
      <c r="H39" s="36" t="s">
        <v>149</v>
      </c>
      <c r="I39" s="33">
        <v>2400</v>
      </c>
      <c r="J39" s="33">
        <v>0</v>
      </c>
      <c r="L39" s="36"/>
      <c r="M39" s="33" t="s">
        <v>201</v>
      </c>
      <c r="P39" s="33" t="s">
        <v>201</v>
      </c>
      <c r="S39" s="33" t="s">
        <v>201</v>
      </c>
      <c r="V39" s="33" t="s">
        <v>201</v>
      </c>
      <c r="Y39" s="33" t="s">
        <v>201</v>
      </c>
    </row>
    <row r="40" spans="1:25" hidden="1" x14ac:dyDescent="0.25">
      <c r="A40" s="33">
        <v>37</v>
      </c>
      <c r="B40" s="33" t="s">
        <v>200</v>
      </c>
      <c r="C40" s="33">
        <v>8</v>
      </c>
      <c r="D40" s="33">
        <v>10</v>
      </c>
      <c r="E40" s="33">
        <v>0</v>
      </c>
      <c r="F40" s="33">
        <v>10</v>
      </c>
      <c r="G40" s="33">
        <v>2600</v>
      </c>
      <c r="H40" s="36" t="s">
        <v>153</v>
      </c>
      <c r="I40" s="33">
        <v>2600</v>
      </c>
      <c r="J40" s="33">
        <v>0</v>
      </c>
      <c r="M40" s="33" t="s">
        <v>201</v>
      </c>
      <c r="P40" s="33" t="s">
        <v>201</v>
      </c>
      <c r="S40" s="33" t="s">
        <v>201</v>
      </c>
      <c r="V40" s="33" t="s">
        <v>201</v>
      </c>
      <c r="Y40" s="33" t="s">
        <v>201</v>
      </c>
    </row>
    <row r="41" spans="1:25" hidden="1" x14ac:dyDescent="0.25">
      <c r="A41" s="33">
        <v>38</v>
      </c>
      <c r="B41" s="33" t="s">
        <v>200</v>
      </c>
      <c r="C41" s="33">
        <v>8</v>
      </c>
      <c r="D41" s="33">
        <v>7.0909000000000004</v>
      </c>
      <c r="E41" s="33">
        <v>0</v>
      </c>
      <c r="F41" s="33">
        <v>7.0909000000000004</v>
      </c>
      <c r="G41" s="33">
        <v>2600</v>
      </c>
      <c r="H41" s="36" t="s">
        <v>154</v>
      </c>
      <c r="I41" s="33">
        <v>2600</v>
      </c>
      <c r="J41" s="33">
        <v>0</v>
      </c>
      <c r="M41" s="33" t="s">
        <v>201</v>
      </c>
      <c r="P41" s="33" t="s">
        <v>201</v>
      </c>
      <c r="S41" s="33" t="s">
        <v>201</v>
      </c>
      <c r="V41" s="33" t="s">
        <v>201</v>
      </c>
      <c r="Y41" s="33" t="s">
        <v>201</v>
      </c>
    </row>
    <row r="42" spans="1:25" hidden="1" x14ac:dyDescent="0.25">
      <c r="A42" s="33">
        <v>39</v>
      </c>
      <c r="B42" s="33" t="s">
        <v>200</v>
      </c>
      <c r="C42" s="33">
        <v>9</v>
      </c>
      <c r="D42" s="33">
        <v>5</v>
      </c>
      <c r="E42" s="33">
        <v>0</v>
      </c>
      <c r="F42" s="33">
        <v>5</v>
      </c>
      <c r="G42" s="33">
        <v>2300</v>
      </c>
      <c r="H42" s="36" t="s">
        <v>149</v>
      </c>
      <c r="I42" s="33">
        <v>100</v>
      </c>
      <c r="J42" s="33">
        <v>0</v>
      </c>
      <c r="K42" s="36" t="s">
        <v>69</v>
      </c>
      <c r="L42" s="33">
        <v>2200</v>
      </c>
      <c r="M42" s="33">
        <v>0.66022000000000003</v>
      </c>
      <c r="P42" s="33" t="s">
        <v>201</v>
      </c>
      <c r="S42" s="33" t="s">
        <v>201</v>
      </c>
      <c r="V42" s="33" t="s">
        <v>201</v>
      </c>
      <c r="Y42" s="33" t="s">
        <v>201</v>
      </c>
    </row>
    <row r="43" spans="1:25" hidden="1" x14ac:dyDescent="0.25">
      <c r="A43" s="33">
        <v>40</v>
      </c>
      <c r="B43" s="33" t="s">
        <v>200</v>
      </c>
      <c r="C43" s="33">
        <v>9</v>
      </c>
      <c r="D43" s="33">
        <v>28</v>
      </c>
      <c r="E43" s="33">
        <v>0</v>
      </c>
      <c r="F43" s="33">
        <v>28</v>
      </c>
      <c r="G43" s="33">
        <v>2200</v>
      </c>
      <c r="H43" s="36" t="s">
        <v>149</v>
      </c>
      <c r="I43" s="33">
        <v>2200</v>
      </c>
      <c r="J43" s="33">
        <v>0</v>
      </c>
      <c r="M43" s="33" t="s">
        <v>201</v>
      </c>
      <c r="P43" s="33" t="s">
        <v>201</v>
      </c>
      <c r="S43" s="33" t="s">
        <v>201</v>
      </c>
      <c r="V43" s="33" t="s">
        <v>201</v>
      </c>
      <c r="Y43" s="33" t="s">
        <v>201</v>
      </c>
    </row>
    <row r="44" spans="1:25" hidden="1" x14ac:dyDescent="0.25">
      <c r="A44" s="33">
        <v>41</v>
      </c>
      <c r="B44" s="33" t="s">
        <v>200</v>
      </c>
      <c r="C44" s="33">
        <v>9</v>
      </c>
      <c r="D44" s="33">
        <v>8</v>
      </c>
      <c r="E44" s="33">
        <v>0</v>
      </c>
      <c r="F44" s="33">
        <v>8</v>
      </c>
      <c r="G44" s="33">
        <v>2200</v>
      </c>
      <c r="H44" s="36" t="s">
        <v>153</v>
      </c>
      <c r="I44" s="33">
        <v>2200</v>
      </c>
      <c r="J44" s="33">
        <v>0</v>
      </c>
      <c r="M44" s="33" t="s">
        <v>201</v>
      </c>
      <c r="P44" s="33" t="s">
        <v>201</v>
      </c>
      <c r="S44" s="33" t="s">
        <v>201</v>
      </c>
      <c r="V44" s="33" t="s">
        <v>201</v>
      </c>
      <c r="Y44" s="33" t="s">
        <v>201</v>
      </c>
    </row>
    <row r="45" spans="1:25" hidden="1" x14ac:dyDescent="0.25">
      <c r="A45" s="33">
        <v>42</v>
      </c>
      <c r="B45" s="33" t="s">
        <v>200</v>
      </c>
      <c r="C45" s="33">
        <v>9</v>
      </c>
      <c r="D45" s="33">
        <v>6</v>
      </c>
      <c r="E45" s="33">
        <v>0</v>
      </c>
      <c r="F45" s="33">
        <v>6</v>
      </c>
      <c r="G45" s="33">
        <v>2200</v>
      </c>
      <c r="H45" s="36" t="s">
        <v>154</v>
      </c>
      <c r="I45" s="33">
        <v>2200</v>
      </c>
      <c r="J45" s="33">
        <v>0</v>
      </c>
      <c r="M45" s="33" t="s">
        <v>201</v>
      </c>
      <c r="P45" s="33" t="s">
        <v>201</v>
      </c>
      <c r="S45" s="33" t="s">
        <v>201</v>
      </c>
      <c r="V45" s="33" t="s">
        <v>201</v>
      </c>
      <c r="Y45" s="33" t="s">
        <v>201</v>
      </c>
    </row>
    <row r="46" spans="1:25" hidden="1" x14ac:dyDescent="0.25">
      <c r="A46" s="33">
        <v>43</v>
      </c>
      <c r="B46" s="33" t="s">
        <v>200</v>
      </c>
      <c r="C46" s="33">
        <v>10</v>
      </c>
      <c r="D46" s="33">
        <v>6</v>
      </c>
      <c r="E46" s="33">
        <v>0</v>
      </c>
      <c r="F46" s="33">
        <v>6</v>
      </c>
      <c r="G46" s="33">
        <v>2000</v>
      </c>
      <c r="H46" s="36" t="s">
        <v>149</v>
      </c>
      <c r="I46" s="33">
        <v>100</v>
      </c>
      <c r="J46" s="33">
        <v>0</v>
      </c>
      <c r="K46" s="36" t="s">
        <v>69</v>
      </c>
      <c r="L46" s="33">
        <v>1900</v>
      </c>
      <c r="M46" s="33">
        <v>0.57018999999999997</v>
      </c>
      <c r="P46" s="33" t="s">
        <v>201</v>
      </c>
      <c r="S46" s="33" t="s">
        <v>201</v>
      </c>
      <c r="V46" s="33" t="s">
        <v>201</v>
      </c>
      <c r="Y46" s="33" t="s">
        <v>201</v>
      </c>
    </row>
    <row r="47" spans="1:25" hidden="1" x14ac:dyDescent="0.25">
      <c r="A47" s="33">
        <v>44</v>
      </c>
      <c r="B47" s="33" t="s">
        <v>200</v>
      </c>
      <c r="C47" s="33">
        <v>10</v>
      </c>
      <c r="D47" s="33">
        <v>28</v>
      </c>
      <c r="E47" s="33">
        <v>0</v>
      </c>
      <c r="F47" s="33">
        <v>28</v>
      </c>
      <c r="G47" s="33">
        <v>2000</v>
      </c>
      <c r="H47" s="36" t="s">
        <v>149</v>
      </c>
      <c r="I47" s="33">
        <v>2000</v>
      </c>
      <c r="J47" s="33">
        <v>0</v>
      </c>
      <c r="M47" s="33" t="s">
        <v>201</v>
      </c>
      <c r="P47" s="33" t="s">
        <v>201</v>
      </c>
      <c r="S47" s="33" t="s">
        <v>201</v>
      </c>
      <c r="V47" s="33" t="s">
        <v>201</v>
      </c>
      <c r="Y47" s="33" t="s">
        <v>201</v>
      </c>
    </row>
    <row r="48" spans="1:25" hidden="1" x14ac:dyDescent="0.25">
      <c r="A48" s="33">
        <v>45</v>
      </c>
      <c r="B48" s="33" t="s">
        <v>200</v>
      </c>
      <c r="C48" s="33">
        <v>10</v>
      </c>
      <c r="D48" s="33">
        <v>13</v>
      </c>
      <c r="E48" s="33">
        <v>0</v>
      </c>
      <c r="F48" s="33">
        <v>13</v>
      </c>
      <c r="G48" s="33">
        <v>2000</v>
      </c>
      <c r="H48" s="36" t="s">
        <v>153</v>
      </c>
      <c r="I48" s="33">
        <v>2000</v>
      </c>
      <c r="J48" s="33">
        <v>0</v>
      </c>
      <c r="M48" s="33" t="s">
        <v>201</v>
      </c>
      <c r="P48" s="33" t="s">
        <v>201</v>
      </c>
      <c r="S48" s="33" t="s">
        <v>201</v>
      </c>
      <c r="V48" s="33" t="s">
        <v>201</v>
      </c>
      <c r="Y48" s="33" t="s">
        <v>201</v>
      </c>
    </row>
    <row r="49" spans="1:25" hidden="1" x14ac:dyDescent="0.25">
      <c r="A49" s="33">
        <v>46</v>
      </c>
      <c r="B49" s="33" t="s">
        <v>200</v>
      </c>
      <c r="C49" s="33">
        <v>10</v>
      </c>
      <c r="D49" s="33">
        <v>5.4545000000000003</v>
      </c>
      <c r="E49" s="33">
        <v>0</v>
      </c>
      <c r="F49" s="33">
        <v>5.4545000000000003</v>
      </c>
      <c r="G49" s="33">
        <v>2000</v>
      </c>
      <c r="H49" s="36" t="s">
        <v>154</v>
      </c>
      <c r="I49" s="33">
        <v>2000</v>
      </c>
      <c r="J49" s="33">
        <v>0</v>
      </c>
      <c r="M49" s="33" t="s">
        <v>201</v>
      </c>
      <c r="P49" s="33" t="s">
        <v>201</v>
      </c>
      <c r="S49" s="33" t="s">
        <v>201</v>
      </c>
      <c r="V49" s="33" t="s">
        <v>201</v>
      </c>
      <c r="Y49" s="33" t="s">
        <v>201</v>
      </c>
    </row>
    <row r="50" spans="1:25" hidden="1" x14ac:dyDescent="0.25">
      <c r="A50" s="33">
        <v>47</v>
      </c>
      <c r="B50" t="s">
        <v>203</v>
      </c>
      <c r="C50">
        <v>11</v>
      </c>
      <c r="D50">
        <v>45</v>
      </c>
      <c r="E50">
        <v>0</v>
      </c>
      <c r="F50">
        <v>47</v>
      </c>
      <c r="G50">
        <v>13200</v>
      </c>
      <c r="H50" s="107" t="s">
        <v>149</v>
      </c>
      <c r="I50">
        <v>200</v>
      </c>
      <c r="J50" s="107"/>
      <c r="K50" s="107" t="s">
        <v>69</v>
      </c>
      <c r="L50">
        <v>13000</v>
      </c>
      <c r="M50" s="107"/>
      <c r="N50" s="107"/>
      <c r="O50"/>
      <c r="P50"/>
      <c r="Q50" s="65"/>
      <c r="R50" s="65"/>
      <c r="S50" s="65"/>
      <c r="T50" s="65"/>
      <c r="U50" s="65"/>
      <c r="V50" s="65"/>
    </row>
    <row r="51" spans="1:25" hidden="1" x14ac:dyDescent="0.25">
      <c r="A51" s="33">
        <v>48</v>
      </c>
      <c r="B51" t="s">
        <v>203</v>
      </c>
      <c r="C51">
        <v>11</v>
      </c>
      <c r="D51">
        <v>51</v>
      </c>
      <c r="E51">
        <v>7</v>
      </c>
      <c r="F51">
        <v>44</v>
      </c>
      <c r="G51">
        <v>11610</v>
      </c>
      <c r="H51" s="107" t="s">
        <v>149</v>
      </c>
      <c r="I51">
        <v>110</v>
      </c>
      <c r="J51" s="107"/>
      <c r="K51" s="107" t="s">
        <v>159</v>
      </c>
      <c r="L51">
        <v>11000</v>
      </c>
      <c r="M51" s="107"/>
      <c r="N51" s="107" t="s">
        <v>149</v>
      </c>
      <c r="O51">
        <v>500</v>
      </c>
      <c r="P51"/>
    </row>
    <row r="52" spans="1:25" hidden="1" x14ac:dyDescent="0.25">
      <c r="A52" s="33">
        <v>49</v>
      </c>
      <c r="B52" t="s">
        <v>203</v>
      </c>
      <c r="C52">
        <v>11</v>
      </c>
      <c r="D52">
        <v>47</v>
      </c>
      <c r="E52">
        <v>0</v>
      </c>
      <c r="F52">
        <v>47</v>
      </c>
      <c r="G52">
        <v>14500</v>
      </c>
      <c r="H52" s="107" t="s">
        <v>153</v>
      </c>
      <c r="I52">
        <v>14500</v>
      </c>
      <c r="J52" s="107"/>
      <c r="K52" s="107"/>
      <c r="L52"/>
      <c r="M52" s="107"/>
      <c r="N52" s="107"/>
      <c r="O52"/>
      <c r="P52"/>
    </row>
    <row r="53" spans="1:25" hidden="1" x14ac:dyDescent="0.25">
      <c r="A53" s="33">
        <v>50</v>
      </c>
      <c r="B53" t="s">
        <v>203</v>
      </c>
      <c r="C53">
        <v>12</v>
      </c>
      <c r="D53">
        <v>54</v>
      </c>
      <c r="E53">
        <v>0</v>
      </c>
      <c r="F53">
        <v>54</v>
      </c>
      <c r="G53">
        <v>15000</v>
      </c>
      <c r="H53" s="107" t="s">
        <v>153</v>
      </c>
      <c r="I53">
        <v>15000</v>
      </c>
      <c r="J53" s="107"/>
      <c r="K53" s="107"/>
      <c r="L53"/>
      <c r="M53" s="107"/>
      <c r="N53" s="107"/>
      <c r="O53"/>
      <c r="P53"/>
    </row>
    <row r="54" spans="1:25" hidden="1" x14ac:dyDescent="0.25">
      <c r="A54" s="33">
        <v>51</v>
      </c>
      <c r="B54" t="s">
        <v>203</v>
      </c>
      <c r="C54">
        <v>12</v>
      </c>
      <c r="D54">
        <v>46</v>
      </c>
      <c r="E54">
        <v>1</v>
      </c>
      <c r="F54">
        <v>45</v>
      </c>
      <c r="G54">
        <v>16580</v>
      </c>
      <c r="H54" s="107" t="s">
        <v>149</v>
      </c>
      <c r="I54">
        <v>900</v>
      </c>
      <c r="J54" s="107"/>
      <c r="K54" s="107" t="s">
        <v>158</v>
      </c>
      <c r="L54">
        <v>7100</v>
      </c>
      <c r="M54" s="107"/>
      <c r="N54" s="107" t="s">
        <v>155</v>
      </c>
      <c r="O54">
        <v>8580</v>
      </c>
      <c r="P54"/>
    </row>
    <row r="55" spans="1:25" hidden="1" x14ac:dyDescent="0.25">
      <c r="A55" s="33">
        <v>52</v>
      </c>
      <c r="B55" t="s">
        <v>203</v>
      </c>
      <c r="C55">
        <v>12</v>
      </c>
      <c r="D55">
        <v>35</v>
      </c>
      <c r="E55">
        <v>0</v>
      </c>
      <c r="F55">
        <v>35</v>
      </c>
      <c r="G55">
        <v>20000</v>
      </c>
      <c r="H55" s="107" t="s">
        <v>149</v>
      </c>
      <c r="I55">
        <v>200</v>
      </c>
      <c r="J55" s="107"/>
      <c r="K55" s="107" t="s">
        <v>69</v>
      </c>
      <c r="L55">
        <v>19800</v>
      </c>
      <c r="M55" s="107"/>
      <c r="N55" s="107"/>
      <c r="O55"/>
      <c r="P55"/>
    </row>
    <row r="56" spans="1:25" hidden="1" x14ac:dyDescent="0.25">
      <c r="A56" s="33">
        <v>56</v>
      </c>
      <c r="B56" t="s">
        <v>203</v>
      </c>
      <c r="C56">
        <v>14</v>
      </c>
      <c r="D56">
        <v>40</v>
      </c>
      <c r="E56">
        <v>0</v>
      </c>
      <c r="F56">
        <v>40</v>
      </c>
      <c r="G56">
        <v>13800</v>
      </c>
      <c r="H56" s="107" t="s">
        <v>149</v>
      </c>
      <c r="I56">
        <v>200</v>
      </c>
      <c r="J56" s="107"/>
      <c r="K56" s="107" t="s">
        <v>69</v>
      </c>
      <c r="L56">
        <v>13600</v>
      </c>
      <c r="M56" s="107"/>
      <c r="N56" s="107"/>
      <c r="O56"/>
      <c r="P56"/>
    </row>
    <row r="57" spans="1:25" hidden="1" x14ac:dyDescent="0.25">
      <c r="A57" s="33">
        <v>57</v>
      </c>
      <c r="B57" t="s">
        <v>203</v>
      </c>
      <c r="C57">
        <v>14</v>
      </c>
      <c r="D57">
        <v>80</v>
      </c>
      <c r="E57">
        <v>19</v>
      </c>
      <c r="F57">
        <v>61</v>
      </c>
      <c r="G57">
        <v>19410</v>
      </c>
      <c r="H57" s="107" t="s">
        <v>149</v>
      </c>
      <c r="I57">
        <v>910</v>
      </c>
      <c r="J57" s="107"/>
      <c r="K57" s="107" t="s">
        <v>155</v>
      </c>
      <c r="L57">
        <v>5000</v>
      </c>
      <c r="M57" s="107"/>
      <c r="N57" s="107" t="s">
        <v>158</v>
      </c>
      <c r="O57">
        <v>13500</v>
      </c>
      <c r="P57"/>
    </row>
    <row r="58" spans="1:25" hidden="1" x14ac:dyDescent="0.25">
      <c r="A58" s="33">
        <v>58</v>
      </c>
      <c r="B58" t="s">
        <v>203</v>
      </c>
      <c r="C58">
        <v>14</v>
      </c>
      <c r="D58">
        <v>58</v>
      </c>
      <c r="E58">
        <v>0</v>
      </c>
      <c r="F58">
        <v>58</v>
      </c>
      <c r="G58">
        <v>14900</v>
      </c>
      <c r="H58" s="107" t="s">
        <v>153</v>
      </c>
      <c r="I58">
        <v>14900</v>
      </c>
      <c r="J58" s="107"/>
      <c r="K58" s="107"/>
      <c r="L58"/>
      <c r="M58" s="107"/>
      <c r="N58" s="107"/>
      <c r="O58"/>
      <c r="P58"/>
    </row>
    <row r="59" spans="1:25" hidden="1" x14ac:dyDescent="0.25">
      <c r="A59" s="33">
        <v>59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s="107" t="s">
        <v>153</v>
      </c>
      <c r="I59">
        <v>15200</v>
      </c>
      <c r="J59" s="107"/>
      <c r="K59" s="107"/>
      <c r="L59"/>
      <c r="M59" s="107"/>
      <c r="N59" s="107"/>
      <c r="O59"/>
      <c r="P59"/>
    </row>
    <row r="60" spans="1:25" hidden="1" x14ac:dyDescent="0.25">
      <c r="A60" s="33">
        <v>60</v>
      </c>
      <c r="B60" t="s">
        <v>203</v>
      </c>
      <c r="C60">
        <v>15</v>
      </c>
      <c r="D60">
        <v>44</v>
      </c>
      <c r="E60">
        <v>0</v>
      </c>
      <c r="F60">
        <v>44</v>
      </c>
      <c r="G60">
        <v>22400</v>
      </c>
      <c r="H60" s="107" t="s">
        <v>149</v>
      </c>
      <c r="I60">
        <v>300</v>
      </c>
      <c r="J60" s="107"/>
      <c r="K60" s="107" t="s">
        <v>69</v>
      </c>
      <c r="L60">
        <v>22100</v>
      </c>
      <c r="M60" s="107"/>
      <c r="N60" s="107"/>
      <c r="O60"/>
      <c r="P60"/>
    </row>
    <row r="61" spans="1:25" hidden="1" x14ac:dyDescent="0.25">
      <c r="A61" s="33">
        <v>60</v>
      </c>
      <c r="B61" t="s">
        <v>203</v>
      </c>
      <c r="C61">
        <v>15</v>
      </c>
      <c r="D61">
        <v>57</v>
      </c>
      <c r="E61">
        <v>8</v>
      </c>
      <c r="F61">
        <v>49</v>
      </c>
      <c r="G61">
        <v>14850</v>
      </c>
      <c r="H61" s="107" t="s">
        <v>149</v>
      </c>
      <c r="I61">
        <v>350</v>
      </c>
      <c r="J61" s="107"/>
      <c r="K61" s="107" t="s">
        <v>155</v>
      </c>
      <c r="L61">
        <v>9500</v>
      </c>
      <c r="M61" s="107"/>
      <c r="N61" s="107" t="s">
        <v>158</v>
      </c>
      <c r="O61">
        <v>5000</v>
      </c>
      <c r="P61"/>
    </row>
    <row r="62" spans="1:25" hidden="1" x14ac:dyDescent="0.25">
      <c r="A62" s="33">
        <v>61</v>
      </c>
      <c r="B62" s="33" t="s">
        <v>202</v>
      </c>
      <c r="C62" s="33">
        <v>17</v>
      </c>
      <c r="D62" s="33">
        <v>206</v>
      </c>
      <c r="E62" s="33">
        <v>57</v>
      </c>
      <c r="F62" s="33">
        <v>155</v>
      </c>
      <c r="G62" s="33">
        <v>233000</v>
      </c>
      <c r="H62" s="36" t="s">
        <v>149</v>
      </c>
      <c r="I62" s="33">
        <v>500</v>
      </c>
      <c r="J62" s="33">
        <v>0</v>
      </c>
      <c r="K62" s="36" t="s">
        <v>158</v>
      </c>
      <c r="L62" s="33">
        <v>6000</v>
      </c>
      <c r="M62" s="33">
        <v>1.9375</v>
      </c>
      <c r="N62" s="36" t="s">
        <v>160</v>
      </c>
      <c r="O62" s="33">
        <v>183920</v>
      </c>
      <c r="P62" s="33">
        <v>33.105599999999995</v>
      </c>
      <c r="Q62" s="33" t="s">
        <v>159</v>
      </c>
      <c r="R62" s="33">
        <v>42180</v>
      </c>
      <c r="S62" s="33">
        <v>1.9375</v>
      </c>
      <c r="T62" s="33" t="s">
        <v>155</v>
      </c>
      <c r="U62" s="33">
        <v>1870</v>
      </c>
      <c r="V62" s="33">
        <v>1.9375</v>
      </c>
      <c r="W62" s="33" t="s">
        <v>149</v>
      </c>
      <c r="X62" s="33">
        <v>400</v>
      </c>
      <c r="Y62" s="33">
        <v>0</v>
      </c>
    </row>
    <row r="63" spans="1:25" hidden="1" x14ac:dyDescent="0.25">
      <c r="A63" s="33">
        <v>62</v>
      </c>
      <c r="B63" s="33" t="s">
        <v>202</v>
      </c>
      <c r="C63" s="33">
        <v>17</v>
      </c>
      <c r="D63" s="33">
        <v>170</v>
      </c>
      <c r="E63" s="33">
        <v>0</v>
      </c>
      <c r="F63" s="33">
        <v>170</v>
      </c>
      <c r="G63" s="33">
        <v>175400</v>
      </c>
      <c r="H63" s="36" t="s">
        <v>149</v>
      </c>
      <c r="I63" s="33">
        <v>400</v>
      </c>
      <c r="J63" s="33">
        <v>0</v>
      </c>
      <c r="K63" s="36" t="s">
        <v>69</v>
      </c>
      <c r="L63" s="33">
        <v>175000</v>
      </c>
      <c r="M63" s="33">
        <v>52.517499999999998</v>
      </c>
      <c r="P63" s="33" t="s">
        <v>201</v>
      </c>
      <c r="S63" s="33" t="s">
        <v>201</v>
      </c>
      <c r="V63" s="33" t="s">
        <v>201</v>
      </c>
      <c r="Y63" s="33" t="s">
        <v>201</v>
      </c>
    </row>
    <row r="64" spans="1:25" hidden="1" x14ac:dyDescent="0.25">
      <c r="A64" s="33">
        <v>63</v>
      </c>
      <c r="B64" s="33" t="s">
        <v>202</v>
      </c>
      <c r="C64" s="33">
        <v>18</v>
      </c>
      <c r="D64" s="33">
        <v>233</v>
      </c>
      <c r="E64" s="33">
        <v>56</v>
      </c>
      <c r="F64" s="33">
        <v>177</v>
      </c>
      <c r="G64" s="33">
        <v>234712</v>
      </c>
      <c r="H64" s="36" t="s">
        <v>149</v>
      </c>
      <c r="I64" s="33">
        <v>500</v>
      </c>
      <c r="J64" s="33">
        <v>0</v>
      </c>
      <c r="K64" s="36" t="s">
        <v>158</v>
      </c>
      <c r="L64" s="33">
        <v>6000</v>
      </c>
      <c r="M64" s="33">
        <v>1.9375</v>
      </c>
      <c r="N64" s="36" t="s">
        <v>160</v>
      </c>
      <c r="O64" s="33">
        <v>183920</v>
      </c>
      <c r="P64" s="33">
        <v>33.105599999999995</v>
      </c>
      <c r="Q64" s="33" t="s">
        <v>159</v>
      </c>
      <c r="R64" s="33">
        <v>42690</v>
      </c>
      <c r="S64" s="33">
        <v>1.9375</v>
      </c>
      <c r="T64" s="33" t="s">
        <v>155</v>
      </c>
      <c r="U64" s="33">
        <v>1302</v>
      </c>
      <c r="V64" s="33">
        <v>1.9375</v>
      </c>
      <c r="W64" s="33" t="s">
        <v>149</v>
      </c>
      <c r="X64" s="33">
        <v>300</v>
      </c>
      <c r="Y64" s="33">
        <v>0</v>
      </c>
    </row>
    <row r="65" spans="1:25" hidden="1" x14ac:dyDescent="0.25">
      <c r="A65" s="33">
        <v>64</v>
      </c>
      <c r="B65" s="33" t="s">
        <v>202</v>
      </c>
      <c r="C65" s="33">
        <v>18</v>
      </c>
      <c r="D65" s="33">
        <v>160</v>
      </c>
      <c r="E65" s="33">
        <v>0</v>
      </c>
      <c r="F65" s="33">
        <v>160</v>
      </c>
      <c r="G65" s="33">
        <v>170400</v>
      </c>
      <c r="H65" s="36" t="s">
        <v>149</v>
      </c>
      <c r="I65" s="33">
        <v>400</v>
      </c>
      <c r="J65" s="33">
        <v>0</v>
      </c>
      <c r="K65" s="36" t="s">
        <v>69</v>
      </c>
      <c r="L65" s="33">
        <v>170000</v>
      </c>
      <c r="M65" s="33">
        <v>51.016999999999996</v>
      </c>
      <c r="P65" s="33" t="s">
        <v>201</v>
      </c>
      <c r="S65" s="33" t="s">
        <v>201</v>
      </c>
      <c r="V65" s="33" t="s">
        <v>201</v>
      </c>
      <c r="Y65" s="33" t="s">
        <v>201</v>
      </c>
    </row>
    <row r="66" spans="1:25" hidden="1" x14ac:dyDescent="0.25">
      <c r="A66" s="33">
        <v>65</v>
      </c>
      <c r="B66" s="33" t="s">
        <v>202</v>
      </c>
      <c r="C66" s="33">
        <v>19</v>
      </c>
      <c r="D66" s="33">
        <v>150</v>
      </c>
      <c r="E66" s="33">
        <v>0</v>
      </c>
      <c r="F66" s="33">
        <v>150</v>
      </c>
      <c r="G66" s="33">
        <v>171400</v>
      </c>
      <c r="H66" s="36" t="s">
        <v>149</v>
      </c>
      <c r="I66" s="33">
        <v>400</v>
      </c>
      <c r="J66" s="33">
        <v>0</v>
      </c>
      <c r="K66" s="36" t="s">
        <v>69</v>
      </c>
      <c r="L66" s="33">
        <v>171000</v>
      </c>
      <c r="M66" s="33">
        <v>51.317099999999996</v>
      </c>
      <c r="P66" s="33" t="s">
        <v>201</v>
      </c>
      <c r="S66" s="33" t="s">
        <v>201</v>
      </c>
      <c r="V66" s="33" t="s">
        <v>201</v>
      </c>
      <c r="Y66" s="33" t="s">
        <v>201</v>
      </c>
    </row>
    <row r="67" spans="1:25" hidden="1" x14ac:dyDescent="0.25">
      <c r="A67" s="33">
        <v>66</v>
      </c>
      <c r="B67" s="33" t="s">
        <v>202</v>
      </c>
      <c r="C67" s="33">
        <v>22</v>
      </c>
      <c r="D67" s="33">
        <v>267</v>
      </c>
      <c r="E67" s="33">
        <v>75</v>
      </c>
      <c r="F67" s="33">
        <v>192</v>
      </c>
      <c r="G67" s="33">
        <v>236670</v>
      </c>
      <c r="H67" s="36" t="s">
        <v>149</v>
      </c>
      <c r="I67" s="33">
        <v>450</v>
      </c>
      <c r="J67" s="33">
        <v>0</v>
      </c>
      <c r="K67" s="36" t="s">
        <v>155</v>
      </c>
      <c r="L67" s="33">
        <v>5050</v>
      </c>
      <c r="M67" s="33">
        <v>1.9375</v>
      </c>
      <c r="N67" s="36" t="s">
        <v>160</v>
      </c>
      <c r="O67" s="33">
        <v>187470</v>
      </c>
      <c r="P67" s="33">
        <v>33.744599999999998</v>
      </c>
      <c r="Q67" s="33" t="s">
        <v>159</v>
      </c>
      <c r="R67" s="33">
        <v>43300</v>
      </c>
      <c r="S67" s="33">
        <v>1.9375</v>
      </c>
      <c r="T67" s="33" t="s">
        <v>149</v>
      </c>
      <c r="U67" s="33">
        <v>400</v>
      </c>
      <c r="V67" s="33">
        <v>0</v>
      </c>
      <c r="Y67" s="33" t="s">
        <v>201</v>
      </c>
    </row>
    <row r="68" spans="1:25" hidden="1" x14ac:dyDescent="0.25">
      <c r="A68" s="33">
        <v>67</v>
      </c>
      <c r="B68" s="33" t="s">
        <v>202</v>
      </c>
      <c r="C68" s="33">
        <v>22</v>
      </c>
      <c r="D68" s="33">
        <v>230</v>
      </c>
      <c r="E68" s="33">
        <v>0</v>
      </c>
      <c r="F68" s="33">
        <v>230</v>
      </c>
      <c r="G68" s="33">
        <v>173400</v>
      </c>
      <c r="H68" s="36" t="s">
        <v>149</v>
      </c>
      <c r="I68" s="33">
        <v>400</v>
      </c>
      <c r="J68" s="33">
        <v>0</v>
      </c>
      <c r="K68" s="36" t="s">
        <v>69</v>
      </c>
      <c r="L68" s="33">
        <v>173000</v>
      </c>
      <c r="M68" s="33">
        <v>51.917299999999997</v>
      </c>
      <c r="P68" s="33" t="s">
        <v>201</v>
      </c>
      <c r="S68" s="33" t="s">
        <v>201</v>
      </c>
      <c r="V68" s="33" t="s">
        <v>201</v>
      </c>
      <c r="Y68" s="33" t="s">
        <v>201</v>
      </c>
    </row>
    <row r="69" spans="1:25" hidden="1" x14ac:dyDescent="0.25">
      <c r="A69" s="33">
        <v>68</v>
      </c>
      <c r="B69" s="33" t="s">
        <v>202</v>
      </c>
      <c r="C69" s="33">
        <v>23</v>
      </c>
      <c r="D69" s="33">
        <v>150</v>
      </c>
      <c r="E69" s="33">
        <v>0</v>
      </c>
      <c r="F69" s="33">
        <v>150</v>
      </c>
      <c r="G69" s="33">
        <v>173400</v>
      </c>
      <c r="H69" s="36" t="s">
        <v>149</v>
      </c>
      <c r="I69" s="33">
        <v>400</v>
      </c>
      <c r="J69" s="33">
        <v>0</v>
      </c>
      <c r="K69" s="36" t="s">
        <v>69</v>
      </c>
      <c r="L69" s="33">
        <v>173000</v>
      </c>
      <c r="M69" s="33">
        <v>51.917299999999997</v>
      </c>
      <c r="O69" s="36"/>
      <c r="P69" s="33" t="s">
        <v>201</v>
      </c>
      <c r="S69" s="33" t="s">
        <v>201</v>
      </c>
      <c r="V69" s="33" t="s">
        <v>201</v>
      </c>
      <c r="Y69" s="33" t="s">
        <v>201</v>
      </c>
    </row>
    <row r="70" spans="1:25" hidden="1" x14ac:dyDescent="0.25">
      <c r="A70" s="33">
        <v>69</v>
      </c>
      <c r="B70" s="33" t="s">
        <v>203</v>
      </c>
      <c r="C70" s="33">
        <v>24</v>
      </c>
      <c r="D70" s="33">
        <v>45</v>
      </c>
      <c r="E70" s="33">
        <v>0</v>
      </c>
      <c r="F70" s="33">
        <v>45</v>
      </c>
      <c r="G70" s="33">
        <v>13400</v>
      </c>
      <c r="H70" s="36" t="s">
        <v>153</v>
      </c>
      <c r="I70" s="33">
        <v>13400</v>
      </c>
      <c r="J70" s="33">
        <v>0</v>
      </c>
      <c r="M70" s="33" t="s">
        <v>201</v>
      </c>
      <c r="P70" s="33" t="s">
        <v>201</v>
      </c>
      <c r="S70" s="33" t="s">
        <v>201</v>
      </c>
      <c r="V70" s="33" t="s">
        <v>201</v>
      </c>
      <c r="Y70" s="33" t="s">
        <v>201</v>
      </c>
    </row>
    <row r="71" spans="1:25" hidden="1" x14ac:dyDescent="0.25">
      <c r="A71" s="33">
        <v>70</v>
      </c>
      <c r="B71" s="33" t="s">
        <v>203</v>
      </c>
      <c r="C71" s="33">
        <v>24</v>
      </c>
      <c r="D71" s="33">
        <v>81</v>
      </c>
      <c r="E71" s="33">
        <v>26</v>
      </c>
      <c r="F71" s="33">
        <v>55</v>
      </c>
      <c r="G71" s="33">
        <v>13800</v>
      </c>
      <c r="H71" s="36" t="s">
        <v>149</v>
      </c>
      <c r="I71" s="33">
        <v>2150</v>
      </c>
      <c r="J71" s="33">
        <v>0</v>
      </c>
      <c r="K71" s="36" t="s">
        <v>159</v>
      </c>
      <c r="L71" s="33">
        <v>8450</v>
      </c>
      <c r="M71" s="33">
        <v>1.9375</v>
      </c>
      <c r="N71" s="36" t="s">
        <v>155</v>
      </c>
      <c r="O71" s="33">
        <v>3200</v>
      </c>
      <c r="P71" s="33">
        <v>1.9375</v>
      </c>
      <c r="S71" s="33" t="s">
        <v>201</v>
      </c>
      <c r="V71" s="33" t="s">
        <v>201</v>
      </c>
      <c r="Y71" s="33" t="s">
        <v>201</v>
      </c>
    </row>
    <row r="72" spans="1:25" hidden="1" x14ac:dyDescent="0.25">
      <c r="A72" s="33">
        <v>71</v>
      </c>
      <c r="B72" s="33" t="s">
        <v>203</v>
      </c>
      <c r="C72" s="33">
        <v>24</v>
      </c>
      <c r="D72" s="33">
        <v>25</v>
      </c>
      <c r="E72" s="33">
        <v>0</v>
      </c>
      <c r="F72" s="33">
        <v>25</v>
      </c>
      <c r="G72" s="33">
        <v>13000</v>
      </c>
      <c r="H72" s="36" t="s">
        <v>149</v>
      </c>
      <c r="I72" s="33">
        <v>200</v>
      </c>
      <c r="J72" s="33">
        <v>0</v>
      </c>
      <c r="K72" s="36" t="s">
        <v>69</v>
      </c>
      <c r="L72" s="33">
        <v>12800</v>
      </c>
      <c r="M72" s="33">
        <v>3.8412799999999998</v>
      </c>
      <c r="P72" s="33" t="s">
        <v>201</v>
      </c>
      <c r="S72" s="33" t="s">
        <v>201</v>
      </c>
      <c r="V72" s="33" t="s">
        <v>201</v>
      </c>
      <c r="Y72" s="33" t="s">
        <v>201</v>
      </c>
    </row>
    <row r="73" spans="1:25" hidden="1" x14ac:dyDescent="0.25">
      <c r="A73" s="33">
        <v>72</v>
      </c>
      <c r="B73" s="33" t="s">
        <v>203</v>
      </c>
      <c r="C73" s="33">
        <v>24</v>
      </c>
      <c r="D73" s="33">
        <v>36.545499999999997</v>
      </c>
      <c r="E73" s="33">
        <v>0</v>
      </c>
      <c r="F73" s="33">
        <v>36.545499999999997</v>
      </c>
      <c r="G73" s="33">
        <v>13400</v>
      </c>
      <c r="H73" s="36" t="s">
        <v>154</v>
      </c>
      <c r="I73" s="33">
        <v>13400</v>
      </c>
      <c r="J73" s="33">
        <v>0</v>
      </c>
      <c r="M73" s="33" t="s">
        <v>201</v>
      </c>
      <c r="P73" s="33" t="s">
        <v>201</v>
      </c>
      <c r="S73" s="33" t="s">
        <v>201</v>
      </c>
      <c r="V73" s="33" t="s">
        <v>201</v>
      </c>
      <c r="Y73" s="33" t="s">
        <v>201</v>
      </c>
    </row>
    <row r="74" spans="1:25" hidden="1" x14ac:dyDescent="0.25">
      <c r="A74" s="33">
        <v>73</v>
      </c>
      <c r="B74" s="33" t="s">
        <v>203</v>
      </c>
      <c r="C74" s="33">
        <v>25</v>
      </c>
      <c r="D74" s="33">
        <v>40</v>
      </c>
      <c r="E74" s="33">
        <v>0</v>
      </c>
      <c r="F74" s="33">
        <v>40</v>
      </c>
      <c r="G74" s="33">
        <v>12200</v>
      </c>
      <c r="H74" s="36" t="s">
        <v>153</v>
      </c>
      <c r="I74" s="33">
        <v>12200</v>
      </c>
      <c r="J74" s="33">
        <v>0</v>
      </c>
      <c r="M74" s="33" t="s">
        <v>201</v>
      </c>
      <c r="P74" s="33" t="s">
        <v>201</v>
      </c>
      <c r="S74" s="33" t="s">
        <v>201</v>
      </c>
      <c r="V74" s="33" t="s">
        <v>201</v>
      </c>
      <c r="Y74" s="33" t="s">
        <v>201</v>
      </c>
    </row>
    <row r="75" spans="1:25" hidden="1" x14ac:dyDescent="0.25">
      <c r="A75" s="33">
        <v>74</v>
      </c>
      <c r="B75" s="33" t="s">
        <v>203</v>
      </c>
      <c r="C75" s="33">
        <v>25</v>
      </c>
      <c r="D75" s="33">
        <v>86</v>
      </c>
      <c r="E75" s="33">
        <v>30</v>
      </c>
      <c r="F75" s="33">
        <v>76</v>
      </c>
      <c r="G75" s="33">
        <v>12750</v>
      </c>
      <c r="H75" s="36" t="s">
        <v>149</v>
      </c>
      <c r="I75" s="33">
        <v>1950</v>
      </c>
      <c r="J75" s="33">
        <v>0</v>
      </c>
      <c r="K75" s="36" t="s">
        <v>156</v>
      </c>
      <c r="L75" s="33">
        <v>7600</v>
      </c>
      <c r="M75" s="33">
        <v>1.9375</v>
      </c>
      <c r="N75" s="36" t="s">
        <v>155</v>
      </c>
      <c r="O75" s="33">
        <v>3200</v>
      </c>
      <c r="P75" s="33">
        <v>1.9375</v>
      </c>
      <c r="S75" s="33" t="s">
        <v>201</v>
      </c>
      <c r="V75" s="33" t="s">
        <v>201</v>
      </c>
      <c r="Y75" s="33" t="s">
        <v>201</v>
      </c>
    </row>
    <row r="76" spans="1:25" hidden="1" x14ac:dyDescent="0.25">
      <c r="A76" s="33">
        <v>75</v>
      </c>
      <c r="B76" s="33" t="s">
        <v>203</v>
      </c>
      <c r="C76" s="33">
        <v>25</v>
      </c>
      <c r="D76" s="33">
        <v>28</v>
      </c>
      <c r="E76" s="33">
        <v>0</v>
      </c>
      <c r="F76" s="33">
        <v>28</v>
      </c>
      <c r="G76" s="33">
        <v>13100</v>
      </c>
      <c r="H76" s="36" t="s">
        <v>149</v>
      </c>
      <c r="I76" s="33">
        <v>200</v>
      </c>
      <c r="J76" s="33">
        <v>0</v>
      </c>
      <c r="K76" s="36" t="s">
        <v>69</v>
      </c>
      <c r="L76" s="33">
        <v>12900</v>
      </c>
      <c r="M76" s="33">
        <v>3.8712899999999997</v>
      </c>
      <c r="P76" s="33" t="s">
        <v>201</v>
      </c>
      <c r="S76" s="33" t="s">
        <v>201</v>
      </c>
      <c r="V76" s="33" t="s">
        <v>201</v>
      </c>
      <c r="Y76" s="33" t="s">
        <v>201</v>
      </c>
    </row>
    <row r="77" spans="1:25" hidden="1" x14ac:dyDescent="0.25">
      <c r="A77" s="33">
        <v>76</v>
      </c>
      <c r="B77" s="33" t="s">
        <v>203</v>
      </c>
      <c r="C77" s="33">
        <v>25</v>
      </c>
      <c r="D77" s="33">
        <v>33.2727</v>
      </c>
      <c r="E77" s="33">
        <v>0</v>
      </c>
      <c r="F77" s="33">
        <v>33.2727</v>
      </c>
      <c r="G77" s="33">
        <v>12200</v>
      </c>
      <c r="H77" s="36" t="s">
        <v>154</v>
      </c>
      <c r="I77" s="33">
        <v>12200</v>
      </c>
      <c r="J77" s="33">
        <v>0</v>
      </c>
      <c r="M77" s="33" t="s">
        <v>201</v>
      </c>
      <c r="P77" s="33" t="s">
        <v>201</v>
      </c>
      <c r="S77" s="33" t="s">
        <v>201</v>
      </c>
      <c r="V77" s="33" t="s">
        <v>201</v>
      </c>
      <c r="Y77" s="33" t="s">
        <v>201</v>
      </c>
    </row>
    <row r="78" spans="1:25" hidden="1" x14ac:dyDescent="0.25">
      <c r="A78" s="33">
        <v>77</v>
      </c>
      <c r="B78" s="33" t="s">
        <v>203</v>
      </c>
      <c r="C78" s="33">
        <v>26</v>
      </c>
      <c r="D78" s="33">
        <v>49</v>
      </c>
      <c r="E78" s="33">
        <v>0</v>
      </c>
      <c r="F78" s="33">
        <v>49</v>
      </c>
      <c r="G78" s="33">
        <v>14400</v>
      </c>
      <c r="H78" s="36" t="s">
        <v>153</v>
      </c>
      <c r="I78" s="33">
        <v>14400</v>
      </c>
      <c r="J78" s="33">
        <v>0</v>
      </c>
      <c r="M78" s="33" t="s">
        <v>201</v>
      </c>
      <c r="P78" s="33" t="s">
        <v>201</v>
      </c>
      <c r="S78" s="33" t="s">
        <v>201</v>
      </c>
      <c r="V78" s="33" t="s">
        <v>201</v>
      </c>
      <c r="Y78" s="33" t="s">
        <v>201</v>
      </c>
    </row>
    <row r="79" spans="1:25" hidden="1" x14ac:dyDescent="0.25">
      <c r="A79" s="33">
        <v>78</v>
      </c>
      <c r="B79" s="33" t="s">
        <v>203</v>
      </c>
      <c r="C79" s="33">
        <v>26</v>
      </c>
      <c r="D79" s="33">
        <v>86</v>
      </c>
      <c r="E79" s="33">
        <v>40</v>
      </c>
      <c r="F79" s="33">
        <v>46</v>
      </c>
      <c r="G79" s="33">
        <v>17600</v>
      </c>
      <c r="H79" s="36" t="s">
        <v>149</v>
      </c>
      <c r="I79" s="33">
        <v>1600</v>
      </c>
      <c r="J79" s="33">
        <v>0</v>
      </c>
      <c r="K79" s="36" t="s">
        <v>159</v>
      </c>
      <c r="L79" s="33">
        <v>13700</v>
      </c>
      <c r="M79" s="33">
        <v>1.9375</v>
      </c>
      <c r="N79" s="36" t="s">
        <v>155</v>
      </c>
      <c r="O79" s="33">
        <v>2300</v>
      </c>
      <c r="P79" s="33">
        <v>1.9375</v>
      </c>
      <c r="S79" s="33" t="s">
        <v>201</v>
      </c>
      <c r="V79" s="33" t="s">
        <v>201</v>
      </c>
      <c r="Y79" s="33" t="s">
        <v>201</v>
      </c>
    </row>
    <row r="80" spans="1:25" hidden="1" x14ac:dyDescent="0.25">
      <c r="A80" s="33">
        <v>79</v>
      </c>
      <c r="B80" s="33" t="s">
        <v>203</v>
      </c>
      <c r="C80" s="33">
        <v>26</v>
      </c>
      <c r="D80" s="33">
        <v>17</v>
      </c>
      <c r="E80" s="33">
        <v>0</v>
      </c>
      <c r="F80" s="33">
        <v>17</v>
      </c>
      <c r="G80" s="33">
        <v>15400</v>
      </c>
      <c r="H80" s="36" t="s">
        <v>149</v>
      </c>
      <c r="I80" s="36">
        <v>200</v>
      </c>
      <c r="J80" s="33">
        <v>0</v>
      </c>
      <c r="K80" s="36" t="s">
        <v>69</v>
      </c>
      <c r="L80" s="33">
        <v>15200</v>
      </c>
      <c r="M80" s="33">
        <v>4.5615199999999998</v>
      </c>
      <c r="P80" s="33" t="s">
        <v>201</v>
      </c>
      <c r="S80" s="33" t="s">
        <v>201</v>
      </c>
      <c r="V80" s="33" t="s">
        <v>201</v>
      </c>
      <c r="Y80" s="33" t="s">
        <v>201</v>
      </c>
    </row>
    <row r="81" spans="1:25" hidden="1" x14ac:dyDescent="0.25">
      <c r="A81" s="33">
        <v>80</v>
      </c>
      <c r="B81" s="33" t="s">
        <v>203</v>
      </c>
      <c r="C81" s="33">
        <v>26</v>
      </c>
      <c r="D81" s="33">
        <v>39.2727</v>
      </c>
      <c r="E81" s="33">
        <v>0</v>
      </c>
      <c r="F81" s="33">
        <v>39.2727</v>
      </c>
      <c r="G81" s="33">
        <v>14400</v>
      </c>
      <c r="H81" s="36" t="s">
        <v>154</v>
      </c>
      <c r="I81" s="33">
        <v>14400</v>
      </c>
      <c r="J81" s="33">
        <v>0</v>
      </c>
      <c r="M81" s="33" t="s">
        <v>201</v>
      </c>
      <c r="P81" s="33" t="s">
        <v>201</v>
      </c>
      <c r="S81" s="33" t="s">
        <v>201</v>
      </c>
      <c r="V81" s="33" t="s">
        <v>201</v>
      </c>
      <c r="Y81" s="33" t="s">
        <v>201</v>
      </c>
    </row>
    <row r="82" spans="1:25" hidden="1" x14ac:dyDescent="0.25">
      <c r="A82" s="33">
        <v>81</v>
      </c>
      <c r="B82" s="33" t="s">
        <v>203</v>
      </c>
      <c r="C82" s="33">
        <v>27</v>
      </c>
      <c r="D82" s="33">
        <v>44</v>
      </c>
      <c r="E82" s="33">
        <v>0</v>
      </c>
      <c r="F82" s="33">
        <v>44</v>
      </c>
      <c r="G82" s="33">
        <v>13400</v>
      </c>
      <c r="H82" s="36" t="s">
        <v>153</v>
      </c>
      <c r="I82" s="33">
        <v>13400</v>
      </c>
      <c r="J82" s="33">
        <v>0</v>
      </c>
      <c r="M82" s="33" t="s">
        <v>201</v>
      </c>
      <c r="P82" s="33" t="s">
        <v>201</v>
      </c>
      <c r="S82" s="33" t="s">
        <v>201</v>
      </c>
      <c r="V82" s="33" t="s">
        <v>201</v>
      </c>
      <c r="Y82" s="33" t="s">
        <v>201</v>
      </c>
    </row>
    <row r="83" spans="1:25" hidden="1" x14ac:dyDescent="0.25">
      <c r="A83" s="33">
        <v>82</v>
      </c>
      <c r="B83" s="33" t="s">
        <v>203</v>
      </c>
      <c r="C83" s="33">
        <v>27</v>
      </c>
      <c r="D83" s="33">
        <v>23</v>
      </c>
      <c r="E83" s="33">
        <v>0</v>
      </c>
      <c r="F83" s="33">
        <v>23</v>
      </c>
      <c r="G83" s="33">
        <v>18200</v>
      </c>
      <c r="H83" s="36" t="s">
        <v>149</v>
      </c>
      <c r="I83" s="36">
        <v>200</v>
      </c>
      <c r="J83" s="33">
        <v>0</v>
      </c>
      <c r="K83" s="36" t="s">
        <v>69</v>
      </c>
      <c r="L83" s="33">
        <v>18000</v>
      </c>
      <c r="M83" s="33">
        <v>5.4017999999999997</v>
      </c>
      <c r="P83" s="33" t="s">
        <v>201</v>
      </c>
      <c r="S83" s="33" t="s">
        <v>201</v>
      </c>
      <c r="V83" s="33" t="s">
        <v>201</v>
      </c>
      <c r="Y83" s="33" t="s">
        <v>201</v>
      </c>
    </row>
    <row r="84" spans="1:25" hidden="1" x14ac:dyDescent="0.25">
      <c r="A84" s="33">
        <v>83</v>
      </c>
      <c r="B84" s="33" t="s">
        <v>203</v>
      </c>
      <c r="C84" s="33">
        <v>27</v>
      </c>
      <c r="D84" s="33">
        <v>36.545499999999997</v>
      </c>
      <c r="E84" s="33">
        <v>0</v>
      </c>
      <c r="F84" s="33">
        <v>36.545499999999997</v>
      </c>
      <c r="G84" s="33">
        <v>13400</v>
      </c>
      <c r="H84" s="36" t="s">
        <v>154</v>
      </c>
      <c r="I84" s="33">
        <v>13400</v>
      </c>
      <c r="J84" s="33">
        <v>0</v>
      </c>
      <c r="M84" s="33" t="s">
        <v>201</v>
      </c>
      <c r="P84" s="33" t="s">
        <v>201</v>
      </c>
      <c r="S84" s="33" t="s">
        <v>201</v>
      </c>
      <c r="V84" s="33" t="s">
        <v>201</v>
      </c>
      <c r="Y84" s="33" t="s">
        <v>201</v>
      </c>
    </row>
    <row r="85" spans="1:25" hidden="1" x14ac:dyDescent="0.25">
      <c r="A85" s="33">
        <v>84</v>
      </c>
      <c r="B85" s="33" t="s">
        <v>203</v>
      </c>
      <c r="C85" s="33">
        <v>28</v>
      </c>
      <c r="D85" s="33">
        <v>46</v>
      </c>
      <c r="E85" s="33">
        <v>0</v>
      </c>
      <c r="F85" s="33">
        <v>46</v>
      </c>
      <c r="G85" s="33">
        <v>13100</v>
      </c>
      <c r="H85" s="36" t="s">
        <v>153</v>
      </c>
      <c r="I85" s="33">
        <v>13100</v>
      </c>
      <c r="J85" s="33">
        <v>0</v>
      </c>
      <c r="M85" s="33" t="s">
        <v>201</v>
      </c>
      <c r="P85" s="33" t="s">
        <v>201</v>
      </c>
      <c r="S85" s="33" t="s">
        <v>201</v>
      </c>
      <c r="V85" s="33" t="s">
        <v>201</v>
      </c>
      <c r="Y85" s="33" t="s">
        <v>201</v>
      </c>
    </row>
    <row r="86" spans="1:25" hidden="1" x14ac:dyDescent="0.25">
      <c r="A86" s="33">
        <v>85</v>
      </c>
      <c r="B86" s="33" t="s">
        <v>203</v>
      </c>
      <c r="C86" s="33">
        <v>28</v>
      </c>
      <c r="D86" s="33">
        <v>107</v>
      </c>
      <c r="E86" s="33">
        <v>15</v>
      </c>
      <c r="F86" s="33">
        <v>92</v>
      </c>
      <c r="G86" s="33">
        <v>26340</v>
      </c>
      <c r="H86" s="36" t="s">
        <v>149</v>
      </c>
      <c r="I86" s="33">
        <v>300</v>
      </c>
      <c r="J86" s="33">
        <v>0</v>
      </c>
      <c r="K86" s="36" t="s">
        <v>155</v>
      </c>
      <c r="L86" s="33">
        <v>12900</v>
      </c>
      <c r="M86" s="33">
        <v>1.9375</v>
      </c>
      <c r="N86" s="36" t="s">
        <v>159</v>
      </c>
      <c r="O86" s="33">
        <v>8400</v>
      </c>
      <c r="P86" s="33">
        <v>1.9375</v>
      </c>
      <c r="Q86" s="33" t="s">
        <v>155</v>
      </c>
      <c r="R86" s="33">
        <v>4740</v>
      </c>
      <c r="S86" s="33">
        <v>1.9375</v>
      </c>
      <c r="V86" s="33" t="s">
        <v>201</v>
      </c>
      <c r="Y86" s="33" t="s">
        <v>201</v>
      </c>
    </row>
    <row r="87" spans="1:25" hidden="1" x14ac:dyDescent="0.25">
      <c r="A87" s="33">
        <v>86</v>
      </c>
      <c r="B87" s="33" t="s">
        <v>203</v>
      </c>
      <c r="C87" s="33">
        <v>28</v>
      </c>
      <c r="D87" s="33">
        <v>37</v>
      </c>
      <c r="E87" s="33">
        <v>0</v>
      </c>
      <c r="F87" s="33">
        <v>37</v>
      </c>
      <c r="G87" s="33">
        <v>18000</v>
      </c>
      <c r="H87" s="36" t="s">
        <v>149</v>
      </c>
      <c r="I87" s="33">
        <v>400</v>
      </c>
      <c r="J87" s="33">
        <v>0</v>
      </c>
      <c r="K87" s="36" t="s">
        <v>69</v>
      </c>
      <c r="L87" s="33">
        <v>17600</v>
      </c>
      <c r="M87" s="33">
        <v>5.2817600000000002</v>
      </c>
      <c r="P87" s="33" t="s">
        <v>201</v>
      </c>
      <c r="S87" s="33" t="s">
        <v>201</v>
      </c>
      <c r="V87" s="33" t="s">
        <v>201</v>
      </c>
      <c r="Y87" s="33" t="s">
        <v>201</v>
      </c>
    </row>
    <row r="88" spans="1:25" hidden="1" x14ac:dyDescent="0.25">
      <c r="A88" s="33">
        <v>87</v>
      </c>
      <c r="B88" s="33" t="s">
        <v>203</v>
      </c>
      <c r="C88" s="33">
        <v>28</v>
      </c>
      <c r="D88" s="33">
        <v>35.7273</v>
      </c>
      <c r="E88" s="33">
        <v>0</v>
      </c>
      <c r="F88" s="33">
        <v>35.7273</v>
      </c>
      <c r="G88" s="33">
        <v>13100</v>
      </c>
      <c r="H88" s="36" t="s">
        <v>154</v>
      </c>
      <c r="I88" s="33">
        <v>13100</v>
      </c>
      <c r="J88" s="33">
        <v>0</v>
      </c>
      <c r="M88" s="33" t="s">
        <v>201</v>
      </c>
      <c r="P88" s="33" t="s">
        <v>201</v>
      </c>
      <c r="S88" s="33" t="s">
        <v>201</v>
      </c>
      <c r="V88" s="33" t="s">
        <v>201</v>
      </c>
      <c r="Y88" s="33" t="s">
        <v>201</v>
      </c>
    </row>
    <row r="89" spans="1:25" hidden="1" x14ac:dyDescent="0.25">
      <c r="A89" s="33">
        <v>88</v>
      </c>
      <c r="B89" s="33" t="s">
        <v>203</v>
      </c>
      <c r="C89" s="33">
        <v>29</v>
      </c>
      <c r="D89" s="33">
        <v>56</v>
      </c>
      <c r="E89" s="33">
        <v>0</v>
      </c>
      <c r="F89" s="33">
        <v>56</v>
      </c>
      <c r="G89" s="33">
        <v>16900</v>
      </c>
      <c r="H89" s="36" t="s">
        <v>153</v>
      </c>
      <c r="I89" s="33">
        <v>16900</v>
      </c>
      <c r="J89" s="33">
        <v>0</v>
      </c>
      <c r="M89" s="33" t="s">
        <v>201</v>
      </c>
      <c r="P89" s="33" t="s">
        <v>201</v>
      </c>
      <c r="S89" s="33" t="s">
        <v>201</v>
      </c>
      <c r="V89" s="33" t="s">
        <v>201</v>
      </c>
      <c r="Y89" s="33" t="s">
        <v>201</v>
      </c>
    </row>
    <row r="90" spans="1:25" hidden="1" x14ac:dyDescent="0.25">
      <c r="A90" s="33">
        <v>89</v>
      </c>
      <c r="B90" s="33" t="s">
        <v>203</v>
      </c>
      <c r="C90" s="33">
        <v>29</v>
      </c>
      <c r="D90" s="33">
        <v>88</v>
      </c>
      <c r="E90" s="33">
        <v>8</v>
      </c>
      <c r="F90" s="33">
        <v>80</v>
      </c>
      <c r="G90" s="33">
        <v>22080</v>
      </c>
      <c r="H90" s="36" t="s">
        <v>149</v>
      </c>
      <c r="I90" s="33">
        <v>1150</v>
      </c>
      <c r="J90" s="33">
        <v>0</v>
      </c>
      <c r="K90" s="36" t="s">
        <v>155</v>
      </c>
      <c r="L90" s="33">
        <v>9770</v>
      </c>
      <c r="M90" s="33">
        <v>1.9375</v>
      </c>
      <c r="N90" s="36" t="s">
        <v>159</v>
      </c>
      <c r="O90" s="33">
        <v>11160</v>
      </c>
      <c r="P90" s="33">
        <v>1.9375</v>
      </c>
      <c r="S90" s="33" t="s">
        <v>201</v>
      </c>
      <c r="V90" s="33" t="s">
        <v>201</v>
      </c>
      <c r="Y90" s="33" t="s">
        <v>201</v>
      </c>
    </row>
    <row r="91" spans="1:25" hidden="1" x14ac:dyDescent="0.25">
      <c r="A91" s="33">
        <v>90</v>
      </c>
      <c r="B91" s="33" t="s">
        <v>203</v>
      </c>
      <c r="C91" s="33">
        <v>29</v>
      </c>
      <c r="D91" s="33">
        <v>32</v>
      </c>
      <c r="E91" s="33">
        <v>0</v>
      </c>
      <c r="F91" s="33">
        <v>32</v>
      </c>
      <c r="G91" s="33">
        <v>15500</v>
      </c>
      <c r="H91" s="36" t="s">
        <v>149</v>
      </c>
      <c r="I91" s="33">
        <v>400</v>
      </c>
      <c r="J91" s="33">
        <v>0</v>
      </c>
      <c r="K91" s="36" t="s">
        <v>69</v>
      </c>
      <c r="L91" s="33">
        <v>15100</v>
      </c>
      <c r="M91" s="33">
        <v>4.5315099999999999</v>
      </c>
      <c r="P91" s="33" t="s">
        <v>201</v>
      </c>
      <c r="S91" s="33" t="s">
        <v>201</v>
      </c>
      <c r="V91" s="33" t="s">
        <v>201</v>
      </c>
      <c r="Y91" s="33" t="s">
        <v>201</v>
      </c>
    </row>
    <row r="92" spans="1:25" hidden="1" x14ac:dyDescent="0.25">
      <c r="A92" s="33">
        <v>91</v>
      </c>
      <c r="B92" s="33" t="s">
        <v>203</v>
      </c>
      <c r="C92" s="33">
        <v>29</v>
      </c>
      <c r="D92" s="33">
        <v>46.090899999999998</v>
      </c>
      <c r="E92" s="33">
        <v>0</v>
      </c>
      <c r="F92" s="33">
        <v>46.090899999999998</v>
      </c>
      <c r="G92" s="33">
        <v>16900</v>
      </c>
      <c r="H92" s="36" t="s">
        <v>154</v>
      </c>
      <c r="I92" s="33">
        <v>16900</v>
      </c>
      <c r="J92" s="33">
        <v>0</v>
      </c>
      <c r="M92" s="33" t="s">
        <v>201</v>
      </c>
      <c r="P92" s="33" t="s">
        <v>201</v>
      </c>
      <c r="S92" s="33" t="s">
        <v>201</v>
      </c>
      <c r="V92" s="33" t="s">
        <v>201</v>
      </c>
      <c r="Y92" s="33" t="s">
        <v>201</v>
      </c>
    </row>
    <row r="93" spans="1:25" hidden="1" x14ac:dyDescent="0.25">
      <c r="A93" s="33">
        <v>92</v>
      </c>
      <c r="B93" s="33" t="s">
        <v>203</v>
      </c>
      <c r="C93" s="33">
        <v>30</v>
      </c>
      <c r="D93" s="33">
        <v>46</v>
      </c>
      <c r="E93" s="33">
        <v>0</v>
      </c>
      <c r="F93" s="33">
        <v>46</v>
      </c>
      <c r="G93" s="33">
        <v>14300</v>
      </c>
      <c r="H93" s="36" t="s">
        <v>153</v>
      </c>
      <c r="I93" s="33">
        <v>14300</v>
      </c>
      <c r="J93" s="33">
        <v>0</v>
      </c>
      <c r="M93" s="33" t="s">
        <v>201</v>
      </c>
      <c r="P93" s="33" t="s">
        <v>201</v>
      </c>
      <c r="S93" s="33" t="s">
        <v>201</v>
      </c>
      <c r="V93" s="33" t="s">
        <v>201</v>
      </c>
      <c r="Y93" s="33" t="s">
        <v>201</v>
      </c>
    </row>
    <row r="94" spans="1:25" hidden="1" x14ac:dyDescent="0.25">
      <c r="A94" s="33">
        <v>93</v>
      </c>
      <c r="B94" s="33" t="s">
        <v>203</v>
      </c>
      <c r="C94" s="33">
        <v>30</v>
      </c>
      <c r="D94" s="33">
        <v>54</v>
      </c>
      <c r="E94" s="33">
        <v>4</v>
      </c>
      <c r="F94" s="33">
        <v>50</v>
      </c>
      <c r="G94" s="33">
        <v>15800</v>
      </c>
      <c r="H94" s="36" t="s">
        <v>149</v>
      </c>
      <c r="I94" s="33">
        <v>2300</v>
      </c>
      <c r="J94" s="33">
        <v>0</v>
      </c>
      <c r="K94" s="36" t="s">
        <v>159</v>
      </c>
      <c r="L94" s="33">
        <v>13500</v>
      </c>
      <c r="M94" s="33">
        <v>1.9375</v>
      </c>
      <c r="P94" s="33" t="s">
        <v>201</v>
      </c>
      <c r="S94" s="33" t="s">
        <v>201</v>
      </c>
      <c r="V94" s="33" t="s">
        <v>201</v>
      </c>
      <c r="Y94" s="33" t="s">
        <v>201</v>
      </c>
    </row>
    <row r="95" spans="1:25" hidden="1" x14ac:dyDescent="0.25">
      <c r="A95" s="33">
        <v>94</v>
      </c>
      <c r="B95" s="33" t="s">
        <v>203</v>
      </c>
      <c r="C95" s="33">
        <v>30</v>
      </c>
      <c r="D95" s="33">
        <v>37</v>
      </c>
      <c r="E95" s="33">
        <v>0</v>
      </c>
      <c r="F95" s="33">
        <v>37</v>
      </c>
      <c r="G95" s="33">
        <v>13400</v>
      </c>
      <c r="H95" s="36" t="s">
        <v>149</v>
      </c>
      <c r="I95" s="33">
        <v>300</v>
      </c>
      <c r="J95" s="33">
        <v>0</v>
      </c>
      <c r="K95" s="36" t="s">
        <v>69</v>
      </c>
      <c r="L95" s="33">
        <v>13100</v>
      </c>
      <c r="M95" s="33">
        <v>3.9313099999999994</v>
      </c>
      <c r="P95" s="33" t="s">
        <v>201</v>
      </c>
      <c r="S95" s="33" t="s">
        <v>201</v>
      </c>
      <c r="V95" s="33" t="s">
        <v>201</v>
      </c>
      <c r="Y95" s="33" t="s">
        <v>201</v>
      </c>
    </row>
    <row r="96" spans="1:25" hidden="1" x14ac:dyDescent="0.25">
      <c r="A96" s="33">
        <v>95</v>
      </c>
      <c r="B96" s="33" t="s">
        <v>203</v>
      </c>
      <c r="C96" s="33">
        <v>30</v>
      </c>
      <c r="D96" s="33">
        <v>39</v>
      </c>
      <c r="E96" s="33">
        <v>0</v>
      </c>
      <c r="F96" s="33">
        <v>39</v>
      </c>
      <c r="G96" s="33">
        <v>14300</v>
      </c>
      <c r="H96" s="36" t="s">
        <v>154</v>
      </c>
      <c r="I96" s="33">
        <v>14300</v>
      </c>
      <c r="J96" s="33">
        <v>0</v>
      </c>
      <c r="M96" s="33" t="s">
        <v>201</v>
      </c>
      <c r="P96" s="33" t="s">
        <v>201</v>
      </c>
      <c r="S96" s="33" t="s">
        <v>201</v>
      </c>
      <c r="V96" s="33" t="s">
        <v>201</v>
      </c>
      <c r="Y96" s="33" t="s">
        <v>201</v>
      </c>
    </row>
    <row r="97" spans="1:25" hidden="1" x14ac:dyDescent="0.25">
      <c r="A97" s="33">
        <v>96</v>
      </c>
      <c r="B97" s="33" t="s">
        <v>203</v>
      </c>
      <c r="C97" s="33">
        <v>31</v>
      </c>
      <c r="D97" s="33">
        <v>45</v>
      </c>
      <c r="E97" s="33">
        <v>0</v>
      </c>
      <c r="F97" s="33">
        <v>45</v>
      </c>
      <c r="G97" s="33">
        <v>14600</v>
      </c>
      <c r="H97" s="36" t="s">
        <v>153</v>
      </c>
      <c r="I97" s="33">
        <v>14600</v>
      </c>
      <c r="J97" s="33">
        <v>0</v>
      </c>
      <c r="M97" s="33" t="s">
        <v>201</v>
      </c>
      <c r="P97" s="33" t="s">
        <v>201</v>
      </c>
      <c r="S97" s="33" t="s">
        <v>201</v>
      </c>
      <c r="V97" s="33" t="s">
        <v>201</v>
      </c>
      <c r="Y97" s="33" t="s">
        <v>201</v>
      </c>
    </row>
    <row r="98" spans="1:25" hidden="1" x14ac:dyDescent="0.25">
      <c r="A98" s="33">
        <v>97</v>
      </c>
      <c r="B98" s="33" t="s">
        <v>203</v>
      </c>
      <c r="C98" s="33">
        <v>31</v>
      </c>
      <c r="D98" s="33">
        <v>83</v>
      </c>
      <c r="E98" s="33">
        <v>39</v>
      </c>
      <c r="F98" s="33">
        <v>44</v>
      </c>
      <c r="G98" s="33">
        <v>16720</v>
      </c>
      <c r="H98" s="36" t="s">
        <v>149</v>
      </c>
      <c r="I98" s="33">
        <v>2550</v>
      </c>
      <c r="J98" s="33">
        <v>0</v>
      </c>
      <c r="K98" s="36" t="s">
        <v>159</v>
      </c>
      <c r="L98" s="33">
        <v>14170</v>
      </c>
      <c r="M98" s="33">
        <v>1.9375</v>
      </c>
      <c r="P98" s="33" t="s">
        <v>201</v>
      </c>
      <c r="S98" s="33" t="s">
        <v>201</v>
      </c>
      <c r="V98" s="33" t="s">
        <v>201</v>
      </c>
      <c r="Y98" s="33" t="s">
        <v>201</v>
      </c>
    </row>
    <row r="99" spans="1:25" hidden="1" x14ac:dyDescent="0.25">
      <c r="A99" s="33">
        <v>98</v>
      </c>
      <c r="B99" s="33" t="s">
        <v>203</v>
      </c>
      <c r="C99" s="33">
        <v>31</v>
      </c>
      <c r="D99" s="33">
        <v>21</v>
      </c>
      <c r="E99" s="33">
        <v>0</v>
      </c>
      <c r="F99" s="33">
        <v>21</v>
      </c>
      <c r="G99" s="33">
        <v>16400</v>
      </c>
      <c r="H99" s="36" t="s">
        <v>149</v>
      </c>
      <c r="I99" s="33">
        <v>100</v>
      </c>
      <c r="J99" s="33">
        <v>0</v>
      </c>
      <c r="K99" s="36" t="s">
        <v>69</v>
      </c>
      <c r="L99" s="33">
        <v>16300</v>
      </c>
      <c r="M99" s="33">
        <v>4.8916300000000001</v>
      </c>
      <c r="P99" s="33" t="s">
        <v>201</v>
      </c>
      <c r="S99" s="33" t="s">
        <v>201</v>
      </c>
      <c r="V99" s="33" t="s">
        <v>201</v>
      </c>
      <c r="Y99" s="33" t="s">
        <v>201</v>
      </c>
    </row>
    <row r="100" spans="1:25" hidden="1" x14ac:dyDescent="0.25">
      <c r="A100" s="33">
        <v>99</v>
      </c>
      <c r="B100" s="33" t="s">
        <v>203</v>
      </c>
      <c r="C100" s="33">
        <v>31</v>
      </c>
      <c r="D100" s="33">
        <v>39.818199999999997</v>
      </c>
      <c r="E100" s="33">
        <v>0</v>
      </c>
      <c r="F100" s="33">
        <v>39.818199999999997</v>
      </c>
      <c r="G100" s="33">
        <v>14600</v>
      </c>
      <c r="H100" s="36" t="s">
        <v>154</v>
      </c>
      <c r="I100" s="33">
        <v>14600</v>
      </c>
      <c r="J100" s="33">
        <v>0</v>
      </c>
      <c r="M100" s="33" t="s">
        <v>201</v>
      </c>
      <c r="P100" s="33" t="s">
        <v>201</v>
      </c>
      <c r="S100" s="33" t="s">
        <v>201</v>
      </c>
      <c r="V100" s="33" t="s">
        <v>201</v>
      </c>
      <c r="Y100" s="33" t="s">
        <v>201</v>
      </c>
    </row>
    <row r="101" spans="1:25" hidden="1" x14ac:dyDescent="0.25">
      <c r="A101" s="33">
        <v>100</v>
      </c>
      <c r="B101" s="33" t="s">
        <v>203</v>
      </c>
      <c r="C101" s="33">
        <v>32</v>
      </c>
      <c r="D101" s="33">
        <v>55</v>
      </c>
      <c r="E101" s="33">
        <v>0</v>
      </c>
      <c r="F101" s="33">
        <v>55</v>
      </c>
      <c r="G101" s="33">
        <v>14800</v>
      </c>
      <c r="H101" s="36" t="s">
        <v>153</v>
      </c>
      <c r="I101" s="33">
        <v>14800</v>
      </c>
      <c r="J101" s="33">
        <v>0</v>
      </c>
      <c r="M101" s="33" t="s">
        <v>201</v>
      </c>
      <c r="P101" s="33" t="s">
        <v>201</v>
      </c>
      <c r="S101" s="33" t="s">
        <v>201</v>
      </c>
      <c r="V101" s="33" t="s">
        <v>201</v>
      </c>
      <c r="Y101" s="33" t="s">
        <v>201</v>
      </c>
    </row>
    <row r="102" spans="1:25" hidden="1" x14ac:dyDescent="0.25">
      <c r="A102" s="33">
        <v>101</v>
      </c>
      <c r="B102" s="33" t="s">
        <v>203</v>
      </c>
      <c r="C102" s="33">
        <v>32</v>
      </c>
      <c r="D102" s="33">
        <v>57</v>
      </c>
      <c r="E102" s="33">
        <v>13</v>
      </c>
      <c r="F102" s="33">
        <v>44</v>
      </c>
      <c r="G102" s="33">
        <v>20300</v>
      </c>
      <c r="H102" s="36" t="s">
        <v>149</v>
      </c>
      <c r="I102" s="33">
        <v>280</v>
      </c>
      <c r="J102" s="33">
        <v>0</v>
      </c>
      <c r="K102" s="36" t="s">
        <v>156</v>
      </c>
      <c r="L102" s="33">
        <v>1310</v>
      </c>
      <c r="M102" s="33">
        <v>1.9375</v>
      </c>
      <c r="N102" s="36" t="s">
        <v>159</v>
      </c>
      <c r="O102" s="33">
        <v>16710</v>
      </c>
      <c r="P102" s="33">
        <v>1.9375</v>
      </c>
      <c r="Q102" s="33" t="s">
        <v>155</v>
      </c>
      <c r="R102" s="33">
        <v>2000</v>
      </c>
      <c r="S102" s="33">
        <v>1.9375</v>
      </c>
      <c r="V102" s="33" t="s">
        <v>201</v>
      </c>
      <c r="Y102" s="33" t="s">
        <v>201</v>
      </c>
    </row>
    <row r="103" spans="1:25" hidden="1" x14ac:dyDescent="0.25">
      <c r="A103" s="33">
        <v>102</v>
      </c>
      <c r="B103" s="33" t="s">
        <v>203</v>
      </c>
      <c r="C103" s="33">
        <v>32</v>
      </c>
      <c r="D103" s="33">
        <v>32</v>
      </c>
      <c r="E103" s="33">
        <v>0</v>
      </c>
      <c r="F103" s="33">
        <v>32</v>
      </c>
      <c r="G103" s="33">
        <v>20600</v>
      </c>
      <c r="H103" s="36" t="s">
        <v>149</v>
      </c>
      <c r="I103" s="33">
        <v>400</v>
      </c>
      <c r="J103" s="33">
        <v>0</v>
      </c>
      <c r="K103" s="36" t="s">
        <v>69</v>
      </c>
      <c r="L103" s="33">
        <v>20200</v>
      </c>
      <c r="M103" s="33">
        <v>6.0620199999999995</v>
      </c>
      <c r="P103" s="33" t="s">
        <v>201</v>
      </c>
      <c r="S103" s="33" t="s">
        <v>201</v>
      </c>
      <c r="V103" s="33" t="s">
        <v>201</v>
      </c>
      <c r="Y103" s="33" t="s">
        <v>201</v>
      </c>
    </row>
    <row r="104" spans="1:25" hidden="1" x14ac:dyDescent="0.25">
      <c r="A104" s="33">
        <v>103</v>
      </c>
      <c r="B104" s="33" t="s">
        <v>203</v>
      </c>
      <c r="C104" s="33">
        <v>32</v>
      </c>
      <c r="D104" s="33">
        <v>40.363599999999998</v>
      </c>
      <c r="E104" s="33">
        <v>0</v>
      </c>
      <c r="F104" s="33">
        <v>40.363599999999998</v>
      </c>
      <c r="G104" s="33">
        <v>14800</v>
      </c>
      <c r="H104" s="36" t="s">
        <v>154</v>
      </c>
      <c r="I104" s="33">
        <v>14800</v>
      </c>
      <c r="J104" s="33">
        <v>0</v>
      </c>
      <c r="M104" s="33" t="s">
        <v>201</v>
      </c>
      <c r="P104" s="33" t="s">
        <v>201</v>
      </c>
      <c r="S104" s="33" t="s">
        <v>201</v>
      </c>
      <c r="V104" s="33" t="s">
        <v>201</v>
      </c>
      <c r="Y104" s="33" t="s">
        <v>201</v>
      </c>
    </row>
    <row r="105" spans="1:25" hidden="1" x14ac:dyDescent="0.25">
      <c r="A105" s="33">
        <v>104</v>
      </c>
      <c r="B105" s="33" t="s">
        <v>202</v>
      </c>
      <c r="C105" s="33">
        <v>33</v>
      </c>
      <c r="D105" s="33">
        <v>122</v>
      </c>
      <c r="E105" s="33">
        <v>0</v>
      </c>
      <c r="F105" s="33">
        <v>122</v>
      </c>
      <c r="G105" s="33">
        <v>126300</v>
      </c>
      <c r="H105" s="36" t="s">
        <v>149</v>
      </c>
      <c r="I105" s="33">
        <v>300</v>
      </c>
      <c r="J105" s="33">
        <v>0</v>
      </c>
      <c r="K105" s="36" t="s">
        <v>69</v>
      </c>
      <c r="L105" s="33">
        <v>126000</v>
      </c>
      <c r="M105" s="33">
        <v>37.812599999999996</v>
      </c>
      <c r="P105" s="33" t="s">
        <v>201</v>
      </c>
      <c r="S105" s="33" t="s">
        <v>201</v>
      </c>
      <c r="V105" s="33" t="s">
        <v>201</v>
      </c>
      <c r="Y105" s="33" t="s">
        <v>201</v>
      </c>
    </row>
    <row r="106" spans="1:25" hidden="1" x14ac:dyDescent="0.25">
      <c r="A106" s="33">
        <v>105</v>
      </c>
      <c r="B106" s="33" t="s">
        <v>202</v>
      </c>
      <c r="C106" s="33">
        <v>33</v>
      </c>
      <c r="D106" s="33">
        <v>218</v>
      </c>
      <c r="E106" s="33">
        <v>26</v>
      </c>
      <c r="F106" s="33">
        <v>192</v>
      </c>
      <c r="G106" s="33">
        <v>166950</v>
      </c>
      <c r="H106" s="36" t="s">
        <v>149</v>
      </c>
      <c r="I106" s="33">
        <v>1850</v>
      </c>
      <c r="J106" s="33">
        <v>0</v>
      </c>
      <c r="K106" s="36" t="s">
        <v>155</v>
      </c>
      <c r="L106" s="33">
        <v>17550</v>
      </c>
      <c r="M106" s="33">
        <v>1.9375</v>
      </c>
      <c r="N106" s="36" t="s">
        <v>159</v>
      </c>
      <c r="O106" s="33">
        <v>140550</v>
      </c>
      <c r="P106" s="33">
        <v>1.9375</v>
      </c>
      <c r="Q106" s="33" t="s">
        <v>156</v>
      </c>
      <c r="R106" s="33">
        <v>7000</v>
      </c>
      <c r="S106" s="33">
        <v>1.9375</v>
      </c>
      <c r="V106" s="33" t="s">
        <v>201</v>
      </c>
      <c r="Y106" s="33" t="s">
        <v>201</v>
      </c>
    </row>
    <row r="107" spans="1:25" hidden="1" x14ac:dyDescent="0.25">
      <c r="A107" s="33">
        <v>106</v>
      </c>
      <c r="B107" s="33" t="s">
        <v>202</v>
      </c>
      <c r="C107" s="33">
        <v>34</v>
      </c>
      <c r="D107" s="33">
        <v>130</v>
      </c>
      <c r="E107" s="33">
        <v>0</v>
      </c>
      <c r="F107" s="33">
        <v>130</v>
      </c>
      <c r="G107" s="33">
        <v>143300</v>
      </c>
      <c r="H107" s="36" t="s">
        <v>149</v>
      </c>
      <c r="I107" s="33">
        <v>300</v>
      </c>
      <c r="J107" s="33">
        <v>0</v>
      </c>
      <c r="K107" s="36" t="s">
        <v>69</v>
      </c>
      <c r="L107" s="36">
        <v>143000</v>
      </c>
      <c r="M107" s="33">
        <v>42.914299999999997</v>
      </c>
      <c r="P107" s="33" t="s">
        <v>201</v>
      </c>
      <c r="S107" s="33" t="s">
        <v>201</v>
      </c>
      <c r="V107" s="33" t="s">
        <v>201</v>
      </c>
      <c r="Y107" s="33" t="s">
        <v>201</v>
      </c>
    </row>
    <row r="108" spans="1:25" hidden="1" x14ac:dyDescent="0.25">
      <c r="A108" s="33">
        <v>107</v>
      </c>
      <c r="B108" s="33" t="s">
        <v>202</v>
      </c>
      <c r="C108" s="33">
        <v>34</v>
      </c>
      <c r="D108" s="33">
        <v>171</v>
      </c>
      <c r="E108" s="33">
        <v>52</v>
      </c>
      <c r="F108" s="33">
        <v>119</v>
      </c>
      <c r="G108" s="33">
        <v>144910</v>
      </c>
      <c r="H108" s="36" t="s">
        <v>149</v>
      </c>
      <c r="I108" s="33">
        <v>1800</v>
      </c>
      <c r="J108" s="33">
        <v>0</v>
      </c>
      <c r="K108" s="36" t="s">
        <v>159</v>
      </c>
      <c r="L108" s="33">
        <v>1770</v>
      </c>
      <c r="M108" s="33">
        <v>1.9375</v>
      </c>
      <c r="N108" s="36" t="s">
        <v>160</v>
      </c>
      <c r="O108" s="33">
        <v>141340</v>
      </c>
      <c r="P108" s="33">
        <v>25.441199999999998</v>
      </c>
      <c r="S108" s="33" t="s">
        <v>201</v>
      </c>
      <c r="V108" s="33" t="s">
        <v>201</v>
      </c>
      <c r="Y108" s="33" t="s">
        <v>201</v>
      </c>
    </row>
    <row r="109" spans="1:25" hidden="1" x14ac:dyDescent="0.25">
      <c r="A109" s="33">
        <v>108</v>
      </c>
      <c r="B109" s="33" t="s">
        <v>202</v>
      </c>
      <c r="C109" s="33">
        <v>35</v>
      </c>
      <c r="D109" s="33">
        <v>143</v>
      </c>
      <c r="E109" s="33">
        <v>0</v>
      </c>
      <c r="F109" s="33">
        <v>143</v>
      </c>
      <c r="G109" s="33">
        <v>144300</v>
      </c>
      <c r="H109" s="36" t="s">
        <v>149</v>
      </c>
      <c r="I109" s="33">
        <v>300</v>
      </c>
      <c r="J109" s="33">
        <v>0</v>
      </c>
      <c r="K109" s="36" t="s">
        <v>69</v>
      </c>
      <c r="L109" s="33">
        <v>144000</v>
      </c>
      <c r="M109" s="33">
        <v>43.214399999999998</v>
      </c>
      <c r="P109" s="33" t="s">
        <v>201</v>
      </c>
      <c r="S109" s="33" t="s">
        <v>201</v>
      </c>
      <c r="V109" s="33" t="s">
        <v>201</v>
      </c>
      <c r="Y109" s="33" t="s">
        <v>201</v>
      </c>
    </row>
    <row r="110" spans="1:25" hidden="1" x14ac:dyDescent="0.25">
      <c r="A110" s="33">
        <v>109</v>
      </c>
      <c r="B110" s="33" t="s">
        <v>202</v>
      </c>
      <c r="C110" s="33">
        <v>35</v>
      </c>
      <c r="D110" s="33">
        <v>143</v>
      </c>
      <c r="E110" s="33">
        <v>13</v>
      </c>
      <c r="F110" s="33">
        <v>130</v>
      </c>
      <c r="G110" s="33">
        <v>196500</v>
      </c>
      <c r="H110" s="36" t="s">
        <v>149</v>
      </c>
      <c r="I110" s="33">
        <v>2500</v>
      </c>
      <c r="J110" s="33">
        <v>0</v>
      </c>
      <c r="K110" s="36" t="s">
        <v>160</v>
      </c>
      <c r="L110" s="33">
        <v>139000</v>
      </c>
      <c r="M110" s="33">
        <v>25.02</v>
      </c>
      <c r="N110" s="36" t="s">
        <v>159</v>
      </c>
      <c r="O110" s="33">
        <v>55000</v>
      </c>
      <c r="P110" s="33">
        <v>1.9375</v>
      </c>
      <c r="S110" s="33" t="s">
        <v>201</v>
      </c>
      <c r="V110" s="33" t="s">
        <v>201</v>
      </c>
      <c r="Y110" s="33" t="s">
        <v>201</v>
      </c>
    </row>
    <row r="111" spans="1:25" hidden="1" x14ac:dyDescent="0.25">
      <c r="A111" s="33">
        <v>110</v>
      </c>
      <c r="B111" s="33" t="s">
        <v>202</v>
      </c>
      <c r="C111" s="33">
        <v>36</v>
      </c>
      <c r="D111" s="33">
        <v>183</v>
      </c>
      <c r="E111" s="33">
        <v>0</v>
      </c>
      <c r="F111" s="33">
        <v>183</v>
      </c>
      <c r="G111" s="33">
        <v>197300</v>
      </c>
      <c r="H111" s="36" t="s">
        <v>149</v>
      </c>
      <c r="I111" s="33">
        <v>300</v>
      </c>
      <c r="J111" s="33">
        <v>0</v>
      </c>
      <c r="K111" s="36" t="s">
        <v>69</v>
      </c>
      <c r="L111" s="33">
        <v>197000</v>
      </c>
      <c r="M111" s="33">
        <v>59.119699999999995</v>
      </c>
      <c r="P111" s="33" t="s">
        <v>201</v>
      </c>
      <c r="S111" s="33" t="s">
        <v>201</v>
      </c>
      <c r="V111" s="33" t="s">
        <v>201</v>
      </c>
      <c r="Y111" s="33" t="s">
        <v>201</v>
      </c>
    </row>
    <row r="112" spans="1:25" hidden="1" x14ac:dyDescent="0.25">
      <c r="A112" s="33">
        <v>111</v>
      </c>
      <c r="B112" s="33" t="s">
        <v>202</v>
      </c>
      <c r="C112" s="33">
        <v>36</v>
      </c>
      <c r="D112" s="33">
        <v>247</v>
      </c>
      <c r="E112" s="33">
        <v>46</v>
      </c>
      <c r="F112" s="33">
        <v>214</v>
      </c>
      <c r="G112" s="33">
        <v>238090</v>
      </c>
      <c r="H112" s="36" t="s">
        <v>149</v>
      </c>
      <c r="I112" s="33">
        <v>5100</v>
      </c>
      <c r="J112" s="33">
        <v>0</v>
      </c>
      <c r="K112" s="36" t="s">
        <v>159</v>
      </c>
      <c r="L112" s="33">
        <v>142710</v>
      </c>
      <c r="M112" s="33">
        <v>1.9375</v>
      </c>
      <c r="N112" s="36" t="s">
        <v>160</v>
      </c>
      <c r="O112" s="33">
        <v>83950</v>
      </c>
      <c r="P112" s="33">
        <v>15.111000000000001</v>
      </c>
      <c r="Q112" s="33" t="s">
        <v>159</v>
      </c>
      <c r="R112" s="33">
        <v>6330</v>
      </c>
      <c r="S112" s="33">
        <v>1.9375</v>
      </c>
      <c r="V112" s="33" t="s">
        <v>201</v>
      </c>
      <c r="Y112" s="33" t="s">
        <v>201</v>
      </c>
    </row>
    <row r="113" spans="1:25" hidden="1" x14ac:dyDescent="0.25">
      <c r="A113" s="33">
        <v>112</v>
      </c>
      <c r="B113" s="33" t="s">
        <v>202</v>
      </c>
      <c r="C113" s="33">
        <v>37</v>
      </c>
      <c r="D113" s="33">
        <v>182</v>
      </c>
      <c r="E113" s="33">
        <v>0</v>
      </c>
      <c r="F113" s="33">
        <v>182</v>
      </c>
      <c r="G113" s="33">
        <v>177200</v>
      </c>
      <c r="H113" s="36" t="s">
        <v>149</v>
      </c>
      <c r="I113" s="33">
        <v>200</v>
      </c>
      <c r="J113" s="33">
        <v>0</v>
      </c>
      <c r="K113" s="36" t="s">
        <v>69</v>
      </c>
      <c r="L113" s="33">
        <v>177000</v>
      </c>
      <c r="M113" s="33">
        <v>53.117699999999999</v>
      </c>
      <c r="P113" s="33" t="s">
        <v>201</v>
      </c>
      <c r="S113" s="33" t="s">
        <v>201</v>
      </c>
      <c r="V113" s="33" t="s">
        <v>201</v>
      </c>
      <c r="Y113" s="33" t="s">
        <v>201</v>
      </c>
    </row>
    <row r="114" spans="1:25" hidden="1" x14ac:dyDescent="0.25">
      <c r="A114" s="33">
        <v>113</v>
      </c>
      <c r="B114" s="33" t="s">
        <v>202</v>
      </c>
      <c r="C114" s="33">
        <v>37</v>
      </c>
      <c r="D114" s="33">
        <v>321</v>
      </c>
      <c r="E114" s="33">
        <v>108</v>
      </c>
      <c r="F114" s="33">
        <v>213</v>
      </c>
      <c r="G114" s="33">
        <v>263020</v>
      </c>
      <c r="H114" s="36" t="s">
        <v>149</v>
      </c>
      <c r="I114" s="33">
        <v>1350</v>
      </c>
      <c r="J114" s="33">
        <v>0</v>
      </c>
      <c r="K114" s="36" t="s">
        <v>155</v>
      </c>
      <c r="L114" s="33">
        <v>2670</v>
      </c>
      <c r="M114" s="33">
        <v>1.9375</v>
      </c>
      <c r="N114" s="36" t="s">
        <v>159</v>
      </c>
      <c r="O114" s="33">
        <v>205000</v>
      </c>
      <c r="P114" s="33">
        <v>1.9375</v>
      </c>
      <c r="Q114" s="33" t="s">
        <v>155</v>
      </c>
      <c r="R114" s="33">
        <v>54000</v>
      </c>
      <c r="S114" s="33">
        <v>1.9375</v>
      </c>
      <c r="V114" s="33" t="s">
        <v>201</v>
      </c>
      <c r="Y114" s="33" t="s">
        <v>201</v>
      </c>
    </row>
    <row r="115" spans="1:25" hidden="1" x14ac:dyDescent="0.25">
      <c r="A115" s="33">
        <v>114</v>
      </c>
      <c r="B115" s="33" t="s">
        <v>202</v>
      </c>
      <c r="C115" s="33">
        <v>38</v>
      </c>
      <c r="D115" s="33">
        <v>130</v>
      </c>
      <c r="E115" s="33">
        <v>0</v>
      </c>
      <c r="F115" s="33">
        <v>130</v>
      </c>
      <c r="G115" s="33">
        <v>155300</v>
      </c>
      <c r="H115" s="36" t="s">
        <v>149</v>
      </c>
      <c r="I115" s="33">
        <v>300</v>
      </c>
      <c r="J115" s="33">
        <v>0</v>
      </c>
      <c r="K115" s="36" t="s">
        <v>69</v>
      </c>
      <c r="L115" s="33">
        <v>155000</v>
      </c>
      <c r="M115" s="33">
        <v>46.515499999999996</v>
      </c>
      <c r="P115" s="33" t="s">
        <v>201</v>
      </c>
      <c r="S115" s="33" t="s">
        <v>201</v>
      </c>
      <c r="V115" s="33" t="s">
        <v>201</v>
      </c>
      <c r="Y115" s="33" t="s">
        <v>201</v>
      </c>
    </row>
    <row r="116" spans="1:25" hidden="1" x14ac:dyDescent="0.25">
      <c r="A116" s="33">
        <v>115</v>
      </c>
      <c r="B116" s="33" t="s">
        <v>202</v>
      </c>
      <c r="C116" s="33">
        <v>38</v>
      </c>
      <c r="D116" s="33">
        <v>149</v>
      </c>
      <c r="E116" s="33">
        <v>27</v>
      </c>
      <c r="F116" s="33">
        <v>122</v>
      </c>
      <c r="G116" s="33">
        <v>120520</v>
      </c>
      <c r="H116" s="36" t="s">
        <v>149</v>
      </c>
      <c r="I116" s="33">
        <v>2400</v>
      </c>
      <c r="J116" s="33">
        <v>0</v>
      </c>
      <c r="K116" s="36" t="s">
        <v>159</v>
      </c>
      <c r="L116" s="33">
        <v>112980</v>
      </c>
      <c r="M116" s="33">
        <v>1.9375</v>
      </c>
      <c r="N116" s="36" t="s">
        <v>155</v>
      </c>
      <c r="O116" s="33">
        <v>5140</v>
      </c>
      <c r="P116" s="33">
        <v>1.9375</v>
      </c>
      <c r="S116" s="33" t="s">
        <v>201</v>
      </c>
      <c r="V116" s="33" t="s">
        <v>201</v>
      </c>
      <c r="Y116" s="33" t="s">
        <v>201</v>
      </c>
    </row>
    <row r="117" spans="1:25" hidden="1" x14ac:dyDescent="0.25">
      <c r="A117" s="33">
        <v>116</v>
      </c>
      <c r="B117" s="33" t="s">
        <v>202</v>
      </c>
      <c r="C117" s="33">
        <v>39</v>
      </c>
      <c r="D117" s="33">
        <v>130</v>
      </c>
      <c r="E117" s="33">
        <v>0</v>
      </c>
      <c r="F117" s="33">
        <v>130</v>
      </c>
      <c r="G117" s="33">
        <v>161100</v>
      </c>
      <c r="H117" s="36" t="s">
        <v>149</v>
      </c>
      <c r="I117" s="33">
        <v>100</v>
      </c>
      <c r="J117" s="33">
        <v>0</v>
      </c>
      <c r="K117" s="36" t="s">
        <v>69</v>
      </c>
      <c r="L117" s="33">
        <v>161000</v>
      </c>
      <c r="M117" s="33">
        <v>48.316099999999999</v>
      </c>
      <c r="P117" s="33" t="s">
        <v>201</v>
      </c>
      <c r="S117" s="33" t="s">
        <v>201</v>
      </c>
      <c r="V117" s="33" t="s">
        <v>201</v>
      </c>
      <c r="Y117" s="33" t="s">
        <v>201</v>
      </c>
    </row>
    <row r="118" spans="1:25" hidden="1" x14ac:dyDescent="0.25">
      <c r="A118" s="33">
        <v>117</v>
      </c>
      <c r="B118" s="33" t="s">
        <v>202</v>
      </c>
      <c r="C118" s="33">
        <v>39</v>
      </c>
      <c r="D118" s="33">
        <v>215</v>
      </c>
      <c r="E118" s="33">
        <v>76</v>
      </c>
      <c r="F118" s="33">
        <v>139</v>
      </c>
      <c r="G118" s="33">
        <v>233110</v>
      </c>
      <c r="H118" s="36" t="s">
        <v>149</v>
      </c>
      <c r="I118" s="33">
        <v>750</v>
      </c>
      <c r="J118" s="33">
        <v>0</v>
      </c>
      <c r="K118" s="36" t="s">
        <v>155</v>
      </c>
      <c r="L118" s="33">
        <v>12360</v>
      </c>
      <c r="M118" s="33">
        <v>1.9375</v>
      </c>
      <c r="N118" s="36" t="s">
        <v>159</v>
      </c>
      <c r="O118" s="33">
        <v>220000</v>
      </c>
      <c r="P118" s="33">
        <v>1.9375</v>
      </c>
      <c r="S118" s="33" t="s">
        <v>201</v>
      </c>
      <c r="V118" s="33" t="s">
        <v>201</v>
      </c>
      <c r="Y118" s="33" t="s">
        <v>201</v>
      </c>
    </row>
    <row r="119" spans="1:25" x14ac:dyDescent="0.25">
      <c r="A119" s="33">
        <v>118</v>
      </c>
      <c r="B119" s="43" t="s">
        <v>204</v>
      </c>
      <c r="C119" s="44">
        <v>40</v>
      </c>
      <c r="D119" s="44">
        <v>574</v>
      </c>
      <c r="E119" s="44">
        <v>0</v>
      </c>
      <c r="F119" s="44">
        <v>574</v>
      </c>
      <c r="G119" s="44">
        <v>639000</v>
      </c>
      <c r="H119" s="45" t="s">
        <v>149</v>
      </c>
      <c r="I119" s="44">
        <v>400</v>
      </c>
      <c r="J119" s="44"/>
      <c r="K119" s="45" t="s">
        <v>69</v>
      </c>
      <c r="L119" s="44">
        <v>639000</v>
      </c>
      <c r="M119" s="46"/>
      <c r="N119" s="45"/>
      <c r="O119" s="44"/>
      <c r="P119" s="47"/>
      <c r="Q119" s="47"/>
      <c r="R119" s="47"/>
      <c r="S119" s="47"/>
      <c r="T119" s="47"/>
      <c r="U119" s="47"/>
      <c r="V119" s="47"/>
    </row>
    <row r="120" spans="1:25" x14ac:dyDescent="0.25">
      <c r="A120" s="33">
        <v>119</v>
      </c>
      <c r="B120" s="33" t="s">
        <v>204</v>
      </c>
      <c r="C120" s="47">
        <v>40</v>
      </c>
      <c r="D120" s="47">
        <v>391</v>
      </c>
      <c r="E120" s="47">
        <v>37</v>
      </c>
      <c r="F120" s="47">
        <v>354</v>
      </c>
      <c r="G120" s="47">
        <v>740100</v>
      </c>
      <c r="H120" s="48" t="s">
        <v>149</v>
      </c>
      <c r="I120" s="47">
        <v>1400</v>
      </c>
      <c r="J120" s="47">
        <v>0</v>
      </c>
      <c r="K120" s="48" t="s">
        <v>159</v>
      </c>
      <c r="L120" s="47">
        <v>19020</v>
      </c>
      <c r="M120" s="47">
        <v>1.9375</v>
      </c>
      <c r="N120" s="48" t="s">
        <v>160</v>
      </c>
      <c r="O120" s="47">
        <v>715000</v>
      </c>
      <c r="P120" s="47">
        <v>128.69999999999999</v>
      </c>
      <c r="Q120" s="48" t="s">
        <v>158</v>
      </c>
      <c r="R120" s="47">
        <v>4680</v>
      </c>
      <c r="S120" s="47">
        <v>1.9375</v>
      </c>
      <c r="T120" s="47"/>
      <c r="U120" s="47"/>
      <c r="V120" s="47"/>
    </row>
    <row r="121" spans="1:25" x14ac:dyDescent="0.25">
      <c r="A121" s="33">
        <v>120</v>
      </c>
      <c r="B121" s="33" t="s">
        <v>204</v>
      </c>
      <c r="C121" s="47">
        <v>40</v>
      </c>
      <c r="D121" s="47">
        <v>399</v>
      </c>
      <c r="E121" s="47">
        <v>35</v>
      </c>
      <c r="F121" s="47">
        <v>364</v>
      </c>
      <c r="G121" s="47">
        <v>740720</v>
      </c>
      <c r="H121" s="48" t="s">
        <v>149</v>
      </c>
      <c r="I121" s="47">
        <v>1100</v>
      </c>
      <c r="J121" s="47">
        <v>0</v>
      </c>
      <c r="K121" s="48" t="s">
        <v>159</v>
      </c>
      <c r="L121" s="47">
        <v>19020</v>
      </c>
      <c r="M121" s="47">
        <v>1.9375</v>
      </c>
      <c r="N121" s="48" t="s">
        <v>160</v>
      </c>
      <c r="O121" s="47">
        <v>715000</v>
      </c>
      <c r="P121" s="47">
        <v>128.69999999999999</v>
      </c>
      <c r="Q121" s="48" t="s">
        <v>168</v>
      </c>
      <c r="R121" s="47">
        <v>5600</v>
      </c>
      <c r="S121" s="47">
        <v>0</v>
      </c>
      <c r="T121" s="47"/>
      <c r="U121" s="47"/>
      <c r="V121" s="47"/>
    </row>
    <row r="122" spans="1:25" x14ac:dyDescent="0.25">
      <c r="A122" s="33">
        <v>121</v>
      </c>
      <c r="B122" s="33" t="s">
        <v>204</v>
      </c>
      <c r="C122" s="47">
        <v>40</v>
      </c>
      <c r="D122" s="47">
        <v>377</v>
      </c>
      <c r="E122" s="47">
        <v>35</v>
      </c>
      <c r="F122" s="47">
        <v>352</v>
      </c>
      <c r="G122" s="47">
        <v>740720</v>
      </c>
      <c r="H122" s="48" t="s">
        <v>149</v>
      </c>
      <c r="I122" s="47">
        <v>1100</v>
      </c>
      <c r="J122" s="47">
        <v>0</v>
      </c>
      <c r="K122" s="48" t="s">
        <v>159</v>
      </c>
      <c r="L122" s="47">
        <v>19020</v>
      </c>
      <c r="M122" s="47">
        <v>1.9375</v>
      </c>
      <c r="N122" s="48" t="s">
        <v>160</v>
      </c>
      <c r="O122" s="47">
        <v>715000</v>
      </c>
      <c r="P122" s="47">
        <v>128.69999999999999</v>
      </c>
      <c r="Q122" s="48" t="s">
        <v>168</v>
      </c>
      <c r="R122" s="47">
        <v>5600</v>
      </c>
      <c r="S122" s="47">
        <v>0</v>
      </c>
      <c r="T122" s="47"/>
      <c r="U122" s="47"/>
      <c r="V122" s="47"/>
    </row>
    <row r="123" spans="1:25" x14ac:dyDescent="0.25">
      <c r="A123" s="33">
        <v>122</v>
      </c>
      <c r="B123" s="33" t="s">
        <v>204</v>
      </c>
      <c r="C123" s="47">
        <v>40</v>
      </c>
      <c r="D123" s="47">
        <v>437</v>
      </c>
      <c r="E123" s="47">
        <v>32</v>
      </c>
      <c r="F123" s="47">
        <v>405</v>
      </c>
      <c r="G123" s="47">
        <v>739920</v>
      </c>
      <c r="H123" s="48" t="s">
        <v>149</v>
      </c>
      <c r="I123" s="47">
        <v>5900</v>
      </c>
      <c r="J123" s="47">
        <v>0</v>
      </c>
      <c r="K123" s="48" t="s">
        <v>159</v>
      </c>
      <c r="L123" s="47">
        <v>19020</v>
      </c>
      <c r="M123" s="47">
        <v>1.9375</v>
      </c>
      <c r="N123" s="48" t="s">
        <v>160</v>
      </c>
      <c r="O123" s="47">
        <v>715000</v>
      </c>
      <c r="P123" s="47">
        <v>128.69999999999999</v>
      </c>
      <c r="Q123" s="48"/>
      <c r="R123" s="47"/>
      <c r="S123" s="47"/>
      <c r="T123" s="47"/>
      <c r="U123" s="47"/>
      <c r="V123" s="47"/>
    </row>
    <row r="124" spans="1:25" x14ac:dyDescent="0.25">
      <c r="A124" s="33">
        <v>123</v>
      </c>
      <c r="B124" s="33" t="s">
        <v>204</v>
      </c>
      <c r="C124" s="47">
        <v>40</v>
      </c>
      <c r="D124" s="47">
        <v>389</v>
      </c>
      <c r="E124" s="47">
        <v>38</v>
      </c>
      <c r="F124" s="47">
        <v>351</v>
      </c>
      <c r="G124" s="47">
        <v>742980</v>
      </c>
      <c r="H124" s="48" t="s">
        <v>69</v>
      </c>
      <c r="I124" s="47">
        <v>23000</v>
      </c>
      <c r="J124" s="47">
        <v>6.9022999999999994</v>
      </c>
      <c r="K124" s="48" t="s">
        <v>160</v>
      </c>
      <c r="L124" s="47">
        <v>715000</v>
      </c>
      <c r="M124" s="47">
        <v>128.69999999999999</v>
      </c>
      <c r="N124" s="48" t="s">
        <v>158</v>
      </c>
      <c r="O124" s="47">
        <v>4680</v>
      </c>
      <c r="P124" s="47">
        <v>1.9375</v>
      </c>
      <c r="Q124" s="48" t="s">
        <v>149</v>
      </c>
      <c r="R124" s="47">
        <v>300</v>
      </c>
      <c r="S124" s="47">
        <v>0</v>
      </c>
      <c r="T124" s="47"/>
      <c r="U124" s="47"/>
      <c r="V124" s="47"/>
    </row>
    <row r="125" spans="1:25" x14ac:dyDescent="0.25">
      <c r="A125" s="33">
        <v>124</v>
      </c>
      <c r="B125" s="33" t="s">
        <v>204</v>
      </c>
      <c r="C125" s="47">
        <v>40</v>
      </c>
      <c r="D125" s="47">
        <v>402</v>
      </c>
      <c r="E125" s="47">
        <v>36</v>
      </c>
      <c r="F125" s="47">
        <v>366</v>
      </c>
      <c r="G125" s="47">
        <v>742800</v>
      </c>
      <c r="H125" s="48" t="s">
        <v>69</v>
      </c>
      <c r="I125" s="47">
        <v>23000</v>
      </c>
      <c r="J125" s="47">
        <v>6.9022999999999994</v>
      </c>
      <c r="K125" s="48" t="s">
        <v>160</v>
      </c>
      <c r="L125" s="47">
        <v>715000</v>
      </c>
      <c r="M125" s="47">
        <v>128.69999999999999</v>
      </c>
      <c r="N125" s="48" t="s">
        <v>169</v>
      </c>
      <c r="O125" s="47">
        <v>4800</v>
      </c>
      <c r="P125" s="47">
        <v>0</v>
      </c>
      <c r="Q125" s="48"/>
      <c r="R125" s="47"/>
      <c r="S125" s="47"/>
      <c r="T125" s="47"/>
      <c r="U125" s="47"/>
      <c r="V125" s="47"/>
    </row>
    <row r="126" spans="1:25" x14ac:dyDescent="0.25">
      <c r="A126" s="33">
        <v>125</v>
      </c>
      <c r="B126" s="33" t="s">
        <v>204</v>
      </c>
      <c r="C126" s="47">
        <v>40</v>
      </c>
      <c r="D126" s="47">
        <v>397</v>
      </c>
      <c r="E126" s="47">
        <v>36</v>
      </c>
      <c r="F126" s="47">
        <v>361</v>
      </c>
      <c r="G126" s="47">
        <v>743600</v>
      </c>
      <c r="H126" s="48" t="s">
        <v>69</v>
      </c>
      <c r="I126" s="47">
        <v>23000</v>
      </c>
      <c r="J126" s="47">
        <v>6.9022999999999994</v>
      </c>
      <c r="K126" s="48" t="s">
        <v>160</v>
      </c>
      <c r="L126" s="47">
        <v>715000</v>
      </c>
      <c r="M126" s="47">
        <v>128.69999999999999</v>
      </c>
      <c r="N126" s="48" t="s">
        <v>168</v>
      </c>
      <c r="O126" s="47">
        <v>5600</v>
      </c>
      <c r="P126" s="47">
        <v>0</v>
      </c>
      <c r="Q126" s="48"/>
      <c r="R126" s="47"/>
      <c r="S126" s="47"/>
      <c r="T126" s="47"/>
      <c r="U126" s="47"/>
      <c r="V126" s="47"/>
    </row>
    <row r="127" spans="1:25" x14ac:dyDescent="0.25">
      <c r="A127" s="33">
        <v>126</v>
      </c>
      <c r="B127" s="33" t="s">
        <v>204</v>
      </c>
      <c r="C127" s="47">
        <v>40</v>
      </c>
      <c r="D127" s="47">
        <v>385</v>
      </c>
      <c r="E127" s="47">
        <v>36</v>
      </c>
      <c r="F127" s="47">
        <v>348</v>
      </c>
      <c r="G127" s="47">
        <v>743600</v>
      </c>
      <c r="H127" s="48" t="s">
        <v>69</v>
      </c>
      <c r="I127" s="47">
        <v>23000</v>
      </c>
      <c r="J127" s="47">
        <v>6.9022999999999994</v>
      </c>
      <c r="K127" s="48" t="s">
        <v>160</v>
      </c>
      <c r="L127" s="47">
        <v>715000</v>
      </c>
      <c r="M127" s="47">
        <v>128.69999999999999</v>
      </c>
      <c r="N127" s="48" t="s">
        <v>168</v>
      </c>
      <c r="O127" s="47">
        <v>5600</v>
      </c>
      <c r="P127" s="47">
        <v>0</v>
      </c>
      <c r="Q127" s="48"/>
      <c r="R127" s="47"/>
      <c r="S127" s="47"/>
      <c r="T127" s="47"/>
      <c r="U127" s="47"/>
      <c r="V127" s="47"/>
    </row>
    <row r="128" spans="1:25" x14ac:dyDescent="0.25">
      <c r="A128" s="33">
        <v>127</v>
      </c>
      <c r="B128" s="33" t="s">
        <v>204</v>
      </c>
      <c r="C128" s="47">
        <v>40</v>
      </c>
      <c r="D128" s="47">
        <v>435</v>
      </c>
      <c r="E128" s="47">
        <v>33</v>
      </c>
      <c r="F128" s="47">
        <v>402</v>
      </c>
      <c r="G128" s="47">
        <v>742800</v>
      </c>
      <c r="H128" s="48" t="s">
        <v>69</v>
      </c>
      <c r="I128" s="47">
        <v>23000</v>
      </c>
      <c r="J128" s="47">
        <v>6.9022999999999994</v>
      </c>
      <c r="K128" s="48" t="s">
        <v>160</v>
      </c>
      <c r="L128" s="47">
        <v>715000</v>
      </c>
      <c r="M128" s="47">
        <v>128.69999999999999</v>
      </c>
      <c r="N128" s="48" t="s">
        <v>149</v>
      </c>
      <c r="O128" s="47">
        <v>4800</v>
      </c>
      <c r="P128" s="47">
        <v>0</v>
      </c>
      <c r="Q128" s="48"/>
      <c r="R128" s="47"/>
      <c r="S128" s="47"/>
      <c r="T128" s="47"/>
      <c r="U128" s="47"/>
      <c r="V128" s="47"/>
    </row>
    <row r="129" spans="1:22" x14ac:dyDescent="0.25">
      <c r="A129" s="33">
        <v>128</v>
      </c>
      <c r="B129" s="33" t="s">
        <v>204</v>
      </c>
      <c r="C129" s="47">
        <v>40</v>
      </c>
      <c r="D129" s="47">
        <v>417</v>
      </c>
      <c r="E129" s="47">
        <v>35</v>
      </c>
      <c r="F129" s="47">
        <v>382</v>
      </c>
      <c r="G129" s="47">
        <v>738980</v>
      </c>
      <c r="H129" s="48" t="s">
        <v>153</v>
      </c>
      <c r="I129" s="47">
        <v>19000</v>
      </c>
      <c r="J129" s="47">
        <v>0</v>
      </c>
      <c r="K129" s="48" t="s">
        <v>160</v>
      </c>
      <c r="L129" s="47">
        <v>715000</v>
      </c>
      <c r="M129" s="47">
        <v>128.69999999999999</v>
      </c>
      <c r="N129" s="48" t="s">
        <v>158</v>
      </c>
      <c r="O129" s="47">
        <v>4680</v>
      </c>
      <c r="P129" s="47">
        <v>1.9375</v>
      </c>
      <c r="Q129" s="48" t="s">
        <v>149</v>
      </c>
      <c r="R129" s="47">
        <v>300</v>
      </c>
      <c r="S129" s="47">
        <v>0</v>
      </c>
      <c r="T129" s="47"/>
      <c r="U129" s="47"/>
      <c r="V129" s="47"/>
    </row>
    <row r="130" spans="1:22" x14ac:dyDescent="0.25">
      <c r="A130" s="33">
        <v>129</v>
      </c>
      <c r="B130" s="33" t="s">
        <v>204</v>
      </c>
      <c r="C130" s="47">
        <v>40</v>
      </c>
      <c r="D130" s="47">
        <v>430</v>
      </c>
      <c r="E130" s="47">
        <v>33</v>
      </c>
      <c r="F130" s="47">
        <v>397</v>
      </c>
      <c r="G130" s="47">
        <v>738800</v>
      </c>
      <c r="H130" s="48" t="s">
        <v>153</v>
      </c>
      <c r="I130" s="47">
        <v>19000</v>
      </c>
      <c r="J130" s="47">
        <v>0</v>
      </c>
      <c r="K130" s="48" t="s">
        <v>160</v>
      </c>
      <c r="L130" s="47">
        <v>715000</v>
      </c>
      <c r="M130" s="47">
        <v>128.69999999999999</v>
      </c>
      <c r="N130" s="48" t="s">
        <v>169</v>
      </c>
      <c r="O130" s="47">
        <v>4800</v>
      </c>
      <c r="P130" s="47">
        <v>0</v>
      </c>
      <c r="Q130" s="48"/>
      <c r="R130" s="47"/>
      <c r="S130" s="47"/>
      <c r="T130" s="47"/>
      <c r="U130" s="47"/>
      <c r="V130" s="47"/>
    </row>
    <row r="131" spans="1:22" x14ac:dyDescent="0.25">
      <c r="A131" s="33">
        <v>130</v>
      </c>
      <c r="B131" s="33" t="s">
        <v>204</v>
      </c>
      <c r="C131" s="47">
        <v>40</v>
      </c>
      <c r="D131" s="47">
        <v>425</v>
      </c>
      <c r="E131" s="47">
        <v>33</v>
      </c>
      <c r="F131" s="47">
        <v>392</v>
      </c>
      <c r="G131" s="47">
        <v>739600</v>
      </c>
      <c r="H131" s="48" t="s">
        <v>153</v>
      </c>
      <c r="I131" s="47">
        <v>19000</v>
      </c>
      <c r="J131" s="47">
        <v>0</v>
      </c>
      <c r="K131" s="48" t="s">
        <v>160</v>
      </c>
      <c r="L131" s="47">
        <v>715000</v>
      </c>
      <c r="M131" s="47">
        <v>128.69999999999999</v>
      </c>
      <c r="N131" s="48" t="s">
        <v>168</v>
      </c>
      <c r="O131" s="47">
        <v>5600</v>
      </c>
      <c r="P131" s="47">
        <v>0</v>
      </c>
      <c r="Q131" s="48"/>
      <c r="R131" s="47"/>
      <c r="S131" s="47"/>
      <c r="T131" s="47"/>
      <c r="U131" s="47"/>
      <c r="V131" s="47"/>
    </row>
    <row r="132" spans="1:22" x14ac:dyDescent="0.25">
      <c r="A132" s="33">
        <v>131</v>
      </c>
      <c r="B132" s="33" t="s">
        <v>204</v>
      </c>
      <c r="C132" s="47">
        <v>40</v>
      </c>
      <c r="D132" s="47">
        <v>463</v>
      </c>
      <c r="E132" s="47">
        <v>30</v>
      </c>
      <c r="F132" s="47">
        <v>433</v>
      </c>
      <c r="G132" s="47">
        <v>738800</v>
      </c>
      <c r="H132" s="48" t="s">
        <v>153</v>
      </c>
      <c r="I132" s="47">
        <v>19000</v>
      </c>
      <c r="J132" s="47">
        <v>0</v>
      </c>
      <c r="K132" s="48" t="s">
        <v>160</v>
      </c>
      <c r="L132" s="47">
        <v>715000</v>
      </c>
      <c r="M132" s="47">
        <v>128.69999999999999</v>
      </c>
      <c r="N132" s="48" t="s">
        <v>149</v>
      </c>
      <c r="O132" s="47">
        <v>4800</v>
      </c>
      <c r="P132" s="47">
        <v>0</v>
      </c>
      <c r="Q132" s="48"/>
      <c r="R132" s="47"/>
      <c r="S132" s="47"/>
      <c r="T132" s="47"/>
      <c r="U132" s="47"/>
      <c r="V132" s="47"/>
    </row>
    <row r="133" spans="1:22" x14ac:dyDescent="0.25">
      <c r="A133" s="33">
        <v>132</v>
      </c>
      <c r="B133" s="33" t="s">
        <v>204</v>
      </c>
      <c r="C133" s="47">
        <v>40</v>
      </c>
      <c r="D133" s="47">
        <v>453</v>
      </c>
      <c r="E133" s="47">
        <v>30</v>
      </c>
      <c r="F133" s="47">
        <v>423</v>
      </c>
      <c r="G133" s="47">
        <v>738800</v>
      </c>
      <c r="H133" s="48" t="s">
        <v>154</v>
      </c>
      <c r="I133" s="47">
        <v>19000</v>
      </c>
      <c r="J133" s="47">
        <v>0</v>
      </c>
      <c r="K133" s="48" t="s">
        <v>160</v>
      </c>
      <c r="L133" s="47">
        <v>715000</v>
      </c>
      <c r="M133" s="47">
        <v>128.69999999999999</v>
      </c>
      <c r="N133" s="48" t="s">
        <v>158</v>
      </c>
      <c r="O133" s="47">
        <v>4680</v>
      </c>
      <c r="P133" s="47">
        <v>1.9375</v>
      </c>
      <c r="Q133" s="48" t="s">
        <v>149</v>
      </c>
      <c r="R133" s="47">
        <v>300</v>
      </c>
      <c r="S133" s="47">
        <v>0</v>
      </c>
      <c r="T133" s="47"/>
      <c r="U133" s="47"/>
      <c r="V133" s="47"/>
    </row>
    <row r="134" spans="1:22" x14ac:dyDescent="0.25">
      <c r="A134" s="33">
        <v>133</v>
      </c>
      <c r="B134" s="33" t="s">
        <v>204</v>
      </c>
      <c r="C134" s="47">
        <v>40</v>
      </c>
      <c r="D134" s="47">
        <v>453</v>
      </c>
      <c r="E134" s="47">
        <v>30</v>
      </c>
      <c r="F134" s="47">
        <v>423</v>
      </c>
      <c r="G134" s="47">
        <v>738800</v>
      </c>
      <c r="H134" s="48" t="s">
        <v>154</v>
      </c>
      <c r="I134" s="47">
        <v>19000</v>
      </c>
      <c r="J134" s="47">
        <v>0</v>
      </c>
      <c r="K134" s="48" t="s">
        <v>160</v>
      </c>
      <c r="L134" s="47">
        <v>715000</v>
      </c>
      <c r="M134" s="47">
        <v>128.69999999999999</v>
      </c>
      <c r="N134" s="48" t="s">
        <v>169</v>
      </c>
      <c r="O134" s="47">
        <v>4800</v>
      </c>
      <c r="P134" s="47">
        <v>0</v>
      </c>
      <c r="Q134" s="48"/>
      <c r="R134" s="47"/>
      <c r="S134" s="47"/>
      <c r="T134" s="47"/>
      <c r="U134" s="47"/>
      <c r="V134" s="47"/>
    </row>
    <row r="135" spans="1:22" x14ac:dyDescent="0.25">
      <c r="A135" s="33">
        <v>134</v>
      </c>
      <c r="B135" s="33" t="s">
        <v>204</v>
      </c>
      <c r="C135" s="47">
        <v>40</v>
      </c>
      <c r="D135" s="47">
        <v>453</v>
      </c>
      <c r="E135" s="47">
        <v>30</v>
      </c>
      <c r="F135" s="47">
        <v>423</v>
      </c>
      <c r="G135" s="47">
        <v>738800</v>
      </c>
      <c r="H135" s="48" t="s">
        <v>154</v>
      </c>
      <c r="I135" s="47">
        <v>19000</v>
      </c>
      <c r="J135" s="47">
        <v>0</v>
      </c>
      <c r="K135" s="48" t="s">
        <v>160</v>
      </c>
      <c r="L135" s="47">
        <v>715000</v>
      </c>
      <c r="M135" s="47">
        <v>128.69999999999999</v>
      </c>
      <c r="N135" s="48" t="s">
        <v>168</v>
      </c>
      <c r="O135" s="47">
        <v>5600</v>
      </c>
      <c r="P135" s="47">
        <v>0</v>
      </c>
      <c r="Q135" s="48"/>
      <c r="R135" s="47"/>
      <c r="S135" s="47"/>
      <c r="T135" s="47"/>
      <c r="U135" s="47"/>
      <c r="V135" s="47"/>
    </row>
    <row r="136" spans="1:22" x14ac:dyDescent="0.25">
      <c r="A136" s="33">
        <v>135</v>
      </c>
      <c r="B136" s="33" t="s">
        <v>204</v>
      </c>
      <c r="C136" s="47">
        <v>40</v>
      </c>
      <c r="D136" s="47">
        <v>453</v>
      </c>
      <c r="E136" s="47">
        <v>30</v>
      </c>
      <c r="F136" s="47">
        <v>423</v>
      </c>
      <c r="G136" s="47">
        <v>738800</v>
      </c>
      <c r="H136" s="48" t="s">
        <v>154</v>
      </c>
      <c r="I136" s="47">
        <v>19000</v>
      </c>
      <c r="J136" s="47">
        <v>0</v>
      </c>
      <c r="K136" s="48" t="s">
        <v>160</v>
      </c>
      <c r="L136" s="47">
        <v>715000</v>
      </c>
      <c r="M136" s="47">
        <v>128.69999999999999</v>
      </c>
      <c r="N136" s="48" t="s">
        <v>149</v>
      </c>
      <c r="O136" s="47">
        <v>4800</v>
      </c>
      <c r="P136" s="47">
        <v>0</v>
      </c>
      <c r="Q136" s="48"/>
      <c r="R136" s="47"/>
      <c r="S136" s="47"/>
      <c r="T136" s="47"/>
      <c r="U136" s="47"/>
      <c r="V136" s="47"/>
    </row>
    <row r="137" spans="1:22" x14ac:dyDescent="0.25">
      <c r="A137" s="33">
        <v>136</v>
      </c>
      <c r="B137" s="33" t="s">
        <v>204</v>
      </c>
      <c r="C137" s="47">
        <v>40</v>
      </c>
      <c r="D137" s="47">
        <v>387</v>
      </c>
      <c r="E137" s="47">
        <v>36</v>
      </c>
      <c r="F137" s="47">
        <v>351</v>
      </c>
      <c r="G137" s="47">
        <v>742980</v>
      </c>
      <c r="H137" s="48" t="s">
        <v>169</v>
      </c>
      <c r="I137" s="47">
        <v>23000</v>
      </c>
      <c r="J137" s="47">
        <v>0</v>
      </c>
      <c r="K137" s="48" t="s">
        <v>160</v>
      </c>
      <c r="L137" s="47">
        <v>715000</v>
      </c>
      <c r="M137" s="47">
        <v>128.69999999999999</v>
      </c>
      <c r="N137" s="48" t="s">
        <v>158</v>
      </c>
      <c r="O137" s="47">
        <v>4680</v>
      </c>
      <c r="P137" s="47">
        <v>1.9375</v>
      </c>
      <c r="Q137" s="48" t="s">
        <v>149</v>
      </c>
      <c r="R137" s="47">
        <v>300</v>
      </c>
      <c r="S137" s="47">
        <v>0</v>
      </c>
      <c r="T137" s="47"/>
      <c r="U137" s="47"/>
      <c r="V137" s="47"/>
    </row>
    <row r="138" spans="1:22" x14ac:dyDescent="0.25">
      <c r="A138" s="33">
        <v>137</v>
      </c>
      <c r="B138" s="33" t="s">
        <v>204</v>
      </c>
      <c r="C138" s="47">
        <v>40</v>
      </c>
      <c r="D138" s="47">
        <v>400</v>
      </c>
      <c r="E138" s="47">
        <v>34</v>
      </c>
      <c r="F138" s="47">
        <v>366</v>
      </c>
      <c r="G138" s="47">
        <v>742800</v>
      </c>
      <c r="H138" s="48" t="s">
        <v>169</v>
      </c>
      <c r="I138" s="47">
        <v>27800</v>
      </c>
      <c r="J138" s="47">
        <v>0</v>
      </c>
      <c r="K138" s="48" t="s">
        <v>160</v>
      </c>
      <c r="L138" s="47">
        <v>715000</v>
      </c>
      <c r="M138" s="47">
        <v>128.69999999999999</v>
      </c>
      <c r="N138" s="48"/>
      <c r="O138" s="47"/>
      <c r="P138" s="47"/>
      <c r="Q138" s="48"/>
      <c r="R138" s="47"/>
      <c r="S138" s="47"/>
      <c r="T138" s="47"/>
      <c r="U138" s="47"/>
      <c r="V138" s="47"/>
    </row>
    <row r="139" spans="1:22" x14ac:dyDescent="0.25">
      <c r="A139" s="33">
        <v>138</v>
      </c>
      <c r="B139" s="33" t="s">
        <v>204</v>
      </c>
      <c r="C139" s="47">
        <v>40</v>
      </c>
      <c r="D139" s="47">
        <v>395</v>
      </c>
      <c r="E139" s="47">
        <v>34</v>
      </c>
      <c r="F139" s="47">
        <v>361</v>
      </c>
      <c r="G139" s="47">
        <v>743600</v>
      </c>
      <c r="H139" s="48" t="s">
        <v>169</v>
      </c>
      <c r="I139" s="47">
        <v>23000</v>
      </c>
      <c r="J139" s="47">
        <v>0</v>
      </c>
      <c r="K139" s="48" t="s">
        <v>160</v>
      </c>
      <c r="L139" s="47">
        <v>715000</v>
      </c>
      <c r="M139" s="47">
        <v>128.69999999999999</v>
      </c>
      <c r="N139" s="48" t="s">
        <v>168</v>
      </c>
      <c r="O139" s="47">
        <v>5600</v>
      </c>
      <c r="P139" s="47">
        <v>0</v>
      </c>
      <c r="Q139" s="48"/>
      <c r="R139" s="47"/>
      <c r="S139" s="47"/>
      <c r="T139" s="47"/>
      <c r="U139" s="47"/>
      <c r="V139" s="47"/>
    </row>
    <row r="140" spans="1:22" x14ac:dyDescent="0.25">
      <c r="A140" s="33">
        <v>139</v>
      </c>
      <c r="B140" s="33" t="s">
        <v>204</v>
      </c>
      <c r="C140" s="47">
        <v>40</v>
      </c>
      <c r="D140" s="47">
        <v>390</v>
      </c>
      <c r="E140" s="47">
        <v>34</v>
      </c>
      <c r="F140" s="47">
        <v>355</v>
      </c>
      <c r="G140" s="47">
        <v>743600</v>
      </c>
      <c r="H140" s="48" t="s">
        <v>169</v>
      </c>
      <c r="I140" s="47">
        <v>23000</v>
      </c>
      <c r="J140" s="47">
        <v>0</v>
      </c>
      <c r="K140" s="48" t="s">
        <v>160</v>
      </c>
      <c r="L140" s="47">
        <v>715000</v>
      </c>
      <c r="M140" s="47">
        <v>128.69999999999999</v>
      </c>
      <c r="N140" s="48" t="s">
        <v>168</v>
      </c>
      <c r="O140" s="47">
        <v>5600</v>
      </c>
      <c r="P140" s="47">
        <v>0</v>
      </c>
      <c r="Q140" s="48"/>
      <c r="R140" s="47"/>
      <c r="S140" s="47"/>
      <c r="T140" s="47"/>
      <c r="U140" s="47"/>
      <c r="V140" s="47"/>
    </row>
    <row r="141" spans="1:22" x14ac:dyDescent="0.25">
      <c r="A141" s="33">
        <v>140</v>
      </c>
      <c r="B141" s="33" t="s">
        <v>204</v>
      </c>
      <c r="C141" s="47">
        <v>40</v>
      </c>
      <c r="D141" s="47">
        <v>433</v>
      </c>
      <c r="E141" s="47">
        <v>31</v>
      </c>
      <c r="F141" s="47">
        <v>402</v>
      </c>
      <c r="G141" s="47">
        <v>742800</v>
      </c>
      <c r="H141" s="48" t="s">
        <v>169</v>
      </c>
      <c r="I141" s="47">
        <v>23000</v>
      </c>
      <c r="J141" s="47">
        <v>0</v>
      </c>
      <c r="K141" s="48" t="s">
        <v>160</v>
      </c>
      <c r="L141" s="47">
        <v>715000</v>
      </c>
      <c r="M141" s="47">
        <v>128.69999999999999</v>
      </c>
      <c r="N141" s="48" t="s">
        <v>149</v>
      </c>
      <c r="O141" s="47">
        <v>4800</v>
      </c>
      <c r="P141" s="47">
        <v>0</v>
      </c>
      <c r="Q141" s="48"/>
      <c r="R141" s="47"/>
      <c r="S141" s="49"/>
      <c r="T141" s="47"/>
      <c r="U141" s="47"/>
      <c r="V141" s="47"/>
    </row>
    <row r="142" spans="1:22" x14ac:dyDescent="0.25">
      <c r="A142" s="33">
        <v>141</v>
      </c>
      <c r="B142" s="33" t="s">
        <v>204</v>
      </c>
      <c r="C142" s="47">
        <v>40</v>
      </c>
      <c r="D142" s="49">
        <v>291</v>
      </c>
      <c r="E142" s="49">
        <v>100</v>
      </c>
      <c r="F142" s="49">
        <v>191</v>
      </c>
      <c r="G142" s="49">
        <v>580950</v>
      </c>
      <c r="H142" s="50" t="s">
        <v>149</v>
      </c>
      <c r="I142" s="49">
        <v>1450</v>
      </c>
      <c r="J142" s="47">
        <v>0</v>
      </c>
      <c r="K142" s="50" t="s">
        <v>159</v>
      </c>
      <c r="L142" s="49">
        <v>38000</v>
      </c>
      <c r="M142" s="49">
        <v>1.9375</v>
      </c>
      <c r="N142" s="50" t="s">
        <v>163</v>
      </c>
      <c r="O142" s="49">
        <v>500000</v>
      </c>
      <c r="P142" s="47">
        <v>51</v>
      </c>
      <c r="Q142" s="50" t="s">
        <v>169</v>
      </c>
      <c r="R142" s="49">
        <v>41500</v>
      </c>
      <c r="S142" s="49">
        <v>0</v>
      </c>
      <c r="T142" s="49"/>
      <c r="U142" s="49"/>
      <c r="V142" s="47"/>
    </row>
    <row r="143" spans="1:22" x14ac:dyDescent="0.25">
      <c r="A143" s="33">
        <v>142</v>
      </c>
      <c r="B143" s="33" t="s">
        <v>204</v>
      </c>
      <c r="C143" s="47">
        <v>40</v>
      </c>
      <c r="D143" s="49">
        <v>295</v>
      </c>
      <c r="E143" s="49">
        <v>110</v>
      </c>
      <c r="F143" s="49">
        <v>185</v>
      </c>
      <c r="G143" s="49">
        <v>589510</v>
      </c>
      <c r="H143" s="50" t="s">
        <v>149</v>
      </c>
      <c r="I143" s="49">
        <v>1830</v>
      </c>
      <c r="J143" s="47">
        <v>0</v>
      </c>
      <c r="K143" s="50" t="s">
        <v>159</v>
      </c>
      <c r="L143" s="49">
        <v>83000</v>
      </c>
      <c r="M143" s="49">
        <v>1.9375</v>
      </c>
      <c r="N143" s="50" t="s">
        <v>163</v>
      </c>
      <c r="O143" s="49">
        <v>500000</v>
      </c>
      <c r="P143" s="49">
        <v>51</v>
      </c>
      <c r="Q143" s="50" t="s">
        <v>158</v>
      </c>
      <c r="R143" s="49">
        <v>4680</v>
      </c>
      <c r="S143" s="49">
        <v>1.9375</v>
      </c>
      <c r="T143" s="49"/>
      <c r="U143" s="49"/>
      <c r="V143" s="47"/>
    </row>
    <row r="144" spans="1:22" x14ac:dyDescent="0.25">
      <c r="A144" s="33">
        <v>143</v>
      </c>
      <c r="B144" s="33" t="s">
        <v>204</v>
      </c>
      <c r="C144" s="47">
        <v>40</v>
      </c>
      <c r="D144" s="49">
        <v>275</v>
      </c>
      <c r="E144" s="49">
        <v>95</v>
      </c>
      <c r="F144" s="49">
        <v>180</v>
      </c>
      <c r="G144" s="49">
        <v>571200</v>
      </c>
      <c r="H144" s="50" t="s">
        <v>69</v>
      </c>
      <c r="I144" s="49">
        <v>28700</v>
      </c>
      <c r="J144" s="47">
        <v>8.6128699999999991</v>
      </c>
      <c r="K144" s="50" t="s">
        <v>149</v>
      </c>
      <c r="L144" s="49">
        <v>1000</v>
      </c>
      <c r="M144" s="49">
        <v>0</v>
      </c>
      <c r="N144" s="50" t="s">
        <v>163</v>
      </c>
      <c r="O144" s="49">
        <v>500000</v>
      </c>
      <c r="P144" s="49">
        <v>51</v>
      </c>
      <c r="Q144" s="50" t="s">
        <v>169</v>
      </c>
      <c r="R144" s="49">
        <v>41500</v>
      </c>
      <c r="S144" s="49">
        <v>0</v>
      </c>
      <c r="T144" s="49"/>
      <c r="U144" s="49"/>
      <c r="V144" s="47"/>
    </row>
    <row r="145" spans="1:26" x14ac:dyDescent="0.25">
      <c r="A145" s="33">
        <v>144</v>
      </c>
      <c r="B145" s="33" t="s">
        <v>204</v>
      </c>
      <c r="C145" s="47">
        <v>40</v>
      </c>
      <c r="D145" s="49">
        <v>279</v>
      </c>
      <c r="E145" s="49">
        <v>105</v>
      </c>
      <c r="F145" s="49">
        <v>174</v>
      </c>
      <c r="G145" s="49">
        <v>579760</v>
      </c>
      <c r="H145" s="50" t="s">
        <v>69</v>
      </c>
      <c r="I145" s="49">
        <v>28700</v>
      </c>
      <c r="J145" s="47">
        <v>8.6128699999999991</v>
      </c>
      <c r="K145" s="50" t="s">
        <v>149</v>
      </c>
      <c r="L145" s="49">
        <v>1380</v>
      </c>
      <c r="M145" s="49">
        <v>0</v>
      </c>
      <c r="N145" s="50" t="s">
        <v>163</v>
      </c>
      <c r="O145" s="49">
        <v>500000</v>
      </c>
      <c r="P145" s="49">
        <v>51</v>
      </c>
      <c r="Q145" s="50" t="s">
        <v>159</v>
      </c>
      <c r="R145" s="49">
        <v>45000</v>
      </c>
      <c r="S145" s="49">
        <v>1.9375</v>
      </c>
      <c r="T145" s="50" t="s">
        <v>158</v>
      </c>
      <c r="U145" s="49">
        <v>4680</v>
      </c>
      <c r="V145" s="47">
        <v>1.9375</v>
      </c>
    </row>
    <row r="146" spans="1:26" x14ac:dyDescent="0.25">
      <c r="A146" s="33">
        <v>145</v>
      </c>
      <c r="B146" s="33" t="s">
        <v>204</v>
      </c>
      <c r="C146" s="47">
        <v>40</v>
      </c>
      <c r="D146" s="49">
        <v>263</v>
      </c>
      <c r="E146" s="49">
        <v>98</v>
      </c>
      <c r="F146" s="49">
        <v>165</v>
      </c>
      <c r="G146" s="49">
        <v>570200</v>
      </c>
      <c r="H146" s="50" t="s">
        <v>169</v>
      </c>
      <c r="I146" s="49">
        <v>70200</v>
      </c>
      <c r="J146" s="47">
        <v>0</v>
      </c>
      <c r="K146" s="50" t="s">
        <v>163</v>
      </c>
      <c r="L146" s="49">
        <v>500000</v>
      </c>
      <c r="M146" s="49">
        <v>51</v>
      </c>
      <c r="N146" s="50"/>
      <c r="O146" s="49"/>
      <c r="P146" s="49"/>
      <c r="Q146" s="50"/>
      <c r="R146" s="49"/>
      <c r="S146" s="49"/>
      <c r="T146" s="50"/>
      <c r="U146" s="49"/>
      <c r="V146" s="47"/>
    </row>
    <row r="147" spans="1:26" ht="15" x14ac:dyDescent="0.25">
      <c r="A147" s="33">
        <v>146</v>
      </c>
      <c r="B147" s="33" t="s">
        <v>204</v>
      </c>
      <c r="C147" s="47">
        <v>40</v>
      </c>
      <c r="D147" s="49">
        <v>267</v>
      </c>
      <c r="E147" s="49">
        <v>108</v>
      </c>
      <c r="F147" s="49">
        <v>159</v>
      </c>
      <c r="G147" s="49">
        <v>578760</v>
      </c>
      <c r="H147" s="50" t="s">
        <v>169</v>
      </c>
      <c r="I147" s="49">
        <v>28700</v>
      </c>
      <c r="J147" s="47">
        <v>0</v>
      </c>
      <c r="K147" s="50" t="s">
        <v>163</v>
      </c>
      <c r="L147" s="49">
        <v>500000</v>
      </c>
      <c r="M147" s="49">
        <v>51</v>
      </c>
      <c r="N147" s="50" t="s">
        <v>159</v>
      </c>
      <c r="O147" s="49">
        <v>45000</v>
      </c>
      <c r="P147" s="49">
        <v>1.9375</v>
      </c>
      <c r="Q147" s="50" t="s">
        <v>158</v>
      </c>
      <c r="R147" s="49">
        <v>4680</v>
      </c>
      <c r="S147" s="49">
        <v>1.9375</v>
      </c>
      <c r="T147" s="50" t="s">
        <v>149</v>
      </c>
      <c r="U147" s="49">
        <v>380</v>
      </c>
      <c r="V147" s="47">
        <v>0</v>
      </c>
      <c r="Y147" s="51"/>
      <c r="Z147" s="51"/>
    </row>
    <row r="148" spans="1:26" x14ac:dyDescent="0.25">
      <c r="A148" s="33">
        <v>147</v>
      </c>
      <c r="B148" s="33" t="s">
        <v>204</v>
      </c>
      <c r="C148" s="41">
        <v>41</v>
      </c>
      <c r="D148" s="41">
        <v>330</v>
      </c>
      <c r="E148" s="41">
        <v>0</v>
      </c>
      <c r="F148" s="41">
        <v>334</v>
      </c>
      <c r="G148" s="41">
        <v>406400</v>
      </c>
      <c r="H148" s="42" t="s">
        <v>149</v>
      </c>
      <c r="I148" s="41">
        <v>400</v>
      </c>
      <c r="J148" s="41">
        <v>0</v>
      </c>
      <c r="K148" s="42" t="s">
        <v>69</v>
      </c>
      <c r="L148" s="41">
        <v>406000</v>
      </c>
      <c r="M148" s="41">
        <v>121.84059999999999</v>
      </c>
      <c r="N148" s="42"/>
      <c r="O148" s="41"/>
      <c r="P148" s="33" t="s">
        <v>201</v>
      </c>
      <c r="S148" s="33" t="s">
        <v>201</v>
      </c>
      <c r="V148" s="33" t="s">
        <v>201</v>
      </c>
      <c r="Y148" s="33" t="s">
        <v>201</v>
      </c>
    </row>
    <row r="149" spans="1:26" x14ac:dyDescent="0.25">
      <c r="A149" s="33">
        <v>148</v>
      </c>
      <c r="B149" s="33" t="s">
        <v>204</v>
      </c>
      <c r="C149" s="41">
        <v>41</v>
      </c>
      <c r="D149" s="41">
        <v>326</v>
      </c>
      <c r="E149" s="41">
        <v>67</v>
      </c>
      <c r="F149" s="41">
        <v>259</v>
      </c>
      <c r="G149" s="41">
        <v>431970</v>
      </c>
      <c r="H149" s="42" t="s">
        <v>69</v>
      </c>
      <c r="I149" s="41">
        <v>2900</v>
      </c>
      <c r="J149" s="41">
        <v>0.8702899999999999</v>
      </c>
      <c r="K149" s="42" t="s">
        <v>160</v>
      </c>
      <c r="L149" s="41">
        <v>425000</v>
      </c>
      <c r="M149" s="41">
        <v>76.5</v>
      </c>
      <c r="N149" s="42" t="s">
        <v>155</v>
      </c>
      <c r="O149" s="41">
        <v>3210</v>
      </c>
      <c r="P149" s="33">
        <v>1.9375</v>
      </c>
      <c r="Q149" s="33" t="s">
        <v>149</v>
      </c>
      <c r="R149" s="33">
        <v>760</v>
      </c>
      <c r="S149" s="33">
        <v>0</v>
      </c>
      <c r="V149" s="33" t="s">
        <v>201</v>
      </c>
      <c r="Y149" s="33" t="s">
        <v>201</v>
      </c>
    </row>
    <row r="150" spans="1:26" x14ac:dyDescent="0.25">
      <c r="A150" s="33">
        <v>149</v>
      </c>
      <c r="B150" s="33" t="s">
        <v>204</v>
      </c>
      <c r="C150" s="41">
        <v>41</v>
      </c>
      <c r="D150" s="41">
        <v>308</v>
      </c>
      <c r="E150" s="41">
        <v>61</v>
      </c>
      <c r="F150" s="41">
        <v>247</v>
      </c>
      <c r="G150" s="41">
        <v>430900</v>
      </c>
      <c r="H150" s="42" t="s">
        <v>69</v>
      </c>
      <c r="I150" s="41">
        <v>2900</v>
      </c>
      <c r="J150" s="41">
        <v>0.8702899999999999</v>
      </c>
      <c r="K150" s="42" t="s">
        <v>160</v>
      </c>
      <c r="L150" s="41">
        <v>425000</v>
      </c>
      <c r="M150" s="41">
        <v>76.5</v>
      </c>
      <c r="N150" s="42" t="s">
        <v>169</v>
      </c>
      <c r="O150" s="41">
        <v>3000</v>
      </c>
      <c r="P150" s="33">
        <v>0</v>
      </c>
      <c r="S150" s="33" t="s">
        <v>201</v>
      </c>
      <c r="V150" s="33" t="s">
        <v>201</v>
      </c>
      <c r="Y150" s="33" t="s">
        <v>201</v>
      </c>
    </row>
    <row r="151" spans="1:26" x14ac:dyDescent="0.25">
      <c r="A151" s="33">
        <v>150</v>
      </c>
      <c r="B151" s="33" t="s">
        <v>204</v>
      </c>
      <c r="C151" s="41">
        <v>41</v>
      </c>
      <c r="D151" s="41">
        <v>326</v>
      </c>
      <c r="E151" s="41">
        <v>67</v>
      </c>
      <c r="F151" s="41">
        <v>259</v>
      </c>
      <c r="G151" s="41">
        <v>431870</v>
      </c>
      <c r="H151" s="42" t="s">
        <v>69</v>
      </c>
      <c r="I151" s="41">
        <v>2900</v>
      </c>
      <c r="J151" s="41">
        <v>0.8702899999999999</v>
      </c>
      <c r="K151" s="42" t="s">
        <v>160</v>
      </c>
      <c r="L151" s="41">
        <v>425000</v>
      </c>
      <c r="M151" s="41">
        <v>76.5</v>
      </c>
      <c r="N151" s="42" t="s">
        <v>155</v>
      </c>
      <c r="O151" s="41">
        <v>3210</v>
      </c>
      <c r="P151" s="33">
        <v>1.9375</v>
      </c>
      <c r="Q151" s="33" t="s">
        <v>149</v>
      </c>
      <c r="R151" s="33">
        <v>760</v>
      </c>
      <c r="S151" s="33">
        <v>0</v>
      </c>
      <c r="V151" s="33" t="s">
        <v>201</v>
      </c>
      <c r="Y151" s="33" t="s">
        <v>201</v>
      </c>
    </row>
    <row r="152" spans="1:26" x14ac:dyDescent="0.25">
      <c r="A152" s="33">
        <v>151</v>
      </c>
      <c r="B152" s="33" t="s">
        <v>204</v>
      </c>
      <c r="C152" s="41">
        <v>41</v>
      </c>
      <c r="D152" s="41">
        <v>308</v>
      </c>
      <c r="E152" s="41">
        <v>61</v>
      </c>
      <c r="F152" s="41">
        <v>247</v>
      </c>
      <c r="G152" s="41">
        <v>430900</v>
      </c>
      <c r="H152" s="42" t="s">
        <v>69</v>
      </c>
      <c r="I152" s="41">
        <v>2900</v>
      </c>
      <c r="J152" s="41">
        <v>0.8702899999999999</v>
      </c>
      <c r="K152" s="42" t="s">
        <v>160</v>
      </c>
      <c r="L152" s="41">
        <v>425000</v>
      </c>
      <c r="M152" s="41">
        <v>76.5</v>
      </c>
      <c r="N152" s="42" t="s">
        <v>169</v>
      </c>
      <c r="O152" s="41">
        <v>3000</v>
      </c>
      <c r="P152" s="33">
        <v>0</v>
      </c>
      <c r="S152" s="33" t="s">
        <v>201</v>
      </c>
      <c r="V152" s="33" t="s">
        <v>201</v>
      </c>
      <c r="Y152" s="33" t="s">
        <v>201</v>
      </c>
    </row>
    <row r="153" spans="1:26" x14ac:dyDescent="0.25">
      <c r="A153" s="33">
        <v>152</v>
      </c>
      <c r="B153" s="33" t="s">
        <v>204</v>
      </c>
      <c r="C153" s="41">
        <v>41</v>
      </c>
      <c r="D153" s="41">
        <v>311</v>
      </c>
      <c r="E153" s="41">
        <v>60</v>
      </c>
      <c r="F153" s="41">
        <v>251</v>
      </c>
      <c r="G153" s="41">
        <v>430900</v>
      </c>
      <c r="H153" s="42" t="s">
        <v>69</v>
      </c>
      <c r="I153" s="41">
        <v>2900</v>
      </c>
      <c r="J153" s="41">
        <v>0.8702899999999999</v>
      </c>
      <c r="K153" s="42" t="s">
        <v>160</v>
      </c>
      <c r="L153" s="41">
        <v>425000</v>
      </c>
      <c r="M153" s="41">
        <v>76.5</v>
      </c>
      <c r="N153" s="42" t="s">
        <v>168</v>
      </c>
      <c r="O153" s="41">
        <v>3000</v>
      </c>
      <c r="P153" s="33">
        <v>0</v>
      </c>
      <c r="S153" s="33" t="s">
        <v>201</v>
      </c>
      <c r="V153" s="33" t="s">
        <v>201</v>
      </c>
      <c r="Y153" s="33" t="s">
        <v>201</v>
      </c>
    </row>
    <row r="154" spans="1:26" x14ac:dyDescent="0.25">
      <c r="A154" s="33">
        <v>153</v>
      </c>
      <c r="B154" s="33" t="s">
        <v>204</v>
      </c>
      <c r="C154" s="41">
        <v>41</v>
      </c>
      <c r="D154" s="41">
        <v>310</v>
      </c>
      <c r="E154" s="41">
        <v>60</v>
      </c>
      <c r="F154" s="41">
        <v>250</v>
      </c>
      <c r="G154" s="41">
        <v>430900</v>
      </c>
      <c r="H154" s="42" t="s">
        <v>69</v>
      </c>
      <c r="I154" s="41">
        <v>2900</v>
      </c>
      <c r="J154" s="41">
        <v>0.8702899999999999</v>
      </c>
      <c r="K154" s="42" t="s">
        <v>160</v>
      </c>
      <c r="L154" s="41">
        <v>425000</v>
      </c>
      <c r="M154" s="41">
        <v>76.5</v>
      </c>
      <c r="N154" s="42" t="s">
        <v>168</v>
      </c>
      <c r="O154" s="41">
        <v>3000</v>
      </c>
      <c r="P154" s="33">
        <v>0</v>
      </c>
      <c r="Y154" s="33"/>
    </row>
    <row r="155" spans="1:26" x14ac:dyDescent="0.25">
      <c r="A155" s="33">
        <v>154</v>
      </c>
      <c r="B155" s="33" t="s">
        <v>204</v>
      </c>
      <c r="C155" s="41">
        <v>41</v>
      </c>
      <c r="D155" s="41">
        <v>334</v>
      </c>
      <c r="E155" s="41">
        <v>58</v>
      </c>
      <c r="F155" s="41">
        <v>276</v>
      </c>
      <c r="G155" s="41">
        <v>430900</v>
      </c>
      <c r="H155" s="42" t="s">
        <v>69</v>
      </c>
      <c r="I155" s="41">
        <v>2900</v>
      </c>
      <c r="J155" s="41">
        <v>0.8702899999999999</v>
      </c>
      <c r="K155" s="42" t="s">
        <v>160</v>
      </c>
      <c r="L155" s="41">
        <v>425000</v>
      </c>
      <c r="M155" s="41">
        <v>76.5</v>
      </c>
      <c r="N155" s="42" t="s">
        <v>149</v>
      </c>
      <c r="O155" s="41">
        <v>3000</v>
      </c>
      <c r="P155" s="33">
        <v>0</v>
      </c>
      <c r="S155" s="33" t="s">
        <v>201</v>
      </c>
      <c r="V155" s="33" t="s">
        <v>201</v>
      </c>
      <c r="Y155" s="33" t="s">
        <v>201</v>
      </c>
    </row>
    <row r="156" spans="1:26" x14ac:dyDescent="0.25">
      <c r="A156" s="33">
        <v>155</v>
      </c>
      <c r="B156" s="33" t="s">
        <v>204</v>
      </c>
      <c r="C156" s="41">
        <v>41</v>
      </c>
      <c r="D156" s="41">
        <v>323</v>
      </c>
      <c r="E156" s="41">
        <v>71</v>
      </c>
      <c r="F156" s="41">
        <v>252</v>
      </c>
      <c r="G156" s="41">
        <v>431350</v>
      </c>
      <c r="H156" s="42" t="s">
        <v>159</v>
      </c>
      <c r="I156" s="41">
        <v>1530</v>
      </c>
      <c r="J156" s="41">
        <v>1.9375</v>
      </c>
      <c r="K156" s="42" t="s">
        <v>149</v>
      </c>
      <c r="L156" s="41">
        <v>1610</v>
      </c>
      <c r="M156" s="41">
        <v>0</v>
      </c>
      <c r="N156" s="42" t="s">
        <v>160</v>
      </c>
      <c r="O156" s="41">
        <v>425000</v>
      </c>
      <c r="P156" s="33">
        <v>76.5</v>
      </c>
      <c r="Q156" s="33" t="s">
        <v>155</v>
      </c>
      <c r="R156" s="33">
        <v>3210</v>
      </c>
      <c r="S156" s="33">
        <v>1.9375</v>
      </c>
      <c r="V156" s="33" t="s">
        <v>201</v>
      </c>
      <c r="Y156" s="33" t="s">
        <v>201</v>
      </c>
    </row>
    <row r="157" spans="1:26" x14ac:dyDescent="0.25">
      <c r="A157" s="33">
        <v>156</v>
      </c>
      <c r="B157" s="33" t="s">
        <v>204</v>
      </c>
      <c r="C157" s="41">
        <v>41</v>
      </c>
      <c r="D157" s="41">
        <v>305</v>
      </c>
      <c r="E157" s="41">
        <v>65</v>
      </c>
      <c r="F157" s="41">
        <v>240</v>
      </c>
      <c r="G157" s="41">
        <v>430380</v>
      </c>
      <c r="H157" s="42" t="s">
        <v>159</v>
      </c>
      <c r="I157" s="41">
        <v>1530</v>
      </c>
      <c r="J157" s="41">
        <v>1.9375</v>
      </c>
      <c r="K157" s="42" t="s">
        <v>149</v>
      </c>
      <c r="L157" s="41">
        <v>850</v>
      </c>
      <c r="M157" s="41">
        <v>0</v>
      </c>
      <c r="N157" s="42" t="s">
        <v>160</v>
      </c>
      <c r="O157" s="41">
        <v>425000</v>
      </c>
      <c r="P157" s="33">
        <v>76.5</v>
      </c>
      <c r="Q157" s="33" t="s">
        <v>169</v>
      </c>
      <c r="R157" s="33">
        <v>3000</v>
      </c>
      <c r="S157" s="33">
        <v>0</v>
      </c>
      <c r="V157" s="33" t="s">
        <v>201</v>
      </c>
      <c r="Y157" s="33" t="s">
        <v>201</v>
      </c>
    </row>
    <row r="158" spans="1:26" x14ac:dyDescent="0.25">
      <c r="A158" s="33">
        <v>157</v>
      </c>
      <c r="B158" s="33" t="s">
        <v>204</v>
      </c>
      <c r="C158" s="41">
        <v>41</v>
      </c>
      <c r="D158" s="41">
        <v>308</v>
      </c>
      <c r="E158" s="41">
        <v>64</v>
      </c>
      <c r="F158" s="41">
        <v>244</v>
      </c>
      <c r="G158" s="41">
        <v>430380</v>
      </c>
      <c r="H158" s="42" t="s">
        <v>159</v>
      </c>
      <c r="I158" s="41">
        <v>1530</v>
      </c>
      <c r="J158" s="41">
        <v>1.9375</v>
      </c>
      <c r="K158" s="42" t="s">
        <v>149</v>
      </c>
      <c r="L158" s="41">
        <v>850</v>
      </c>
      <c r="M158" s="41">
        <v>0</v>
      </c>
      <c r="N158" s="42" t="s">
        <v>160</v>
      </c>
      <c r="O158" s="41">
        <v>425000</v>
      </c>
      <c r="P158" s="33">
        <v>76.5</v>
      </c>
      <c r="Q158" s="33" t="s">
        <v>168</v>
      </c>
      <c r="R158" s="33">
        <v>3000</v>
      </c>
      <c r="S158" s="33">
        <v>0</v>
      </c>
      <c r="V158" s="33" t="s">
        <v>201</v>
      </c>
      <c r="Y158" s="33" t="s">
        <v>201</v>
      </c>
    </row>
    <row r="159" spans="1:26" x14ac:dyDescent="0.25">
      <c r="A159" s="33">
        <v>158</v>
      </c>
      <c r="B159" s="33" t="s">
        <v>204</v>
      </c>
      <c r="C159" s="41">
        <v>41</v>
      </c>
      <c r="D159" s="41">
        <v>307</v>
      </c>
      <c r="E159" s="41">
        <v>64</v>
      </c>
      <c r="F159" s="41">
        <v>243</v>
      </c>
      <c r="G159" s="41">
        <v>430380</v>
      </c>
      <c r="H159" s="42" t="s">
        <v>159</v>
      </c>
      <c r="I159" s="41">
        <v>1530</v>
      </c>
      <c r="J159" s="41">
        <v>1.9375</v>
      </c>
      <c r="K159" s="42" t="s">
        <v>149</v>
      </c>
      <c r="L159" s="41">
        <v>850</v>
      </c>
      <c r="M159" s="41">
        <v>0</v>
      </c>
      <c r="N159" s="42" t="s">
        <v>160</v>
      </c>
      <c r="O159" s="41">
        <v>425000</v>
      </c>
      <c r="P159" s="33">
        <v>76.5</v>
      </c>
      <c r="Q159" s="33" t="s">
        <v>168</v>
      </c>
      <c r="R159" s="33">
        <v>3000</v>
      </c>
      <c r="S159" s="33">
        <v>0</v>
      </c>
      <c r="Y159" s="33"/>
    </row>
    <row r="160" spans="1:26" x14ac:dyDescent="0.25">
      <c r="A160" s="33">
        <v>159</v>
      </c>
      <c r="B160" s="33" t="s">
        <v>204</v>
      </c>
      <c r="C160" s="41">
        <v>41</v>
      </c>
      <c r="D160" s="41">
        <v>331</v>
      </c>
      <c r="E160" s="41">
        <v>62</v>
      </c>
      <c r="F160" s="41">
        <v>269</v>
      </c>
      <c r="G160" s="41">
        <v>430380</v>
      </c>
      <c r="H160" s="42" t="s">
        <v>159</v>
      </c>
      <c r="I160" s="41">
        <v>1530</v>
      </c>
      <c r="J160" s="41">
        <v>1.9375</v>
      </c>
      <c r="K160" s="42" t="s">
        <v>149</v>
      </c>
      <c r="L160" s="41">
        <v>3850</v>
      </c>
      <c r="M160" s="41">
        <v>0</v>
      </c>
      <c r="N160" s="42" t="s">
        <v>160</v>
      </c>
      <c r="O160" s="41">
        <v>425000</v>
      </c>
      <c r="P160" s="33">
        <v>76.5</v>
      </c>
      <c r="S160" s="33" t="s">
        <v>201</v>
      </c>
      <c r="V160" s="33" t="s">
        <v>201</v>
      </c>
      <c r="Y160" s="33" t="s">
        <v>201</v>
      </c>
    </row>
    <row r="161" spans="1:25" x14ac:dyDescent="0.25">
      <c r="A161" s="33">
        <v>160</v>
      </c>
      <c r="B161" s="33" t="s">
        <v>204</v>
      </c>
      <c r="C161" s="41">
        <v>41</v>
      </c>
      <c r="D161" s="41">
        <v>327</v>
      </c>
      <c r="E161" s="41">
        <v>67</v>
      </c>
      <c r="F161" s="41">
        <v>260</v>
      </c>
      <c r="G161" s="41">
        <v>430570</v>
      </c>
      <c r="H161" s="42" t="s">
        <v>149</v>
      </c>
      <c r="I161" s="41">
        <v>2360</v>
      </c>
      <c r="J161" s="41">
        <v>0</v>
      </c>
      <c r="K161" s="42" t="s">
        <v>160</v>
      </c>
      <c r="L161" s="41">
        <v>425000</v>
      </c>
      <c r="M161" s="41">
        <v>76.5</v>
      </c>
      <c r="N161" s="42" t="s">
        <v>155</v>
      </c>
      <c r="O161" s="41">
        <v>3210</v>
      </c>
      <c r="P161" s="33">
        <v>1.9375</v>
      </c>
      <c r="S161" s="33" t="s">
        <v>201</v>
      </c>
      <c r="V161" s="33" t="s">
        <v>201</v>
      </c>
      <c r="Y161" s="33" t="s">
        <v>201</v>
      </c>
    </row>
    <row r="162" spans="1:25" x14ac:dyDescent="0.25">
      <c r="A162" s="33">
        <v>161</v>
      </c>
      <c r="B162" s="33" t="s">
        <v>204</v>
      </c>
      <c r="C162" s="41">
        <v>41</v>
      </c>
      <c r="D162" s="41">
        <v>309</v>
      </c>
      <c r="E162" s="41">
        <v>61</v>
      </c>
      <c r="F162" s="41">
        <v>248</v>
      </c>
      <c r="G162" s="41">
        <v>429600</v>
      </c>
      <c r="H162" s="42" t="s">
        <v>149</v>
      </c>
      <c r="I162" s="41">
        <v>1600</v>
      </c>
      <c r="J162" s="41">
        <v>0</v>
      </c>
      <c r="K162" s="42" t="s">
        <v>160</v>
      </c>
      <c r="L162" s="41">
        <v>425000</v>
      </c>
      <c r="M162" s="41">
        <v>76.5</v>
      </c>
      <c r="N162" s="42" t="s">
        <v>169</v>
      </c>
      <c r="O162" s="41">
        <v>3000</v>
      </c>
      <c r="P162" s="33">
        <v>0</v>
      </c>
      <c r="S162" s="33" t="s">
        <v>201</v>
      </c>
      <c r="V162" s="33" t="s">
        <v>201</v>
      </c>
      <c r="Y162" s="33" t="s">
        <v>201</v>
      </c>
    </row>
    <row r="163" spans="1:25" x14ac:dyDescent="0.25">
      <c r="A163" s="33">
        <v>162</v>
      </c>
      <c r="B163" s="33" t="s">
        <v>204</v>
      </c>
      <c r="C163" s="41">
        <v>41</v>
      </c>
      <c r="D163" s="41">
        <v>312</v>
      </c>
      <c r="E163" s="41">
        <v>60</v>
      </c>
      <c r="F163" s="41">
        <v>252</v>
      </c>
      <c r="G163" s="41">
        <v>429600</v>
      </c>
      <c r="H163" s="42" t="s">
        <v>149</v>
      </c>
      <c r="I163" s="41">
        <v>1600</v>
      </c>
      <c r="J163" s="41">
        <v>0</v>
      </c>
      <c r="K163" s="42" t="s">
        <v>160</v>
      </c>
      <c r="L163" s="41">
        <v>425000</v>
      </c>
      <c r="M163" s="41">
        <v>76.5</v>
      </c>
      <c r="N163" s="42" t="s">
        <v>168</v>
      </c>
      <c r="O163" s="41">
        <v>3000</v>
      </c>
      <c r="P163" s="33">
        <v>0</v>
      </c>
      <c r="S163" s="33" t="s">
        <v>201</v>
      </c>
      <c r="V163" s="33" t="s">
        <v>201</v>
      </c>
      <c r="Y163" s="33" t="s">
        <v>201</v>
      </c>
    </row>
    <row r="164" spans="1:25" x14ac:dyDescent="0.25">
      <c r="A164" s="33">
        <v>163</v>
      </c>
      <c r="B164" s="33" t="s">
        <v>204</v>
      </c>
      <c r="C164" s="41">
        <v>41</v>
      </c>
      <c r="D164" s="41">
        <v>311</v>
      </c>
      <c r="E164" s="41">
        <v>60</v>
      </c>
      <c r="F164" s="41">
        <v>251</v>
      </c>
      <c r="G164" s="41">
        <v>429600</v>
      </c>
      <c r="H164" s="42" t="s">
        <v>149</v>
      </c>
      <c r="I164" s="41">
        <v>1600</v>
      </c>
      <c r="J164" s="41">
        <v>0</v>
      </c>
      <c r="K164" s="42" t="s">
        <v>160</v>
      </c>
      <c r="L164" s="41">
        <v>425000</v>
      </c>
      <c r="M164" s="41">
        <v>76.5</v>
      </c>
      <c r="N164" s="42" t="s">
        <v>168</v>
      </c>
      <c r="O164" s="41">
        <v>3000</v>
      </c>
      <c r="P164" s="33">
        <v>0</v>
      </c>
      <c r="Y164" s="33"/>
    </row>
    <row r="165" spans="1:25" x14ac:dyDescent="0.25">
      <c r="A165" s="33">
        <v>164</v>
      </c>
      <c r="B165" s="33" t="s">
        <v>204</v>
      </c>
      <c r="C165" s="41">
        <v>41</v>
      </c>
      <c r="D165" s="41">
        <v>335</v>
      </c>
      <c r="E165" s="41">
        <v>58</v>
      </c>
      <c r="F165" s="41">
        <v>277</v>
      </c>
      <c r="G165" s="41">
        <v>429600</v>
      </c>
      <c r="H165" s="42" t="s">
        <v>149</v>
      </c>
      <c r="I165" s="41">
        <v>4600</v>
      </c>
      <c r="J165" s="41">
        <v>0</v>
      </c>
      <c r="K165" s="42" t="s">
        <v>160</v>
      </c>
      <c r="L165" s="41">
        <v>425000</v>
      </c>
      <c r="M165" s="41">
        <v>76.5</v>
      </c>
      <c r="N165" s="42"/>
      <c r="O165" s="41"/>
      <c r="P165" s="33" t="s">
        <v>201</v>
      </c>
      <c r="S165" s="33" t="s">
        <v>201</v>
      </c>
      <c r="V165" s="33" t="s">
        <v>201</v>
      </c>
      <c r="Y165" s="33" t="s">
        <v>201</v>
      </c>
    </row>
    <row r="166" spans="1:25" x14ac:dyDescent="0.25">
      <c r="A166" s="33">
        <v>165</v>
      </c>
      <c r="B166" s="33" t="s">
        <v>204</v>
      </c>
      <c r="C166" s="41">
        <v>41</v>
      </c>
      <c r="D166" s="41">
        <v>321</v>
      </c>
      <c r="E166" s="41">
        <v>72</v>
      </c>
      <c r="F166" s="41">
        <v>249</v>
      </c>
      <c r="G166" s="41">
        <v>431670</v>
      </c>
      <c r="H166" s="42" t="s">
        <v>153</v>
      </c>
      <c r="I166" s="41">
        <v>2700</v>
      </c>
      <c r="J166" s="41">
        <v>0</v>
      </c>
      <c r="K166" s="42" t="s">
        <v>160</v>
      </c>
      <c r="L166" s="41">
        <v>425000</v>
      </c>
      <c r="M166" s="41">
        <v>76.5</v>
      </c>
      <c r="N166" s="42" t="s">
        <v>155</v>
      </c>
      <c r="O166" s="41">
        <v>3210</v>
      </c>
      <c r="P166" s="33">
        <v>1.9375</v>
      </c>
      <c r="Q166" s="33" t="s">
        <v>149</v>
      </c>
      <c r="R166" s="33">
        <v>760</v>
      </c>
      <c r="S166" s="33">
        <v>0</v>
      </c>
      <c r="V166" s="33" t="s">
        <v>201</v>
      </c>
      <c r="Y166" s="33" t="s">
        <v>201</v>
      </c>
    </row>
    <row r="167" spans="1:25" x14ac:dyDescent="0.25">
      <c r="A167" s="33">
        <v>166</v>
      </c>
      <c r="B167" s="33" t="s">
        <v>204</v>
      </c>
      <c r="C167" s="41">
        <v>41</v>
      </c>
      <c r="D167" s="41">
        <v>303</v>
      </c>
      <c r="E167" s="41">
        <v>66</v>
      </c>
      <c r="F167" s="41">
        <v>237</v>
      </c>
      <c r="G167" s="41">
        <v>430700</v>
      </c>
      <c r="H167" s="42" t="s">
        <v>153</v>
      </c>
      <c r="I167" s="41">
        <v>2700</v>
      </c>
      <c r="J167" s="41">
        <v>0</v>
      </c>
      <c r="K167" s="42" t="s">
        <v>160</v>
      </c>
      <c r="L167" s="41">
        <v>425000</v>
      </c>
      <c r="M167" s="41">
        <v>76.5</v>
      </c>
      <c r="N167" s="42" t="s">
        <v>169</v>
      </c>
      <c r="O167" s="41">
        <v>3000</v>
      </c>
      <c r="P167" s="33">
        <v>0</v>
      </c>
      <c r="S167" s="33" t="s">
        <v>201</v>
      </c>
      <c r="V167" s="33" t="s">
        <v>201</v>
      </c>
      <c r="Y167" s="33" t="s">
        <v>201</v>
      </c>
    </row>
    <row r="168" spans="1:25" x14ac:dyDescent="0.25">
      <c r="A168" s="33">
        <v>167</v>
      </c>
      <c r="B168" s="33" t="s">
        <v>204</v>
      </c>
      <c r="C168" s="41">
        <v>41</v>
      </c>
      <c r="D168" s="41">
        <v>306</v>
      </c>
      <c r="E168" s="41">
        <v>65</v>
      </c>
      <c r="F168" s="41">
        <v>241</v>
      </c>
      <c r="G168" s="41">
        <v>430700</v>
      </c>
      <c r="H168" s="42" t="s">
        <v>153</v>
      </c>
      <c r="I168" s="41">
        <v>2700</v>
      </c>
      <c r="J168" s="41">
        <v>0</v>
      </c>
      <c r="K168" s="42" t="s">
        <v>160</v>
      </c>
      <c r="L168" s="41">
        <v>425000</v>
      </c>
      <c r="M168" s="41">
        <v>76.5</v>
      </c>
      <c r="N168" s="42" t="s">
        <v>168</v>
      </c>
      <c r="O168" s="41">
        <v>3000</v>
      </c>
      <c r="P168" s="33">
        <v>0</v>
      </c>
      <c r="S168" s="33" t="s">
        <v>201</v>
      </c>
      <c r="V168" s="33" t="s">
        <v>201</v>
      </c>
      <c r="Y168" s="33" t="s">
        <v>201</v>
      </c>
    </row>
    <row r="169" spans="1:25" x14ac:dyDescent="0.25">
      <c r="A169" s="33">
        <v>168</v>
      </c>
      <c r="B169" s="33" t="s">
        <v>204</v>
      </c>
      <c r="C169" s="41">
        <v>41</v>
      </c>
      <c r="D169" s="41">
        <v>329</v>
      </c>
      <c r="E169" s="41">
        <v>63</v>
      </c>
      <c r="F169" s="41">
        <v>266</v>
      </c>
      <c r="G169" s="41">
        <v>430700</v>
      </c>
      <c r="H169" s="42" t="s">
        <v>153</v>
      </c>
      <c r="I169" s="41">
        <v>2700</v>
      </c>
      <c r="J169" s="41">
        <v>0</v>
      </c>
      <c r="K169" s="42" t="s">
        <v>160</v>
      </c>
      <c r="L169" s="41">
        <v>425000</v>
      </c>
      <c r="M169" s="41">
        <v>76.5</v>
      </c>
      <c r="N169" s="42" t="s">
        <v>149</v>
      </c>
      <c r="O169" s="41">
        <v>3000</v>
      </c>
      <c r="P169" s="33">
        <v>0</v>
      </c>
      <c r="S169" s="33" t="s">
        <v>201</v>
      </c>
      <c r="V169" s="33" t="s">
        <v>201</v>
      </c>
      <c r="Y169" s="33" t="s">
        <v>201</v>
      </c>
    </row>
    <row r="170" spans="1:25" x14ac:dyDescent="0.25">
      <c r="A170" s="33">
        <v>169</v>
      </c>
      <c r="B170" s="33" t="s">
        <v>204</v>
      </c>
      <c r="C170" s="41">
        <v>41</v>
      </c>
      <c r="D170" s="41">
        <v>320</v>
      </c>
      <c r="E170" s="41">
        <v>72</v>
      </c>
      <c r="F170" s="41">
        <v>248</v>
      </c>
      <c r="G170" s="41">
        <v>431670</v>
      </c>
      <c r="H170" s="42" t="s">
        <v>154</v>
      </c>
      <c r="I170" s="41">
        <v>2700</v>
      </c>
      <c r="J170" s="41">
        <v>0</v>
      </c>
      <c r="K170" s="42" t="s">
        <v>160</v>
      </c>
      <c r="L170" s="41">
        <v>425000</v>
      </c>
      <c r="M170" s="41">
        <v>76.5</v>
      </c>
      <c r="N170" s="42" t="s">
        <v>155</v>
      </c>
      <c r="O170" s="41">
        <v>3210</v>
      </c>
      <c r="P170" s="33">
        <v>1.9375</v>
      </c>
      <c r="Q170" s="33" t="s">
        <v>149</v>
      </c>
      <c r="R170" s="33">
        <v>760</v>
      </c>
      <c r="S170" s="33">
        <v>0</v>
      </c>
      <c r="Y170" s="33"/>
    </row>
    <row r="171" spans="1:25" x14ac:dyDescent="0.25">
      <c r="A171" s="33">
        <v>170</v>
      </c>
      <c r="B171" s="33" t="s">
        <v>204</v>
      </c>
      <c r="C171" s="41">
        <v>41</v>
      </c>
      <c r="D171" s="41">
        <v>302</v>
      </c>
      <c r="E171" s="41">
        <v>66</v>
      </c>
      <c r="F171" s="41">
        <v>236</v>
      </c>
      <c r="G171" s="41">
        <v>430700</v>
      </c>
      <c r="H171" s="42" t="s">
        <v>154</v>
      </c>
      <c r="I171" s="41">
        <v>2700</v>
      </c>
      <c r="J171" s="41">
        <v>0</v>
      </c>
      <c r="K171" s="42" t="s">
        <v>160</v>
      </c>
      <c r="L171" s="41">
        <v>425000</v>
      </c>
      <c r="M171" s="41">
        <v>76.5</v>
      </c>
      <c r="N171" s="42" t="s">
        <v>169</v>
      </c>
      <c r="O171" s="41">
        <v>3000</v>
      </c>
      <c r="P171" s="33">
        <v>0</v>
      </c>
      <c r="S171" s="33" t="s">
        <v>201</v>
      </c>
      <c r="Y171" s="33"/>
    </row>
    <row r="172" spans="1:25" x14ac:dyDescent="0.25">
      <c r="A172" s="33">
        <v>171</v>
      </c>
      <c r="B172" s="33" t="s">
        <v>204</v>
      </c>
      <c r="C172" s="41">
        <v>41</v>
      </c>
      <c r="D172" s="41">
        <v>303</v>
      </c>
      <c r="E172" s="41">
        <v>65</v>
      </c>
      <c r="F172" s="41">
        <v>238</v>
      </c>
      <c r="G172" s="41">
        <v>430700</v>
      </c>
      <c r="H172" s="42" t="s">
        <v>154</v>
      </c>
      <c r="I172" s="41">
        <v>2700</v>
      </c>
      <c r="J172" s="41">
        <v>0</v>
      </c>
      <c r="K172" s="42" t="s">
        <v>160</v>
      </c>
      <c r="L172" s="41">
        <v>425000</v>
      </c>
      <c r="M172" s="41">
        <v>76.5</v>
      </c>
      <c r="N172" s="42" t="s">
        <v>168</v>
      </c>
      <c r="O172" s="41">
        <v>3000</v>
      </c>
      <c r="P172" s="33">
        <v>0</v>
      </c>
      <c r="S172" s="33" t="s">
        <v>201</v>
      </c>
      <c r="Y172" s="33"/>
    </row>
    <row r="173" spans="1:25" x14ac:dyDescent="0.25">
      <c r="A173" s="33">
        <v>172</v>
      </c>
      <c r="B173" s="33" t="s">
        <v>204</v>
      </c>
      <c r="C173" s="41">
        <v>41</v>
      </c>
      <c r="D173" s="41">
        <v>328</v>
      </c>
      <c r="E173" s="41">
        <v>63</v>
      </c>
      <c r="F173" s="41">
        <v>265</v>
      </c>
      <c r="G173" s="41">
        <v>430700</v>
      </c>
      <c r="H173" s="42" t="s">
        <v>154</v>
      </c>
      <c r="I173" s="41">
        <v>2700</v>
      </c>
      <c r="J173" s="41">
        <v>0</v>
      </c>
      <c r="K173" s="42" t="s">
        <v>160</v>
      </c>
      <c r="L173" s="41">
        <v>425000</v>
      </c>
      <c r="M173" s="41">
        <v>76.5</v>
      </c>
      <c r="N173" s="42" t="s">
        <v>149</v>
      </c>
      <c r="O173" s="41">
        <v>3000</v>
      </c>
      <c r="P173" s="33">
        <v>0</v>
      </c>
      <c r="S173" s="33" t="s">
        <v>201</v>
      </c>
      <c r="Y173" s="33"/>
    </row>
    <row r="174" spans="1:25" x14ac:dyDescent="0.25">
      <c r="A174" s="33">
        <v>173</v>
      </c>
      <c r="B174" s="33" t="s">
        <v>204</v>
      </c>
      <c r="C174" s="41">
        <v>41</v>
      </c>
      <c r="D174" s="41">
        <v>326</v>
      </c>
      <c r="E174" s="41">
        <v>73</v>
      </c>
      <c r="F174" s="41">
        <v>253</v>
      </c>
      <c r="G174" s="41">
        <v>433570</v>
      </c>
      <c r="H174" s="42" t="s">
        <v>169</v>
      </c>
      <c r="I174" s="41">
        <v>4600</v>
      </c>
      <c r="J174" s="41">
        <v>0</v>
      </c>
      <c r="K174" s="42" t="s">
        <v>160</v>
      </c>
      <c r="L174" s="41">
        <v>425000</v>
      </c>
      <c r="M174" s="41">
        <v>76.5</v>
      </c>
      <c r="N174" s="42" t="s">
        <v>155</v>
      </c>
      <c r="O174" s="41">
        <v>3210</v>
      </c>
      <c r="P174" s="33">
        <v>1.9375</v>
      </c>
      <c r="Q174" s="33" t="s">
        <v>149</v>
      </c>
      <c r="R174" s="33">
        <v>760</v>
      </c>
      <c r="S174" s="33">
        <v>0</v>
      </c>
      <c r="V174" s="33" t="s">
        <v>201</v>
      </c>
      <c r="Y174" s="33" t="s">
        <v>201</v>
      </c>
    </row>
    <row r="175" spans="1:25" x14ac:dyDescent="0.25">
      <c r="A175" s="33">
        <v>174</v>
      </c>
      <c r="B175" s="33" t="s">
        <v>204</v>
      </c>
      <c r="C175" s="41">
        <v>41</v>
      </c>
      <c r="D175" s="41">
        <v>308</v>
      </c>
      <c r="E175" s="41">
        <v>67</v>
      </c>
      <c r="F175" s="41">
        <v>241</v>
      </c>
      <c r="G175" s="41">
        <v>432600</v>
      </c>
      <c r="H175" s="42" t="s">
        <v>169</v>
      </c>
      <c r="I175" s="41">
        <v>7600</v>
      </c>
      <c r="J175" s="41">
        <v>0</v>
      </c>
      <c r="K175" s="42" t="s">
        <v>160</v>
      </c>
      <c r="L175" s="41">
        <v>425000</v>
      </c>
      <c r="M175" s="41">
        <v>76.5</v>
      </c>
      <c r="N175" s="42"/>
      <c r="O175" s="41"/>
      <c r="P175" s="33" t="s">
        <v>201</v>
      </c>
      <c r="S175" s="33" t="s">
        <v>201</v>
      </c>
      <c r="V175" s="33" t="s">
        <v>201</v>
      </c>
      <c r="Y175" s="33" t="s">
        <v>201</v>
      </c>
    </row>
    <row r="176" spans="1:25" x14ac:dyDescent="0.25">
      <c r="A176" s="33">
        <v>175</v>
      </c>
      <c r="B176" s="33" t="s">
        <v>204</v>
      </c>
      <c r="C176" s="41">
        <v>41</v>
      </c>
      <c r="D176" s="41">
        <v>311</v>
      </c>
      <c r="E176" s="41">
        <v>66</v>
      </c>
      <c r="F176" s="41">
        <v>245</v>
      </c>
      <c r="G176" s="41">
        <v>432600</v>
      </c>
      <c r="H176" s="42" t="s">
        <v>169</v>
      </c>
      <c r="I176" s="41">
        <v>4600</v>
      </c>
      <c r="J176" s="41">
        <v>0</v>
      </c>
      <c r="K176" s="42" t="s">
        <v>160</v>
      </c>
      <c r="L176" s="41">
        <v>425000</v>
      </c>
      <c r="M176" s="41">
        <v>76.5</v>
      </c>
      <c r="N176" s="42" t="s">
        <v>168</v>
      </c>
      <c r="O176" s="41">
        <v>3000</v>
      </c>
      <c r="P176" s="33">
        <v>0</v>
      </c>
      <c r="S176" s="33" t="s">
        <v>201</v>
      </c>
      <c r="V176" s="33" t="s">
        <v>201</v>
      </c>
      <c r="Y176" s="33" t="s">
        <v>201</v>
      </c>
    </row>
    <row r="177" spans="1:26" x14ac:dyDescent="0.25">
      <c r="A177" s="33">
        <v>176</v>
      </c>
      <c r="B177" s="33" t="s">
        <v>204</v>
      </c>
      <c r="C177" s="41">
        <v>41</v>
      </c>
      <c r="D177" s="41">
        <v>310</v>
      </c>
      <c r="E177" s="41">
        <v>66</v>
      </c>
      <c r="F177" s="41">
        <v>244</v>
      </c>
      <c r="G177" s="41">
        <v>432600</v>
      </c>
      <c r="H177" s="42" t="s">
        <v>169</v>
      </c>
      <c r="I177" s="41">
        <v>4600</v>
      </c>
      <c r="J177" s="41">
        <v>0</v>
      </c>
      <c r="K177" s="42" t="s">
        <v>160</v>
      </c>
      <c r="L177" s="41">
        <v>425000</v>
      </c>
      <c r="M177" s="41">
        <v>76.5</v>
      </c>
      <c r="N177" s="42" t="s">
        <v>168</v>
      </c>
      <c r="O177" s="41">
        <v>3000</v>
      </c>
      <c r="P177" s="33">
        <v>0</v>
      </c>
      <c r="Y177" s="33"/>
    </row>
    <row r="178" spans="1:26" x14ac:dyDescent="0.25">
      <c r="A178" s="33">
        <v>177</v>
      </c>
      <c r="B178" s="33" t="s">
        <v>204</v>
      </c>
      <c r="C178" s="41">
        <v>41</v>
      </c>
      <c r="D178" s="41">
        <v>334</v>
      </c>
      <c r="E178" s="41">
        <v>64</v>
      </c>
      <c r="F178" s="41">
        <v>270</v>
      </c>
      <c r="G178" s="41">
        <v>432600</v>
      </c>
      <c r="H178" s="42" t="s">
        <v>169</v>
      </c>
      <c r="I178" s="41">
        <v>4600</v>
      </c>
      <c r="J178" s="41">
        <v>0</v>
      </c>
      <c r="K178" s="42" t="s">
        <v>160</v>
      </c>
      <c r="L178" s="41">
        <v>425000</v>
      </c>
      <c r="M178" s="41">
        <v>76.5</v>
      </c>
      <c r="N178" s="42" t="s">
        <v>149</v>
      </c>
      <c r="O178" s="41">
        <v>3000</v>
      </c>
      <c r="P178" s="33">
        <v>0</v>
      </c>
      <c r="S178" s="33" t="s">
        <v>201</v>
      </c>
      <c r="V178" s="33" t="s">
        <v>201</v>
      </c>
      <c r="Y178" s="33" t="s">
        <v>201</v>
      </c>
    </row>
    <row r="179" spans="1:26" x14ac:dyDescent="0.25">
      <c r="A179" s="33">
        <v>178</v>
      </c>
      <c r="B179" s="33" t="s">
        <v>204</v>
      </c>
      <c r="C179" s="41">
        <v>41</v>
      </c>
      <c r="D179" s="41">
        <v>275</v>
      </c>
      <c r="E179" s="41">
        <v>105</v>
      </c>
      <c r="F179" s="41">
        <v>170</v>
      </c>
      <c r="G179" s="41">
        <v>500600</v>
      </c>
      <c r="H179" s="42" t="s">
        <v>69</v>
      </c>
      <c r="I179" s="41">
        <v>13600</v>
      </c>
      <c r="J179" s="41">
        <v>4.0813599999999992</v>
      </c>
      <c r="K179" s="42" t="s">
        <v>163</v>
      </c>
      <c r="L179" s="41">
        <v>400000</v>
      </c>
      <c r="M179" s="41">
        <v>51</v>
      </c>
      <c r="N179" s="42" t="s">
        <v>169</v>
      </c>
      <c r="O179" s="41">
        <v>87000</v>
      </c>
      <c r="P179" s="33">
        <v>0</v>
      </c>
      <c r="S179" s="33" t="s">
        <v>201</v>
      </c>
      <c r="V179" s="33" t="s">
        <v>201</v>
      </c>
      <c r="Y179" s="33" t="s">
        <v>201</v>
      </c>
    </row>
    <row r="180" spans="1:26" x14ac:dyDescent="0.25">
      <c r="A180" s="33">
        <v>179</v>
      </c>
      <c r="B180" s="33" t="s">
        <v>204</v>
      </c>
      <c r="C180" s="41">
        <v>41</v>
      </c>
      <c r="D180" s="41">
        <v>301</v>
      </c>
      <c r="E180" s="41">
        <v>132</v>
      </c>
      <c r="F180" s="41">
        <v>169</v>
      </c>
      <c r="G180" s="41">
        <v>481560</v>
      </c>
      <c r="H180" s="42" t="s">
        <v>69</v>
      </c>
      <c r="I180" s="41">
        <v>13600</v>
      </c>
      <c r="J180" s="41">
        <v>4.0813599999999992</v>
      </c>
      <c r="K180" s="42" t="s">
        <v>163</v>
      </c>
      <c r="L180" s="41">
        <v>400000</v>
      </c>
      <c r="M180" s="41">
        <v>51</v>
      </c>
      <c r="N180" s="42" t="s">
        <v>159</v>
      </c>
      <c r="O180" s="41">
        <v>64000</v>
      </c>
      <c r="P180" s="33">
        <v>1.9375</v>
      </c>
      <c r="Q180" s="33" t="s">
        <v>155</v>
      </c>
      <c r="R180" s="33">
        <v>3210</v>
      </c>
      <c r="S180" s="33">
        <v>1.9375</v>
      </c>
      <c r="T180" s="33" t="s">
        <v>149</v>
      </c>
      <c r="U180" s="33">
        <v>750</v>
      </c>
      <c r="V180" s="33">
        <v>0</v>
      </c>
      <c r="Y180" s="33" t="s">
        <v>201</v>
      </c>
    </row>
    <row r="181" spans="1:26" x14ac:dyDescent="0.25">
      <c r="A181" s="33">
        <v>180</v>
      </c>
      <c r="B181" s="33" t="s">
        <v>204</v>
      </c>
      <c r="C181" s="41">
        <v>41</v>
      </c>
      <c r="D181" s="41">
        <v>284</v>
      </c>
      <c r="E181" s="41">
        <v>127</v>
      </c>
      <c r="F181" s="41">
        <v>157</v>
      </c>
      <c r="G181" s="41">
        <v>480600</v>
      </c>
      <c r="H181" s="42" t="s">
        <v>69</v>
      </c>
      <c r="I181" s="41">
        <v>13600</v>
      </c>
      <c r="J181" s="41">
        <v>4.0813599999999992</v>
      </c>
      <c r="K181" s="42" t="s">
        <v>163</v>
      </c>
      <c r="L181" s="41">
        <v>400000</v>
      </c>
      <c r="M181" s="41">
        <v>51</v>
      </c>
      <c r="N181" s="42" t="s">
        <v>159</v>
      </c>
      <c r="O181" s="41">
        <v>64000</v>
      </c>
      <c r="P181" s="33">
        <v>1.9375</v>
      </c>
      <c r="Q181" s="33" t="s">
        <v>169</v>
      </c>
      <c r="R181" s="33">
        <v>3000</v>
      </c>
      <c r="S181" s="33">
        <v>0</v>
      </c>
      <c r="V181" s="33" t="s">
        <v>201</v>
      </c>
      <c r="Y181" s="33" t="s">
        <v>201</v>
      </c>
    </row>
    <row r="182" spans="1:26" x14ac:dyDescent="0.25">
      <c r="A182" s="33">
        <v>181</v>
      </c>
      <c r="B182" s="33" t="s">
        <v>204</v>
      </c>
      <c r="C182" s="41">
        <v>41</v>
      </c>
      <c r="D182" s="41">
        <v>272</v>
      </c>
      <c r="E182" s="41">
        <v>99</v>
      </c>
      <c r="F182" s="41">
        <v>173</v>
      </c>
      <c r="G182" s="41">
        <v>502000</v>
      </c>
      <c r="H182" s="42" t="s">
        <v>149</v>
      </c>
      <c r="I182" s="41">
        <v>1000</v>
      </c>
      <c r="J182" s="41">
        <v>0</v>
      </c>
      <c r="K182" s="42" t="s">
        <v>160</v>
      </c>
      <c r="L182" s="41">
        <v>14000</v>
      </c>
      <c r="M182" s="41">
        <v>2.52</v>
      </c>
      <c r="N182" s="42" t="s">
        <v>163</v>
      </c>
      <c r="O182" s="41">
        <v>400000</v>
      </c>
      <c r="P182" s="33">
        <v>51</v>
      </c>
      <c r="Q182" s="33" t="s">
        <v>169</v>
      </c>
      <c r="R182" s="33">
        <v>87000</v>
      </c>
      <c r="S182" s="33">
        <v>0</v>
      </c>
      <c r="V182" s="33" t="s">
        <v>201</v>
      </c>
      <c r="Y182" s="33" t="s">
        <v>201</v>
      </c>
    </row>
    <row r="183" spans="1:26" x14ac:dyDescent="0.25">
      <c r="A183" s="33">
        <v>182</v>
      </c>
      <c r="B183" s="33" t="s">
        <v>204</v>
      </c>
      <c r="C183" s="41">
        <v>41</v>
      </c>
      <c r="D183" s="41">
        <v>298</v>
      </c>
      <c r="E183" s="41">
        <v>126</v>
      </c>
      <c r="F183" s="41">
        <v>172</v>
      </c>
      <c r="G183" s="41">
        <v>482960</v>
      </c>
      <c r="H183" s="42" t="s">
        <v>149</v>
      </c>
      <c r="I183" s="41">
        <v>1750</v>
      </c>
      <c r="J183" s="41">
        <v>0</v>
      </c>
      <c r="K183" s="42" t="s">
        <v>160</v>
      </c>
      <c r="L183" s="41">
        <v>14000</v>
      </c>
      <c r="M183" s="41">
        <v>2.52</v>
      </c>
      <c r="N183" s="42" t="s">
        <v>163</v>
      </c>
      <c r="O183" s="41">
        <v>400000</v>
      </c>
      <c r="P183" s="33">
        <v>51</v>
      </c>
      <c r="Q183" s="33" t="s">
        <v>159</v>
      </c>
      <c r="R183" s="33">
        <v>64000</v>
      </c>
      <c r="S183" s="33">
        <v>1.9375</v>
      </c>
      <c r="T183" s="33" t="s">
        <v>155</v>
      </c>
      <c r="U183" s="33">
        <v>3210</v>
      </c>
      <c r="V183" s="33">
        <v>1.9375</v>
      </c>
      <c r="Y183" s="33" t="s">
        <v>201</v>
      </c>
    </row>
    <row r="184" spans="1:26" x14ac:dyDescent="0.25">
      <c r="A184" s="33">
        <v>183</v>
      </c>
      <c r="B184" s="33" t="s">
        <v>204</v>
      </c>
      <c r="C184" s="41">
        <v>41</v>
      </c>
      <c r="D184" s="41">
        <v>281</v>
      </c>
      <c r="E184" s="41">
        <v>121</v>
      </c>
      <c r="F184" s="41">
        <v>160</v>
      </c>
      <c r="G184" s="41">
        <v>482000</v>
      </c>
      <c r="H184" s="42" t="s">
        <v>149</v>
      </c>
      <c r="I184" s="41">
        <v>1000</v>
      </c>
      <c r="J184" s="41">
        <v>0</v>
      </c>
      <c r="K184" s="42" t="s">
        <v>160</v>
      </c>
      <c r="L184" s="41">
        <v>14000</v>
      </c>
      <c r="M184" s="41">
        <v>2.52</v>
      </c>
      <c r="N184" s="42" t="s">
        <v>163</v>
      </c>
      <c r="O184" s="41">
        <v>400000</v>
      </c>
      <c r="P184" s="33">
        <v>51</v>
      </c>
      <c r="Q184" s="33" t="s">
        <v>159</v>
      </c>
      <c r="R184" s="33">
        <v>64000</v>
      </c>
      <c r="S184" s="33">
        <v>1.9375</v>
      </c>
      <c r="T184" s="33" t="s">
        <v>169</v>
      </c>
      <c r="U184" s="33">
        <v>3000</v>
      </c>
      <c r="V184" s="33">
        <v>0</v>
      </c>
      <c r="Y184" s="33" t="s">
        <v>201</v>
      </c>
    </row>
    <row r="185" spans="1:26" x14ac:dyDescent="0.25">
      <c r="A185" s="33">
        <v>184</v>
      </c>
      <c r="B185" s="33" t="s">
        <v>204</v>
      </c>
      <c r="C185" s="41">
        <v>41</v>
      </c>
      <c r="D185" s="41">
        <v>297</v>
      </c>
      <c r="E185" s="41">
        <v>99</v>
      </c>
      <c r="F185" s="41">
        <v>198</v>
      </c>
      <c r="G185" s="41">
        <v>501300</v>
      </c>
      <c r="H185" s="42" t="s">
        <v>153</v>
      </c>
      <c r="I185" s="41">
        <v>14300</v>
      </c>
      <c r="J185" s="41">
        <v>0</v>
      </c>
      <c r="K185" s="42" t="s">
        <v>163</v>
      </c>
      <c r="L185" s="41">
        <v>400000</v>
      </c>
      <c r="M185" s="41">
        <v>51</v>
      </c>
      <c r="N185" s="42" t="s">
        <v>169</v>
      </c>
      <c r="O185" s="41">
        <v>87000</v>
      </c>
      <c r="P185" s="33">
        <v>0</v>
      </c>
      <c r="S185" s="33" t="s">
        <v>201</v>
      </c>
      <c r="V185" s="33" t="s">
        <v>201</v>
      </c>
      <c r="Y185" s="33" t="s">
        <v>201</v>
      </c>
    </row>
    <row r="186" spans="1:26" x14ac:dyDescent="0.25">
      <c r="A186" s="33">
        <v>185</v>
      </c>
      <c r="B186" s="33" t="s">
        <v>204</v>
      </c>
      <c r="C186" s="41">
        <v>41</v>
      </c>
      <c r="D186" s="41">
        <v>323</v>
      </c>
      <c r="E186" s="41">
        <v>126</v>
      </c>
      <c r="F186" s="41">
        <v>197</v>
      </c>
      <c r="G186" s="41">
        <v>482260</v>
      </c>
      <c r="H186" s="42" t="s">
        <v>153</v>
      </c>
      <c r="I186" s="41">
        <v>14300</v>
      </c>
      <c r="J186" s="41">
        <v>0</v>
      </c>
      <c r="K186" s="42" t="s">
        <v>163</v>
      </c>
      <c r="L186" s="41">
        <v>400000</v>
      </c>
      <c r="M186" s="41">
        <v>51</v>
      </c>
      <c r="N186" s="42" t="s">
        <v>159</v>
      </c>
      <c r="O186" s="41">
        <v>64000</v>
      </c>
      <c r="P186" s="33">
        <v>1.9375</v>
      </c>
      <c r="Q186" s="33" t="s">
        <v>155</v>
      </c>
      <c r="R186" s="33">
        <v>3210</v>
      </c>
      <c r="S186" s="33">
        <v>1.9375</v>
      </c>
      <c r="T186" s="33" t="s">
        <v>149</v>
      </c>
      <c r="U186" s="33">
        <v>750</v>
      </c>
      <c r="V186" s="33">
        <v>0</v>
      </c>
      <c r="Y186" s="33" t="s">
        <v>201</v>
      </c>
    </row>
    <row r="187" spans="1:26" x14ac:dyDescent="0.25">
      <c r="A187" s="33">
        <v>186</v>
      </c>
      <c r="B187" s="33" t="s">
        <v>204</v>
      </c>
      <c r="C187" s="41">
        <v>41</v>
      </c>
      <c r="D187" s="41">
        <v>306</v>
      </c>
      <c r="E187" s="41">
        <v>121</v>
      </c>
      <c r="F187" s="41">
        <v>185</v>
      </c>
      <c r="G187" s="41">
        <v>481300</v>
      </c>
      <c r="H187" s="42" t="s">
        <v>153</v>
      </c>
      <c r="I187" s="41">
        <v>14300</v>
      </c>
      <c r="J187" s="41">
        <v>0</v>
      </c>
      <c r="K187" s="42" t="s">
        <v>163</v>
      </c>
      <c r="L187" s="41">
        <v>400000</v>
      </c>
      <c r="M187" s="41">
        <v>51</v>
      </c>
      <c r="N187" s="42" t="s">
        <v>159</v>
      </c>
      <c r="O187" s="41">
        <v>64000</v>
      </c>
      <c r="P187" s="33">
        <v>1.9375</v>
      </c>
      <c r="Q187" s="36" t="s">
        <v>169</v>
      </c>
      <c r="R187" s="33">
        <v>3000</v>
      </c>
      <c r="S187" s="33">
        <v>0</v>
      </c>
      <c r="V187" s="33" t="s">
        <v>201</v>
      </c>
      <c r="Y187" s="33" t="s">
        <v>201</v>
      </c>
    </row>
    <row r="188" spans="1:26" x14ac:dyDescent="0.25">
      <c r="A188" s="33">
        <v>187</v>
      </c>
      <c r="B188" s="33" t="s">
        <v>204</v>
      </c>
      <c r="C188" s="41">
        <v>41</v>
      </c>
      <c r="D188" s="41">
        <v>269</v>
      </c>
      <c r="E188" s="41">
        <v>99</v>
      </c>
      <c r="F188" s="41">
        <v>170</v>
      </c>
      <c r="G188" s="41">
        <v>500600</v>
      </c>
      <c r="H188" s="42" t="s">
        <v>169</v>
      </c>
      <c r="I188" s="41">
        <v>100600</v>
      </c>
      <c r="J188" s="41">
        <v>0</v>
      </c>
      <c r="K188" s="42" t="s">
        <v>163</v>
      </c>
      <c r="L188" s="41">
        <v>400000</v>
      </c>
      <c r="M188" s="41">
        <v>51</v>
      </c>
      <c r="N188" s="42"/>
      <c r="O188" s="41"/>
      <c r="P188" s="33" t="s">
        <v>201</v>
      </c>
      <c r="Q188" s="36"/>
      <c r="S188" s="33" t="s">
        <v>201</v>
      </c>
      <c r="V188" s="33" t="s">
        <v>201</v>
      </c>
      <c r="Y188" s="33" t="s">
        <v>201</v>
      </c>
    </row>
    <row r="189" spans="1:26" x14ac:dyDescent="0.25">
      <c r="A189" s="33">
        <v>188</v>
      </c>
      <c r="B189" s="33" t="s">
        <v>204</v>
      </c>
      <c r="C189" s="41">
        <v>41</v>
      </c>
      <c r="D189" s="41">
        <v>295</v>
      </c>
      <c r="E189" s="41">
        <v>126</v>
      </c>
      <c r="F189" s="41">
        <v>169</v>
      </c>
      <c r="G189" s="41">
        <v>481560</v>
      </c>
      <c r="H189" s="42" t="s">
        <v>169</v>
      </c>
      <c r="I189" s="41">
        <v>13600</v>
      </c>
      <c r="J189" s="41">
        <v>0</v>
      </c>
      <c r="K189" s="42" t="s">
        <v>163</v>
      </c>
      <c r="L189" s="41">
        <v>400000</v>
      </c>
      <c r="M189" s="41">
        <v>51</v>
      </c>
      <c r="N189" s="42" t="s">
        <v>159</v>
      </c>
      <c r="O189" s="41">
        <v>64000</v>
      </c>
      <c r="P189" s="33">
        <v>1.9375</v>
      </c>
      <c r="Q189" s="36" t="s">
        <v>155</v>
      </c>
      <c r="R189" s="33">
        <v>3210</v>
      </c>
      <c r="S189" s="33">
        <v>1.9375</v>
      </c>
      <c r="T189" s="33" t="s">
        <v>149</v>
      </c>
      <c r="U189" s="33">
        <v>750</v>
      </c>
      <c r="V189" s="33">
        <v>0</v>
      </c>
      <c r="Y189" s="33" t="s">
        <v>201</v>
      </c>
    </row>
    <row r="190" spans="1:26" x14ac:dyDescent="0.25">
      <c r="A190" s="33">
        <v>189</v>
      </c>
      <c r="B190" s="33" t="s">
        <v>204</v>
      </c>
      <c r="C190" s="41">
        <v>41</v>
      </c>
      <c r="D190" s="41">
        <v>278</v>
      </c>
      <c r="E190" s="41">
        <v>121</v>
      </c>
      <c r="F190" s="41">
        <v>157</v>
      </c>
      <c r="G190" s="41">
        <v>480600</v>
      </c>
      <c r="H190" s="42" t="s">
        <v>169</v>
      </c>
      <c r="I190" s="41">
        <v>16600</v>
      </c>
      <c r="J190" s="41">
        <v>0</v>
      </c>
      <c r="K190" s="42" t="s">
        <v>163</v>
      </c>
      <c r="L190" s="41">
        <v>400000</v>
      </c>
      <c r="M190" s="41">
        <v>51</v>
      </c>
      <c r="N190" s="42" t="s">
        <v>159</v>
      </c>
      <c r="O190" s="41">
        <v>64000</v>
      </c>
      <c r="P190" s="33">
        <v>1.9375</v>
      </c>
      <c r="Q190" s="36"/>
      <c r="S190" s="33" t="s">
        <v>201</v>
      </c>
      <c r="V190" s="33" t="s">
        <v>201</v>
      </c>
      <c r="Y190" s="33" t="s">
        <v>201</v>
      </c>
    </row>
    <row r="191" spans="1:26" ht="15" x14ac:dyDescent="0.25">
      <c r="A191" s="33">
        <v>190</v>
      </c>
      <c r="B191" s="33" t="s">
        <v>204</v>
      </c>
      <c r="C191" s="52">
        <v>42</v>
      </c>
      <c r="D191" s="52">
        <v>474</v>
      </c>
      <c r="E191" s="52">
        <v>0</v>
      </c>
      <c r="F191" s="52">
        <v>470</v>
      </c>
      <c r="G191" s="52">
        <v>619400</v>
      </c>
      <c r="H191" s="53" t="s">
        <v>149</v>
      </c>
      <c r="I191" s="52">
        <v>400</v>
      </c>
      <c r="J191" s="52">
        <v>0</v>
      </c>
      <c r="K191" s="53" t="s">
        <v>69</v>
      </c>
      <c r="L191" s="52">
        <v>619000</v>
      </c>
      <c r="M191" s="54">
        <v>185.7619</v>
      </c>
      <c r="N191" s="53" t="s">
        <v>159</v>
      </c>
      <c r="O191" s="52">
        <v>17960</v>
      </c>
      <c r="P191" s="52">
        <v>1.9375</v>
      </c>
      <c r="Q191" s="53" t="s">
        <v>155</v>
      </c>
      <c r="R191" s="52">
        <v>4130</v>
      </c>
      <c r="S191" s="52">
        <v>1.9375</v>
      </c>
      <c r="T191" s="53"/>
      <c r="U191" s="52"/>
      <c r="V191" s="52"/>
      <c r="Y191" s="51"/>
      <c r="Z191" s="51"/>
    </row>
    <row r="192" spans="1:26" ht="15" x14ac:dyDescent="0.25">
      <c r="A192" s="33">
        <v>191</v>
      </c>
      <c r="B192" s="33" t="s">
        <v>204</v>
      </c>
      <c r="C192" s="52">
        <v>42</v>
      </c>
      <c r="D192" s="52">
        <v>402</v>
      </c>
      <c r="E192" s="52">
        <v>36</v>
      </c>
      <c r="F192" s="52">
        <v>366</v>
      </c>
      <c r="G192" s="54">
        <v>711461</v>
      </c>
      <c r="H192" s="55" t="s">
        <v>149</v>
      </c>
      <c r="I192" s="54">
        <v>2161</v>
      </c>
      <c r="J192" s="54">
        <v>0</v>
      </c>
      <c r="K192" s="53" t="s">
        <v>160</v>
      </c>
      <c r="L192" s="52">
        <v>687210</v>
      </c>
      <c r="M192" s="54">
        <v>123.6978</v>
      </c>
      <c r="N192" s="53" t="s">
        <v>169</v>
      </c>
      <c r="O192" s="52">
        <v>2960</v>
      </c>
      <c r="P192" s="52">
        <v>0</v>
      </c>
      <c r="Q192" s="53"/>
      <c r="R192" s="52"/>
      <c r="S192" s="52"/>
      <c r="T192" s="53"/>
      <c r="U192" s="52"/>
      <c r="V192" s="52"/>
      <c r="Y192" s="51"/>
      <c r="Z192" s="51"/>
    </row>
    <row r="193" spans="1:26" ht="15" x14ac:dyDescent="0.25">
      <c r="A193" s="33">
        <v>192</v>
      </c>
      <c r="B193" s="33" t="s">
        <v>204</v>
      </c>
      <c r="C193" s="52">
        <v>42</v>
      </c>
      <c r="D193" s="52">
        <v>390</v>
      </c>
      <c r="E193" s="52">
        <v>16</v>
      </c>
      <c r="F193" s="52">
        <v>374</v>
      </c>
      <c r="G193" s="52">
        <v>691170</v>
      </c>
      <c r="H193" s="53" t="s">
        <v>149</v>
      </c>
      <c r="I193" s="52">
        <v>1000</v>
      </c>
      <c r="J193" s="52">
        <v>0</v>
      </c>
      <c r="K193" s="53" t="s">
        <v>160</v>
      </c>
      <c r="L193" s="52">
        <v>687210</v>
      </c>
      <c r="M193" s="54">
        <v>123.6978</v>
      </c>
      <c r="N193" s="53" t="s">
        <v>149</v>
      </c>
      <c r="O193" s="52">
        <v>1161</v>
      </c>
      <c r="P193" s="52">
        <v>0</v>
      </c>
      <c r="Q193" s="53" t="s">
        <v>159</v>
      </c>
      <c r="R193" s="52">
        <v>17960</v>
      </c>
      <c r="S193" s="52">
        <v>1.9375</v>
      </c>
      <c r="T193" s="53" t="s">
        <v>155</v>
      </c>
      <c r="U193" s="52">
        <v>4130</v>
      </c>
      <c r="V193" s="52">
        <v>1.9375</v>
      </c>
      <c r="Y193" s="51"/>
      <c r="Z193" s="51"/>
    </row>
    <row r="194" spans="1:26" ht="15" x14ac:dyDescent="0.25">
      <c r="A194" s="33">
        <v>193</v>
      </c>
      <c r="B194" s="33" t="s">
        <v>204</v>
      </c>
      <c r="C194" s="52">
        <v>42</v>
      </c>
      <c r="D194" s="52">
        <v>394</v>
      </c>
      <c r="E194" s="52">
        <v>36</v>
      </c>
      <c r="F194" s="52">
        <v>358</v>
      </c>
      <c r="G194" s="52">
        <v>711461</v>
      </c>
      <c r="H194" s="53" t="s">
        <v>153</v>
      </c>
      <c r="I194" s="52">
        <v>1000</v>
      </c>
      <c r="J194" s="52">
        <v>0</v>
      </c>
      <c r="K194" s="53" t="s">
        <v>160</v>
      </c>
      <c r="L194" s="52">
        <v>687210</v>
      </c>
      <c r="M194" s="54">
        <v>123.6978</v>
      </c>
      <c r="N194" s="53" t="s">
        <v>169</v>
      </c>
      <c r="O194" s="52">
        <v>2960</v>
      </c>
      <c r="P194" s="52">
        <v>0</v>
      </c>
      <c r="Q194" s="53"/>
      <c r="R194" s="52"/>
      <c r="S194" s="52"/>
      <c r="T194" s="53"/>
      <c r="U194" s="52"/>
      <c r="V194" s="52"/>
      <c r="Y194" s="51"/>
      <c r="Z194" s="51"/>
    </row>
    <row r="195" spans="1:26" ht="15" x14ac:dyDescent="0.25">
      <c r="A195" s="33">
        <v>194</v>
      </c>
      <c r="B195" s="33" t="s">
        <v>204</v>
      </c>
      <c r="C195" s="52">
        <v>42</v>
      </c>
      <c r="D195" s="52">
        <v>382</v>
      </c>
      <c r="E195" s="52">
        <v>16</v>
      </c>
      <c r="F195" s="52">
        <v>366</v>
      </c>
      <c r="G195" s="52">
        <v>691170</v>
      </c>
      <c r="H195" s="53" t="s">
        <v>153</v>
      </c>
      <c r="I195" s="52">
        <v>1000</v>
      </c>
      <c r="J195" s="52">
        <v>0</v>
      </c>
      <c r="K195" s="53" t="s">
        <v>160</v>
      </c>
      <c r="L195" s="52">
        <v>687210</v>
      </c>
      <c r="M195" s="54">
        <v>123.6978</v>
      </c>
      <c r="N195" s="53" t="s">
        <v>149</v>
      </c>
      <c r="O195" s="52">
        <v>1161</v>
      </c>
      <c r="P195" s="52">
        <v>0</v>
      </c>
      <c r="Q195" s="53" t="s">
        <v>159</v>
      </c>
      <c r="R195" s="52">
        <v>17960</v>
      </c>
      <c r="S195" s="52">
        <v>1.9375</v>
      </c>
      <c r="T195" s="53" t="s">
        <v>155</v>
      </c>
      <c r="U195" s="52">
        <v>4130</v>
      </c>
      <c r="V195" s="52">
        <v>1.9375</v>
      </c>
      <c r="Y195" s="51"/>
      <c r="Z195" s="51"/>
    </row>
    <row r="196" spans="1:26" ht="15" x14ac:dyDescent="0.25">
      <c r="A196" s="33">
        <v>195</v>
      </c>
      <c r="B196" s="33" t="s">
        <v>204</v>
      </c>
      <c r="C196" s="52">
        <v>42</v>
      </c>
      <c r="D196" s="52">
        <v>378</v>
      </c>
      <c r="E196" s="52">
        <v>16</v>
      </c>
      <c r="F196" s="52">
        <v>362</v>
      </c>
      <c r="G196" s="52">
        <v>691170</v>
      </c>
      <c r="H196" s="53" t="s">
        <v>154</v>
      </c>
      <c r="I196" s="52">
        <v>1000</v>
      </c>
      <c r="J196" s="52">
        <v>0</v>
      </c>
      <c r="K196" s="53" t="s">
        <v>160</v>
      </c>
      <c r="L196" s="52">
        <v>687210</v>
      </c>
      <c r="M196" s="54">
        <v>123.6978</v>
      </c>
      <c r="N196" s="53" t="s">
        <v>169</v>
      </c>
      <c r="O196" s="52">
        <v>2960</v>
      </c>
      <c r="P196" s="52">
        <v>0</v>
      </c>
      <c r="Q196" s="53"/>
      <c r="R196" s="52"/>
      <c r="S196" s="52"/>
      <c r="T196" s="53"/>
      <c r="U196" s="52"/>
      <c r="V196" s="52"/>
      <c r="Y196" s="51"/>
      <c r="Z196" s="51"/>
    </row>
    <row r="197" spans="1:26" ht="15" x14ac:dyDescent="0.25">
      <c r="A197" s="33">
        <v>196</v>
      </c>
      <c r="B197" s="33" t="s">
        <v>204</v>
      </c>
      <c r="C197" s="52">
        <v>42</v>
      </c>
      <c r="D197" s="52">
        <v>378</v>
      </c>
      <c r="E197" s="52">
        <v>16</v>
      </c>
      <c r="F197" s="52">
        <v>362</v>
      </c>
      <c r="G197" s="52">
        <v>691170</v>
      </c>
      <c r="H197" s="53" t="s">
        <v>154</v>
      </c>
      <c r="I197" s="52">
        <v>1000</v>
      </c>
      <c r="J197" s="52">
        <v>0</v>
      </c>
      <c r="K197" s="53" t="s">
        <v>160</v>
      </c>
      <c r="L197" s="52">
        <v>687210</v>
      </c>
      <c r="M197" s="54">
        <v>123.6978</v>
      </c>
      <c r="N197" s="53" t="s">
        <v>149</v>
      </c>
      <c r="O197" s="52">
        <v>1161</v>
      </c>
      <c r="P197" s="52">
        <v>0</v>
      </c>
      <c r="Q197" s="53" t="s">
        <v>159</v>
      </c>
      <c r="R197" s="52">
        <v>17960</v>
      </c>
      <c r="S197" s="52">
        <v>1.9375</v>
      </c>
      <c r="T197" s="53" t="s">
        <v>155</v>
      </c>
      <c r="U197" s="52">
        <v>4130</v>
      </c>
      <c r="V197" s="52">
        <v>1.9375</v>
      </c>
      <c r="Y197" s="51"/>
      <c r="Z197" s="51"/>
    </row>
    <row r="198" spans="1:26" ht="15" x14ac:dyDescent="0.25">
      <c r="A198" s="33">
        <v>197</v>
      </c>
      <c r="B198" s="33" t="s">
        <v>204</v>
      </c>
      <c r="C198" s="52">
        <v>42</v>
      </c>
      <c r="D198" s="52">
        <v>393</v>
      </c>
      <c r="E198" s="52">
        <v>36</v>
      </c>
      <c r="F198" s="52">
        <v>357</v>
      </c>
      <c r="G198" s="52">
        <v>711461</v>
      </c>
      <c r="H198" s="53" t="s">
        <v>69</v>
      </c>
      <c r="I198" s="52">
        <v>1000</v>
      </c>
      <c r="J198" s="52">
        <v>0.30009999999999998</v>
      </c>
      <c r="K198" s="53" t="s">
        <v>160</v>
      </c>
      <c r="L198" s="52">
        <v>687210</v>
      </c>
      <c r="M198" s="54">
        <v>123.6978</v>
      </c>
      <c r="N198" s="53" t="s">
        <v>169</v>
      </c>
      <c r="O198" s="52">
        <v>2960</v>
      </c>
      <c r="P198" s="52">
        <v>0</v>
      </c>
      <c r="Q198" s="53"/>
      <c r="R198" s="52"/>
      <c r="S198" s="52"/>
      <c r="T198" s="53"/>
      <c r="U198" s="52"/>
      <c r="V198" s="52"/>
      <c r="Y198" s="51"/>
      <c r="Z198" s="51"/>
    </row>
    <row r="199" spans="1:26" x14ac:dyDescent="0.25">
      <c r="A199" s="33">
        <v>198</v>
      </c>
      <c r="B199" s="33" t="s">
        <v>204</v>
      </c>
      <c r="C199" s="52">
        <v>42</v>
      </c>
      <c r="D199" s="52">
        <v>381</v>
      </c>
      <c r="E199" s="52">
        <v>16</v>
      </c>
      <c r="F199" s="52">
        <v>365</v>
      </c>
      <c r="G199" s="52">
        <v>691170</v>
      </c>
      <c r="H199" s="53" t="s">
        <v>69</v>
      </c>
      <c r="I199" s="52">
        <v>1000</v>
      </c>
      <c r="J199" s="52">
        <v>0.30009999999999998</v>
      </c>
      <c r="K199" s="53" t="s">
        <v>160</v>
      </c>
      <c r="L199" s="52">
        <v>687210</v>
      </c>
      <c r="M199" s="54">
        <v>123.6978</v>
      </c>
      <c r="N199" s="53"/>
      <c r="O199" s="52"/>
      <c r="P199" s="52"/>
      <c r="Q199" s="53"/>
      <c r="R199" s="52"/>
      <c r="S199" s="54"/>
      <c r="T199" s="55"/>
      <c r="U199" s="52"/>
      <c r="V199" s="52"/>
    </row>
    <row r="200" spans="1:26" x14ac:dyDescent="0.25">
      <c r="A200" s="33">
        <v>199</v>
      </c>
      <c r="B200" s="33" t="s">
        <v>204</v>
      </c>
      <c r="C200" s="52">
        <v>42</v>
      </c>
      <c r="D200" s="56">
        <v>279</v>
      </c>
      <c r="E200" s="56">
        <v>0</v>
      </c>
      <c r="F200" s="56">
        <v>279</v>
      </c>
      <c r="G200" s="56">
        <v>499160</v>
      </c>
      <c r="H200" s="53" t="s">
        <v>149</v>
      </c>
      <c r="I200" s="56">
        <v>400</v>
      </c>
      <c r="J200" s="52"/>
      <c r="K200" s="57" t="s">
        <v>69</v>
      </c>
      <c r="L200" s="56">
        <v>9220</v>
      </c>
      <c r="M200" s="54"/>
      <c r="N200" s="57" t="s">
        <v>163</v>
      </c>
      <c r="O200" s="56">
        <v>484110</v>
      </c>
      <c r="P200" s="52"/>
      <c r="Q200" s="53" t="s">
        <v>169</v>
      </c>
      <c r="R200" s="56">
        <v>5430</v>
      </c>
      <c r="S200" s="52"/>
      <c r="T200" s="57"/>
      <c r="U200" s="56"/>
      <c r="V200" s="52"/>
    </row>
    <row r="201" spans="1:26" x14ac:dyDescent="0.25">
      <c r="A201" s="33">
        <v>200</v>
      </c>
      <c r="B201" s="33" t="s">
        <v>204</v>
      </c>
      <c r="C201" s="52">
        <v>42</v>
      </c>
      <c r="D201" s="54">
        <v>319</v>
      </c>
      <c r="E201" s="54">
        <v>21</v>
      </c>
      <c r="F201" s="54">
        <v>298</v>
      </c>
      <c r="G201" s="54">
        <v>547990</v>
      </c>
      <c r="H201" s="53" t="s">
        <v>149</v>
      </c>
      <c r="I201" s="54">
        <v>1250</v>
      </c>
      <c r="J201" s="52"/>
      <c r="K201" s="55" t="s">
        <v>69</v>
      </c>
      <c r="L201" s="54">
        <v>9220</v>
      </c>
      <c r="M201" s="54"/>
      <c r="N201" s="55" t="s">
        <v>163</v>
      </c>
      <c r="O201" s="54">
        <v>484110</v>
      </c>
      <c r="P201" s="52"/>
      <c r="Q201" s="53" t="s">
        <v>159</v>
      </c>
      <c r="R201" s="54">
        <v>49130</v>
      </c>
      <c r="S201" s="52"/>
      <c r="T201" s="53" t="s">
        <v>155</v>
      </c>
      <c r="U201" s="54">
        <v>4280</v>
      </c>
      <c r="V201" s="52"/>
    </row>
    <row r="202" spans="1:26" x14ac:dyDescent="0.25">
      <c r="A202" s="33">
        <v>201</v>
      </c>
      <c r="B202" s="33" t="s">
        <v>204</v>
      </c>
      <c r="C202" s="52">
        <v>42</v>
      </c>
      <c r="D202" s="56">
        <v>422</v>
      </c>
      <c r="E202" s="56">
        <v>138</v>
      </c>
      <c r="F202" s="56">
        <v>284</v>
      </c>
      <c r="G202" s="56">
        <v>505704</v>
      </c>
      <c r="H202" s="53" t="s">
        <v>149</v>
      </c>
      <c r="I202" s="56">
        <v>2200</v>
      </c>
      <c r="J202" s="52"/>
      <c r="K202" s="53" t="s">
        <v>160</v>
      </c>
      <c r="L202" s="56">
        <v>4624</v>
      </c>
      <c r="M202" s="54"/>
      <c r="N202" s="53" t="s">
        <v>159</v>
      </c>
      <c r="O202" s="56">
        <v>9340</v>
      </c>
      <c r="P202" s="52"/>
      <c r="Q202" s="57" t="s">
        <v>163</v>
      </c>
      <c r="R202" s="56">
        <v>484110</v>
      </c>
      <c r="S202" s="52"/>
      <c r="T202" s="53" t="s">
        <v>169</v>
      </c>
      <c r="U202" s="56">
        <v>5430</v>
      </c>
      <c r="V202" s="52"/>
    </row>
    <row r="203" spans="1:26" x14ac:dyDescent="0.25">
      <c r="A203" s="33">
        <v>202</v>
      </c>
      <c r="B203" s="33" t="s">
        <v>204</v>
      </c>
      <c r="C203" s="52">
        <v>42</v>
      </c>
      <c r="D203" s="54">
        <v>462</v>
      </c>
      <c r="E203" s="54">
        <v>159</v>
      </c>
      <c r="F203" s="54">
        <v>303</v>
      </c>
      <c r="G203" s="54">
        <v>554534</v>
      </c>
      <c r="H203" s="53" t="s">
        <v>149</v>
      </c>
      <c r="I203" s="54">
        <v>3050</v>
      </c>
      <c r="J203" s="52"/>
      <c r="K203" s="53" t="s">
        <v>160</v>
      </c>
      <c r="L203" s="54">
        <v>4624</v>
      </c>
      <c r="M203" s="54"/>
      <c r="N203" s="53" t="s">
        <v>159</v>
      </c>
      <c r="O203" s="54">
        <v>58470</v>
      </c>
      <c r="P203" s="52"/>
      <c r="Q203" s="55" t="s">
        <v>163</v>
      </c>
      <c r="R203" s="54">
        <v>484110</v>
      </c>
      <c r="S203" s="52"/>
      <c r="T203" s="53" t="s">
        <v>155</v>
      </c>
      <c r="U203" s="54">
        <v>4280</v>
      </c>
      <c r="V203" s="52"/>
    </row>
    <row r="204" spans="1:26" x14ac:dyDescent="0.25">
      <c r="A204" s="33">
        <v>203</v>
      </c>
      <c r="B204" s="33" t="s">
        <v>204</v>
      </c>
      <c r="C204" s="58">
        <v>43</v>
      </c>
      <c r="D204" s="58">
        <v>304</v>
      </c>
      <c r="E204" s="58">
        <v>0</v>
      </c>
      <c r="F204" s="58">
        <v>300</v>
      </c>
      <c r="G204" s="59">
        <v>371400</v>
      </c>
      <c r="H204" s="60" t="s">
        <v>149</v>
      </c>
      <c r="I204" s="58">
        <v>400</v>
      </c>
      <c r="J204" s="58"/>
      <c r="K204" s="61" t="s">
        <v>69</v>
      </c>
      <c r="L204" s="58">
        <v>371000</v>
      </c>
      <c r="M204" s="59"/>
      <c r="N204" s="61"/>
      <c r="O204" s="58"/>
      <c r="P204" s="58"/>
      <c r="Q204" s="58"/>
      <c r="R204" s="58"/>
      <c r="S204" s="58"/>
      <c r="T204" s="58"/>
      <c r="U204" s="58"/>
      <c r="V204" s="58"/>
    </row>
    <row r="205" spans="1:26" x14ac:dyDescent="0.25">
      <c r="A205" s="33">
        <v>204</v>
      </c>
      <c r="B205" s="33" t="s">
        <v>204</v>
      </c>
      <c r="C205" s="58">
        <v>43</v>
      </c>
      <c r="D205" s="62">
        <v>402</v>
      </c>
      <c r="E205" s="62">
        <v>116</v>
      </c>
      <c r="F205" s="62">
        <v>286</v>
      </c>
      <c r="G205" s="62">
        <v>448270</v>
      </c>
      <c r="H205" s="63" t="s">
        <v>149</v>
      </c>
      <c r="I205" s="62">
        <v>1600</v>
      </c>
      <c r="J205" s="58"/>
      <c r="K205" s="63" t="s">
        <v>159</v>
      </c>
      <c r="L205" s="62">
        <v>149880</v>
      </c>
      <c r="M205" s="59"/>
      <c r="N205" s="62" t="s">
        <v>160</v>
      </c>
      <c r="O205" s="62">
        <v>284260</v>
      </c>
      <c r="P205" s="58"/>
      <c r="Q205" s="63" t="s">
        <v>155</v>
      </c>
      <c r="R205" s="62">
        <v>12530</v>
      </c>
      <c r="S205" s="58"/>
      <c r="T205" s="62"/>
      <c r="U205" s="62"/>
      <c r="V205" s="58"/>
    </row>
    <row r="206" spans="1:26" x14ac:dyDescent="0.25">
      <c r="A206" s="33">
        <v>205</v>
      </c>
      <c r="B206" s="33" t="s">
        <v>204</v>
      </c>
      <c r="C206" s="58">
        <v>43</v>
      </c>
      <c r="D206" s="59">
        <v>380</v>
      </c>
      <c r="E206" s="59">
        <v>106</v>
      </c>
      <c r="F206" s="59">
        <v>274</v>
      </c>
      <c r="G206" s="59">
        <v>445090</v>
      </c>
      <c r="H206" s="60" t="s">
        <v>149</v>
      </c>
      <c r="I206" s="59">
        <v>1050</v>
      </c>
      <c r="J206" s="58"/>
      <c r="K206" s="60" t="s">
        <v>159</v>
      </c>
      <c r="L206" s="59">
        <v>149880</v>
      </c>
      <c r="M206" s="59"/>
      <c r="N206" s="59" t="s">
        <v>160</v>
      </c>
      <c r="O206" s="59">
        <v>284260</v>
      </c>
      <c r="P206" s="58"/>
      <c r="Q206" s="60" t="s">
        <v>169</v>
      </c>
      <c r="R206" s="59">
        <v>9900</v>
      </c>
      <c r="S206" s="58"/>
      <c r="T206" s="59"/>
      <c r="U206" s="59"/>
      <c r="V206" s="58"/>
    </row>
    <row r="207" spans="1:26" x14ac:dyDescent="0.25">
      <c r="A207" s="33">
        <v>206</v>
      </c>
      <c r="B207" s="33" t="s">
        <v>204</v>
      </c>
      <c r="C207" s="58">
        <v>43</v>
      </c>
      <c r="D207" s="62">
        <v>387</v>
      </c>
      <c r="E207" s="62">
        <v>81</v>
      </c>
      <c r="F207" s="62">
        <v>306</v>
      </c>
      <c r="G207" s="62">
        <v>448170</v>
      </c>
      <c r="H207" s="63" t="s">
        <v>149</v>
      </c>
      <c r="I207" s="62">
        <v>950</v>
      </c>
      <c r="J207" s="58"/>
      <c r="K207" s="63" t="s">
        <v>69</v>
      </c>
      <c r="L207" s="62">
        <v>3640</v>
      </c>
      <c r="M207" s="59"/>
      <c r="N207" s="62" t="s">
        <v>160</v>
      </c>
      <c r="O207" s="62">
        <v>284260</v>
      </c>
      <c r="P207" s="58"/>
      <c r="Q207" s="63" t="s">
        <v>159</v>
      </c>
      <c r="R207" s="62">
        <v>146790</v>
      </c>
      <c r="S207" s="58"/>
      <c r="T207" s="63" t="s">
        <v>155</v>
      </c>
      <c r="U207" s="62">
        <v>12530</v>
      </c>
      <c r="V207" s="58"/>
    </row>
    <row r="208" spans="1:26" x14ac:dyDescent="0.25">
      <c r="A208" s="33">
        <v>207</v>
      </c>
      <c r="B208" s="33" t="s">
        <v>204</v>
      </c>
      <c r="C208" s="58">
        <v>43</v>
      </c>
      <c r="D208" s="59">
        <v>365</v>
      </c>
      <c r="E208" s="59">
        <v>71</v>
      </c>
      <c r="F208" s="59">
        <v>294</v>
      </c>
      <c r="G208" s="59">
        <v>444990</v>
      </c>
      <c r="H208" s="60" t="s">
        <v>149</v>
      </c>
      <c r="I208" s="59">
        <v>400</v>
      </c>
      <c r="J208" s="58"/>
      <c r="K208" s="60" t="s">
        <v>69</v>
      </c>
      <c r="L208" s="59">
        <v>3640</v>
      </c>
      <c r="M208" s="59"/>
      <c r="N208" s="59" t="s">
        <v>160</v>
      </c>
      <c r="O208" s="59">
        <v>284260</v>
      </c>
      <c r="P208" s="58"/>
      <c r="Q208" s="60" t="s">
        <v>159</v>
      </c>
      <c r="R208" s="59">
        <v>146790</v>
      </c>
      <c r="S208" s="58"/>
      <c r="T208" s="60" t="s">
        <v>169</v>
      </c>
      <c r="U208" s="59">
        <v>9900</v>
      </c>
      <c r="V208" s="58"/>
    </row>
    <row r="209" spans="1:24" x14ac:dyDescent="0.25">
      <c r="A209" s="33">
        <v>208</v>
      </c>
      <c r="B209" s="33" t="s">
        <v>204</v>
      </c>
      <c r="C209" s="58">
        <v>43</v>
      </c>
      <c r="D209" s="62">
        <v>345</v>
      </c>
      <c r="E209" s="62">
        <v>93</v>
      </c>
      <c r="F209" s="62">
        <v>252</v>
      </c>
      <c r="G209" s="62">
        <v>316790</v>
      </c>
      <c r="H209" s="63" t="s">
        <v>149</v>
      </c>
      <c r="I209" s="62">
        <v>400</v>
      </c>
      <c r="J209" s="58"/>
      <c r="K209" s="63" t="s">
        <v>69</v>
      </c>
      <c r="L209" s="62">
        <v>2950</v>
      </c>
      <c r="M209" s="59"/>
      <c r="N209" s="63" t="s">
        <v>163</v>
      </c>
      <c r="O209" s="62">
        <v>308580</v>
      </c>
      <c r="P209" s="58"/>
      <c r="Q209" s="63" t="s">
        <v>169</v>
      </c>
      <c r="R209" s="62">
        <v>4850</v>
      </c>
      <c r="S209" s="58"/>
      <c r="T209" s="62"/>
      <c r="U209" s="62"/>
      <c r="V209" s="58"/>
      <c r="W209" s="62"/>
      <c r="X209" s="62"/>
    </row>
    <row r="210" spans="1:24" x14ac:dyDescent="0.25">
      <c r="A210" s="33">
        <v>209</v>
      </c>
      <c r="B210" s="33" t="s">
        <v>204</v>
      </c>
      <c r="C210" s="58">
        <v>43</v>
      </c>
      <c r="D210" s="59">
        <v>402</v>
      </c>
      <c r="E210" s="59">
        <v>117</v>
      </c>
      <c r="F210" s="59">
        <v>276</v>
      </c>
      <c r="G210" s="59">
        <v>365170</v>
      </c>
      <c r="H210" s="60" t="s">
        <v>149</v>
      </c>
      <c r="I210" s="59">
        <v>1700</v>
      </c>
      <c r="J210" s="58"/>
      <c r="K210" s="60" t="s">
        <v>69</v>
      </c>
      <c r="L210" s="59">
        <v>2950</v>
      </c>
      <c r="M210" s="59"/>
      <c r="N210" s="60" t="s">
        <v>163</v>
      </c>
      <c r="O210" s="59">
        <v>308580</v>
      </c>
      <c r="P210" s="58"/>
      <c r="Q210" s="60" t="s">
        <v>156</v>
      </c>
      <c r="R210" s="59">
        <v>4750</v>
      </c>
      <c r="S210" s="58"/>
      <c r="T210" s="60" t="s">
        <v>159</v>
      </c>
      <c r="U210" s="59">
        <v>34420</v>
      </c>
      <c r="V210" s="58"/>
      <c r="W210" s="60" t="s">
        <v>155</v>
      </c>
      <c r="X210" s="59">
        <v>12770</v>
      </c>
    </row>
    <row r="211" spans="1:24" x14ac:dyDescent="0.25">
      <c r="A211" s="33">
        <v>210</v>
      </c>
      <c r="B211" s="33" t="s">
        <v>204</v>
      </c>
      <c r="C211" s="58">
        <v>43</v>
      </c>
      <c r="D211" s="62">
        <v>394</v>
      </c>
      <c r="E211" s="62">
        <v>104</v>
      </c>
      <c r="F211" s="62">
        <v>290</v>
      </c>
      <c r="G211" s="62">
        <v>358280</v>
      </c>
      <c r="H211" s="63" t="s">
        <v>149</v>
      </c>
      <c r="I211" s="62">
        <v>1040</v>
      </c>
      <c r="J211" s="58"/>
      <c r="K211" s="63" t="s">
        <v>159</v>
      </c>
      <c r="L211" s="62">
        <v>40350</v>
      </c>
      <c r="M211" s="59"/>
      <c r="N211" s="63" t="s">
        <v>155</v>
      </c>
      <c r="O211" s="62">
        <v>3460</v>
      </c>
      <c r="P211" s="58"/>
      <c r="Q211" s="63" t="s">
        <v>163</v>
      </c>
      <c r="R211" s="62">
        <v>308580</v>
      </c>
      <c r="S211" s="58"/>
      <c r="T211" s="63" t="s">
        <v>169</v>
      </c>
      <c r="U211" s="62">
        <v>4850</v>
      </c>
      <c r="V211" s="58"/>
      <c r="W211" s="63"/>
      <c r="X211" s="62"/>
    </row>
    <row r="212" spans="1:24" x14ac:dyDescent="0.25">
      <c r="A212" s="33">
        <v>211</v>
      </c>
      <c r="B212" s="33" t="s">
        <v>204</v>
      </c>
      <c r="C212" s="58">
        <v>43</v>
      </c>
      <c r="D212" s="59">
        <v>451</v>
      </c>
      <c r="E212" s="59">
        <v>137</v>
      </c>
      <c r="F212" s="59">
        <v>314</v>
      </c>
      <c r="G212" s="59">
        <v>406660</v>
      </c>
      <c r="H212" s="60" t="s">
        <v>149</v>
      </c>
      <c r="I212" s="59">
        <v>2330</v>
      </c>
      <c r="J212" s="58"/>
      <c r="K212" s="60" t="s">
        <v>159</v>
      </c>
      <c r="L212" s="59">
        <v>74770</v>
      </c>
      <c r="M212" s="59"/>
      <c r="N212" s="60" t="s">
        <v>155</v>
      </c>
      <c r="O212" s="59">
        <v>3460</v>
      </c>
      <c r="P212" s="58"/>
      <c r="Q212" s="60" t="s">
        <v>163</v>
      </c>
      <c r="R212" s="59">
        <v>308580</v>
      </c>
      <c r="S212" s="58"/>
      <c r="T212" s="60" t="s">
        <v>156</v>
      </c>
      <c r="U212" s="59">
        <v>4750</v>
      </c>
      <c r="V212" s="58"/>
      <c r="W212" s="60" t="s">
        <v>155</v>
      </c>
      <c r="X212" s="59">
        <v>12770</v>
      </c>
    </row>
    <row r="213" spans="1:24" x14ac:dyDescent="0.25">
      <c r="A213" s="33">
        <v>212</v>
      </c>
      <c r="B213" s="33" t="s">
        <v>204</v>
      </c>
      <c r="C213" s="64">
        <v>44</v>
      </c>
      <c r="D213" s="64">
        <v>304</v>
      </c>
      <c r="E213" s="64">
        <v>0</v>
      </c>
      <c r="F213" s="65">
        <v>340</v>
      </c>
      <c r="G213" s="65">
        <v>533400</v>
      </c>
      <c r="H213" s="65" t="s">
        <v>149</v>
      </c>
      <c r="I213" s="65">
        <v>400</v>
      </c>
      <c r="J213" s="65">
        <v>0</v>
      </c>
      <c r="K213" s="65" t="s">
        <v>69</v>
      </c>
      <c r="L213" s="65">
        <v>533000</v>
      </c>
      <c r="M213" s="65"/>
      <c r="N213" s="64"/>
      <c r="O213" s="64"/>
      <c r="P213" s="64"/>
      <c r="Q213" s="64"/>
      <c r="R213" s="64"/>
      <c r="S213" s="64"/>
      <c r="T213" s="64"/>
      <c r="U213" s="64"/>
      <c r="V213" s="64"/>
    </row>
    <row r="214" spans="1:24" x14ac:dyDescent="0.25">
      <c r="A214" s="33">
        <v>213</v>
      </c>
      <c r="B214" s="33" t="s">
        <v>204</v>
      </c>
      <c r="C214" s="64">
        <v>44</v>
      </c>
      <c r="D214" s="64">
        <v>520</v>
      </c>
      <c r="E214" s="64">
        <v>70</v>
      </c>
      <c r="F214" s="65">
        <v>450</v>
      </c>
      <c r="G214" s="65">
        <v>727300</v>
      </c>
      <c r="H214" s="65" t="s">
        <v>149</v>
      </c>
      <c r="I214" s="65">
        <v>400</v>
      </c>
      <c r="J214" s="65"/>
      <c r="K214" s="65" t="s">
        <v>69</v>
      </c>
      <c r="L214" s="65">
        <v>27400</v>
      </c>
      <c r="M214" s="65"/>
      <c r="N214" s="65" t="s">
        <v>160</v>
      </c>
      <c r="O214" s="65">
        <v>667000</v>
      </c>
      <c r="P214" s="65"/>
      <c r="Q214" s="65" t="s">
        <v>169</v>
      </c>
      <c r="R214" s="65">
        <v>32500</v>
      </c>
      <c r="S214" s="65"/>
      <c r="T214" s="65"/>
      <c r="U214" s="65"/>
      <c r="V214" s="64"/>
    </row>
    <row r="215" spans="1:24" x14ac:dyDescent="0.25">
      <c r="A215" s="33">
        <v>214</v>
      </c>
      <c r="B215" s="33" t="s">
        <v>204</v>
      </c>
      <c r="C215" s="64">
        <v>44</v>
      </c>
      <c r="D215" s="64">
        <v>568</v>
      </c>
      <c r="E215" s="64">
        <v>95</v>
      </c>
      <c r="F215" s="64">
        <v>473</v>
      </c>
      <c r="G215" s="64">
        <v>723950</v>
      </c>
      <c r="H215" s="65" t="s">
        <v>149</v>
      </c>
      <c r="I215" s="65">
        <v>2200</v>
      </c>
      <c r="J215" s="65"/>
      <c r="K215" s="65" t="s">
        <v>69</v>
      </c>
      <c r="L215" s="65">
        <v>27400</v>
      </c>
      <c r="M215" s="65"/>
      <c r="N215" s="65" t="s">
        <v>160</v>
      </c>
      <c r="O215" s="65">
        <v>667000</v>
      </c>
      <c r="P215" s="65"/>
      <c r="Q215" s="65" t="s">
        <v>155</v>
      </c>
      <c r="R215" s="65">
        <v>15000</v>
      </c>
      <c r="S215" s="65"/>
      <c r="T215" s="65" t="s">
        <v>159</v>
      </c>
      <c r="U215" s="65">
        <v>12350</v>
      </c>
      <c r="V215" s="64"/>
    </row>
    <row r="216" spans="1:24" x14ac:dyDescent="0.25">
      <c r="A216" s="33">
        <v>215</v>
      </c>
      <c r="B216" s="33" t="s">
        <v>204</v>
      </c>
      <c r="C216" s="64">
        <v>44</v>
      </c>
      <c r="D216" s="64">
        <v>617</v>
      </c>
      <c r="E216" s="64">
        <v>174</v>
      </c>
      <c r="F216" s="64">
        <v>443</v>
      </c>
      <c r="G216" s="64">
        <v>724690</v>
      </c>
      <c r="H216" s="65" t="s">
        <v>149</v>
      </c>
      <c r="I216" s="65">
        <v>990</v>
      </c>
      <c r="J216" s="65"/>
      <c r="K216" s="65" t="s">
        <v>155</v>
      </c>
      <c r="L216" s="65">
        <v>17750</v>
      </c>
      <c r="M216" s="65"/>
      <c r="N216" s="65" t="s">
        <v>159</v>
      </c>
      <c r="O216" s="65">
        <v>6450</v>
      </c>
      <c r="P216" s="65"/>
      <c r="Q216" s="65" t="s">
        <v>160</v>
      </c>
      <c r="R216" s="65">
        <v>667000</v>
      </c>
      <c r="S216" s="65"/>
      <c r="T216" s="65" t="s">
        <v>169</v>
      </c>
      <c r="U216" s="65">
        <v>32500</v>
      </c>
      <c r="V216" s="65"/>
    </row>
    <row r="217" spans="1:24" x14ac:dyDescent="0.25">
      <c r="A217" s="33">
        <v>216</v>
      </c>
      <c r="B217" s="33" t="s">
        <v>204</v>
      </c>
      <c r="C217" s="64">
        <v>44</v>
      </c>
      <c r="D217" s="64">
        <v>665</v>
      </c>
      <c r="E217" s="64">
        <v>199</v>
      </c>
      <c r="F217" s="64">
        <v>466</v>
      </c>
      <c r="G217" s="64">
        <v>721340</v>
      </c>
      <c r="H217" s="65" t="s">
        <v>149</v>
      </c>
      <c r="I217" s="65">
        <v>2790</v>
      </c>
      <c r="J217" s="65"/>
      <c r="K217" s="65" t="s">
        <v>155</v>
      </c>
      <c r="L217" s="65">
        <v>32750</v>
      </c>
      <c r="M217" s="65"/>
      <c r="N217" s="65" t="s">
        <v>159</v>
      </c>
      <c r="O217" s="65">
        <v>18800</v>
      </c>
      <c r="P217" s="65"/>
      <c r="Q217" s="65" t="s">
        <v>160</v>
      </c>
      <c r="R217" s="65">
        <v>667000</v>
      </c>
      <c r="S217" s="65"/>
      <c r="T217" s="65"/>
      <c r="U217" s="65"/>
      <c r="V217" s="65"/>
    </row>
    <row r="218" spans="1:24" x14ac:dyDescent="0.25">
      <c r="A218" s="33">
        <v>217</v>
      </c>
      <c r="B218" s="33" t="s">
        <v>204</v>
      </c>
      <c r="C218" s="64">
        <v>44</v>
      </c>
      <c r="D218" s="64">
        <v>260</v>
      </c>
      <c r="E218" s="64">
        <v>90</v>
      </c>
      <c r="F218" s="64">
        <v>170</v>
      </c>
      <c r="G218" s="64">
        <v>549060</v>
      </c>
      <c r="H218" s="65" t="s">
        <v>169</v>
      </c>
      <c r="I218" s="65">
        <v>39300</v>
      </c>
      <c r="J218" s="65"/>
      <c r="K218" s="65" t="s">
        <v>149</v>
      </c>
      <c r="L218" s="65">
        <v>1500</v>
      </c>
      <c r="M218" s="65"/>
      <c r="N218" s="65" t="s">
        <v>163</v>
      </c>
      <c r="O218" s="65">
        <v>460760</v>
      </c>
      <c r="P218" s="65"/>
      <c r="Q218" s="65" t="s">
        <v>69</v>
      </c>
      <c r="R218" s="65">
        <v>47500</v>
      </c>
      <c r="S218" s="65"/>
      <c r="T218" s="65"/>
      <c r="U218" s="65"/>
      <c r="V218" s="65"/>
    </row>
    <row r="219" spans="1:24" x14ac:dyDescent="0.25">
      <c r="A219" s="33">
        <v>218</v>
      </c>
      <c r="B219" s="33" t="s">
        <v>204</v>
      </c>
      <c r="C219" s="64">
        <v>44</v>
      </c>
      <c r="D219" s="64">
        <v>297</v>
      </c>
      <c r="E219" s="64">
        <v>109</v>
      </c>
      <c r="F219" s="64">
        <v>188</v>
      </c>
      <c r="G219" s="64">
        <v>540100</v>
      </c>
      <c r="H219" s="65" t="s">
        <v>169</v>
      </c>
      <c r="I219" s="65">
        <v>39300</v>
      </c>
      <c r="J219" s="65"/>
      <c r="K219" s="65" t="s">
        <v>149</v>
      </c>
      <c r="L219" s="65">
        <v>1200</v>
      </c>
      <c r="M219" s="65"/>
      <c r="N219" s="65" t="s">
        <v>163</v>
      </c>
      <c r="O219" s="65">
        <v>460760</v>
      </c>
      <c r="P219" s="65"/>
      <c r="Q219" s="65" t="s">
        <v>155</v>
      </c>
      <c r="R219" s="65">
        <v>7200</v>
      </c>
      <c r="S219" s="65"/>
      <c r="T219" s="65" t="s">
        <v>159</v>
      </c>
      <c r="U219" s="65">
        <v>31640</v>
      </c>
      <c r="V219" s="65"/>
    </row>
    <row r="220" spans="1:24" x14ac:dyDescent="0.25">
      <c r="A220" s="33">
        <v>219</v>
      </c>
      <c r="B220" s="33" t="s">
        <v>204</v>
      </c>
      <c r="C220" s="64">
        <v>44</v>
      </c>
      <c r="D220" s="64">
        <v>299</v>
      </c>
      <c r="E220" s="64">
        <v>107</v>
      </c>
      <c r="F220" s="64">
        <v>192</v>
      </c>
      <c r="G220" s="64">
        <v>552830</v>
      </c>
      <c r="H220" s="65" t="s">
        <v>149</v>
      </c>
      <c r="I220" s="65">
        <v>880</v>
      </c>
      <c r="J220" s="65"/>
      <c r="K220" s="65" t="s">
        <v>159</v>
      </c>
      <c r="L220" s="65">
        <v>43690</v>
      </c>
      <c r="M220" s="65"/>
      <c r="N220" s="65" t="s">
        <v>163</v>
      </c>
      <c r="O220" s="65">
        <v>460760</v>
      </c>
      <c r="P220" s="65"/>
      <c r="Q220" s="65" t="s">
        <v>69</v>
      </c>
      <c r="R220" s="65">
        <v>47500</v>
      </c>
      <c r="S220" s="65"/>
      <c r="T220" s="65"/>
      <c r="U220" s="65"/>
      <c r="V220" s="65"/>
    </row>
    <row r="221" spans="1:24" x14ac:dyDescent="0.25">
      <c r="A221" s="33">
        <v>220</v>
      </c>
      <c r="B221" s="33" t="s">
        <v>204</v>
      </c>
      <c r="C221" s="64">
        <v>44</v>
      </c>
      <c r="D221" s="64">
        <v>336</v>
      </c>
      <c r="E221" s="64">
        <v>126</v>
      </c>
      <c r="F221" s="64">
        <v>210</v>
      </c>
      <c r="G221" s="64">
        <v>543870</v>
      </c>
      <c r="H221" s="65" t="s">
        <v>149</v>
      </c>
      <c r="I221" s="65">
        <v>580</v>
      </c>
      <c r="J221" s="65"/>
      <c r="K221" s="65" t="s">
        <v>159</v>
      </c>
      <c r="L221" s="65">
        <v>75330</v>
      </c>
      <c r="M221" s="65"/>
      <c r="N221" s="65" t="s">
        <v>163</v>
      </c>
      <c r="O221" s="65">
        <v>460760</v>
      </c>
      <c r="P221" s="65"/>
      <c r="Q221" s="65" t="s">
        <v>155</v>
      </c>
      <c r="R221" s="65">
        <v>7200</v>
      </c>
      <c r="S221" s="65"/>
      <c r="T221" s="65"/>
      <c r="U221" s="65"/>
      <c r="V221" s="65"/>
    </row>
  </sheetData>
  <autoFilter ref="A2:Z221" xr:uid="{E77B5391-4E08-4082-9F78-1E2058265814}">
    <filterColumn colId="1">
      <filters>
        <filter val="L"/>
      </filters>
    </filterColumn>
  </autoFilter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00D26-9190-43E2-BFD2-777DA6211A2A}">
  <sheetPr codeName="Tabelle2" filterMode="1"/>
  <dimension ref="A1:Z226"/>
  <sheetViews>
    <sheetView workbookViewId="0">
      <selection activeCell="F216" sqref="F216"/>
    </sheetView>
  </sheetViews>
  <sheetFormatPr baseColWidth="10" defaultColWidth="8.5" defaultRowHeight="15.75" x14ac:dyDescent="0.25"/>
  <cols>
    <col min="1" max="1" width="3.625" style="33" bestFit="1" customWidth="1"/>
    <col min="2" max="2" width="12.75" style="33" bestFit="1" customWidth="1"/>
    <col min="3" max="3" width="16.375" style="33" bestFit="1" customWidth="1"/>
    <col min="4" max="6" width="11.875" style="33" bestFit="1" customWidth="1"/>
    <col min="7" max="7" width="7.75" style="33" bestFit="1" customWidth="1"/>
    <col min="8" max="8" width="12.5" style="36" bestFit="1" customWidth="1"/>
    <col min="9" max="9" width="14.25" style="33" bestFit="1" customWidth="1"/>
    <col min="10" max="10" width="13.625" style="33" bestFit="1" customWidth="1"/>
    <col min="11" max="11" width="14.125" style="36" bestFit="1" customWidth="1"/>
    <col min="12" max="12" width="14.25" style="33" bestFit="1" customWidth="1"/>
    <col min="13" max="13" width="13.625" bestFit="1" customWidth="1"/>
    <col min="14" max="14" width="14.375" style="36" bestFit="1" customWidth="1"/>
    <col min="15" max="15" width="14.25" style="33" bestFit="1" customWidth="1"/>
    <col min="16" max="16" width="13.625" style="33" bestFit="1" customWidth="1"/>
    <col min="17" max="17" width="12.75" style="33" bestFit="1" customWidth="1"/>
    <col min="18" max="18" width="14.25" style="33" bestFit="1" customWidth="1"/>
    <col min="19" max="19" width="13.625" style="33" bestFit="1" customWidth="1"/>
    <col min="20" max="20" width="12.5" style="33" bestFit="1" customWidth="1"/>
    <col min="21" max="21" width="14.25" style="33" bestFit="1" customWidth="1"/>
    <col min="22" max="22" width="13.625" style="33" bestFit="1" customWidth="1"/>
    <col min="23" max="23" width="7.25" style="33" bestFit="1" customWidth="1"/>
    <col min="24" max="24" width="14.25" style="33" bestFit="1" customWidth="1"/>
    <col min="25" max="25" width="11.625" bestFit="1" customWidth="1"/>
    <col min="27" max="30" width="12.125" style="33" bestFit="1" customWidth="1"/>
    <col min="31" max="1030" width="8.375" style="33" customWidth="1"/>
    <col min="1031" max="16384" width="8.5" style="33"/>
  </cols>
  <sheetData>
    <row r="1" spans="1:25" x14ac:dyDescent="0.25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</row>
    <row r="2" spans="1:25" x14ac:dyDescent="0.25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</row>
    <row r="3" spans="1:25" hidden="1" x14ac:dyDescent="0.25">
      <c r="A3" s="33">
        <v>0</v>
      </c>
      <c r="B3" s="33" t="s">
        <v>200</v>
      </c>
      <c r="C3" s="33">
        <v>1</v>
      </c>
      <c r="D3" s="33">
        <v>30</v>
      </c>
      <c r="E3" s="33">
        <v>0</v>
      </c>
      <c r="F3" s="33">
        <v>30</v>
      </c>
      <c r="G3" s="33">
        <v>2500</v>
      </c>
      <c r="H3" s="36" t="s">
        <v>149</v>
      </c>
      <c r="I3" s="33">
        <v>2500</v>
      </c>
      <c r="J3" s="33">
        <v>0</v>
      </c>
      <c r="M3" s="33" t="s">
        <v>201</v>
      </c>
      <c r="P3" s="33" t="s">
        <v>201</v>
      </c>
      <c r="S3" s="33" t="s">
        <v>201</v>
      </c>
      <c r="V3" s="33" t="s">
        <v>201</v>
      </c>
      <c r="Y3" s="33" t="s">
        <v>201</v>
      </c>
    </row>
    <row r="4" spans="1:25" hidden="1" x14ac:dyDescent="0.25">
      <c r="A4" s="33">
        <v>1</v>
      </c>
      <c r="B4" s="33" t="s">
        <v>200</v>
      </c>
      <c r="C4" s="33">
        <v>1</v>
      </c>
      <c r="D4" s="33">
        <v>8</v>
      </c>
      <c r="E4" s="33">
        <v>0</v>
      </c>
      <c r="F4" s="33">
        <v>8</v>
      </c>
      <c r="G4" s="33">
        <v>2600</v>
      </c>
      <c r="H4" s="36" t="s">
        <v>153</v>
      </c>
      <c r="I4" s="33">
        <v>2600</v>
      </c>
      <c r="J4" s="33">
        <v>0</v>
      </c>
      <c r="M4" s="33" t="s">
        <v>201</v>
      </c>
      <c r="P4" s="33" t="s">
        <v>201</v>
      </c>
      <c r="S4" s="33" t="s">
        <v>201</v>
      </c>
      <c r="V4" s="33" t="s">
        <v>201</v>
      </c>
      <c r="Y4" s="33" t="s">
        <v>201</v>
      </c>
    </row>
    <row r="5" spans="1:25" hidden="1" x14ac:dyDescent="0.25">
      <c r="A5" s="33">
        <v>2</v>
      </c>
      <c r="B5" s="33" t="s">
        <v>200</v>
      </c>
      <c r="C5" s="33">
        <v>1</v>
      </c>
      <c r="D5" s="33">
        <v>16</v>
      </c>
      <c r="E5" s="33">
        <v>0</v>
      </c>
      <c r="F5" s="33">
        <v>16</v>
      </c>
      <c r="G5" s="33">
        <v>3600</v>
      </c>
      <c r="H5" s="36" t="s">
        <v>149</v>
      </c>
      <c r="I5" s="33">
        <v>400</v>
      </c>
      <c r="J5" s="33">
        <v>0</v>
      </c>
      <c r="K5" s="36" t="s">
        <v>69</v>
      </c>
      <c r="L5" s="33">
        <v>3200</v>
      </c>
      <c r="M5" s="33">
        <v>0.96031999999999995</v>
      </c>
      <c r="P5" s="33" t="s">
        <v>201</v>
      </c>
      <c r="S5" s="33" t="s">
        <v>201</v>
      </c>
      <c r="V5" s="33" t="s">
        <v>201</v>
      </c>
      <c r="Y5" s="33" t="s">
        <v>201</v>
      </c>
    </row>
    <row r="6" spans="1:25" hidden="1" x14ac:dyDescent="0.25">
      <c r="A6" s="33">
        <v>3</v>
      </c>
      <c r="B6" s="33" t="s">
        <v>200</v>
      </c>
      <c r="C6" s="33">
        <v>1</v>
      </c>
      <c r="D6" s="33">
        <v>19</v>
      </c>
      <c r="E6" s="33">
        <v>1</v>
      </c>
      <c r="F6" s="33">
        <v>18</v>
      </c>
      <c r="G6" s="33">
        <v>3790</v>
      </c>
      <c r="H6" s="36" t="s">
        <v>149</v>
      </c>
      <c r="I6" s="33">
        <v>500</v>
      </c>
      <c r="J6" s="33">
        <v>0</v>
      </c>
      <c r="K6" s="36" t="s">
        <v>158</v>
      </c>
      <c r="L6" s="33">
        <v>1620</v>
      </c>
      <c r="M6" s="33">
        <v>1.9375</v>
      </c>
      <c r="N6" s="36" t="s">
        <v>155</v>
      </c>
      <c r="O6" s="33">
        <v>1670</v>
      </c>
      <c r="P6" s="33">
        <v>1.9375</v>
      </c>
      <c r="S6" s="33" t="s">
        <v>201</v>
      </c>
      <c r="V6" s="33" t="s">
        <v>201</v>
      </c>
      <c r="Y6" s="33" t="s">
        <v>201</v>
      </c>
    </row>
    <row r="7" spans="1:25" hidden="1" x14ac:dyDescent="0.25">
      <c r="A7" s="33">
        <v>4</v>
      </c>
      <c r="B7" s="33" t="s">
        <v>200</v>
      </c>
      <c r="C7" s="33">
        <v>1</v>
      </c>
      <c r="D7" s="33">
        <v>7.0909000000000004</v>
      </c>
      <c r="E7" s="33">
        <v>0</v>
      </c>
      <c r="F7" s="33">
        <v>7.0909000000000004</v>
      </c>
      <c r="G7" s="33">
        <v>2600</v>
      </c>
      <c r="H7" s="36" t="s">
        <v>154</v>
      </c>
      <c r="I7" s="33">
        <v>2600</v>
      </c>
      <c r="J7" s="33">
        <v>4.5500000000000002E-3</v>
      </c>
      <c r="M7" s="33" t="s">
        <v>201</v>
      </c>
      <c r="P7" s="33" t="s">
        <v>201</v>
      </c>
      <c r="S7" s="33" t="s">
        <v>201</v>
      </c>
      <c r="V7" s="33" t="s">
        <v>201</v>
      </c>
      <c r="Y7" s="33" t="s">
        <v>201</v>
      </c>
    </row>
    <row r="8" spans="1:25" hidden="1" x14ac:dyDescent="0.25">
      <c r="A8" s="33">
        <v>5</v>
      </c>
      <c r="B8" s="33" t="s">
        <v>200</v>
      </c>
      <c r="C8" s="33">
        <v>2</v>
      </c>
      <c r="D8" s="33">
        <v>28</v>
      </c>
      <c r="E8" s="33">
        <v>0</v>
      </c>
      <c r="F8" s="33">
        <v>28</v>
      </c>
      <c r="G8" s="33">
        <v>2300</v>
      </c>
      <c r="H8" s="36" t="s">
        <v>149</v>
      </c>
      <c r="I8" s="33">
        <v>2300</v>
      </c>
      <c r="J8" s="33">
        <v>0</v>
      </c>
      <c r="M8" s="33" t="s">
        <v>201</v>
      </c>
      <c r="P8" s="33" t="s">
        <v>201</v>
      </c>
      <c r="S8" s="33" t="s">
        <v>201</v>
      </c>
      <c r="V8" s="33" t="s">
        <v>201</v>
      </c>
      <c r="Y8" s="33" t="s">
        <v>201</v>
      </c>
    </row>
    <row r="9" spans="1:25" hidden="1" x14ac:dyDescent="0.25">
      <c r="A9" s="33">
        <v>6</v>
      </c>
      <c r="B9" s="33" t="s">
        <v>200</v>
      </c>
      <c r="C9" s="33">
        <v>2</v>
      </c>
      <c r="D9" s="33">
        <v>8</v>
      </c>
      <c r="E9" s="33">
        <v>0</v>
      </c>
      <c r="F9" s="33">
        <v>8</v>
      </c>
      <c r="G9" s="33">
        <v>2600</v>
      </c>
      <c r="H9" s="36" t="s">
        <v>153</v>
      </c>
      <c r="I9" s="33">
        <v>2600</v>
      </c>
      <c r="J9" s="33">
        <v>0</v>
      </c>
      <c r="M9" s="33" t="s">
        <v>201</v>
      </c>
      <c r="P9" s="33" t="s">
        <v>201</v>
      </c>
      <c r="S9" s="33" t="s">
        <v>201</v>
      </c>
      <c r="V9" s="33" t="s">
        <v>201</v>
      </c>
      <c r="Y9" s="33" t="s">
        <v>201</v>
      </c>
    </row>
    <row r="10" spans="1:25" hidden="1" x14ac:dyDescent="0.25">
      <c r="A10" s="33">
        <v>7</v>
      </c>
      <c r="B10" s="33" t="s">
        <v>200</v>
      </c>
      <c r="C10" s="33">
        <v>2</v>
      </c>
      <c r="D10" s="33">
        <v>13</v>
      </c>
      <c r="E10" s="33">
        <v>0</v>
      </c>
      <c r="F10" s="33">
        <v>13</v>
      </c>
      <c r="G10" s="33">
        <v>2600</v>
      </c>
      <c r="H10" s="36" t="s">
        <v>149</v>
      </c>
      <c r="I10" s="33">
        <v>200</v>
      </c>
      <c r="J10" s="33">
        <v>0</v>
      </c>
      <c r="K10" s="36" t="s">
        <v>69</v>
      </c>
      <c r="L10" s="33">
        <v>2400</v>
      </c>
      <c r="M10" s="33">
        <v>0.72023999999999988</v>
      </c>
      <c r="P10" s="33" t="s">
        <v>201</v>
      </c>
      <c r="S10" s="33" t="s">
        <v>201</v>
      </c>
      <c r="V10" s="33" t="s">
        <v>201</v>
      </c>
      <c r="Y10" s="33" t="s">
        <v>201</v>
      </c>
    </row>
    <row r="11" spans="1:25" hidden="1" x14ac:dyDescent="0.25">
      <c r="A11" s="33">
        <v>8</v>
      </c>
      <c r="B11" s="33" t="s">
        <v>200</v>
      </c>
      <c r="C11" s="33">
        <v>2</v>
      </c>
      <c r="D11" s="33">
        <v>21</v>
      </c>
      <c r="E11" s="33">
        <v>2</v>
      </c>
      <c r="F11" s="33">
        <v>19</v>
      </c>
      <c r="G11" s="33">
        <v>3340</v>
      </c>
      <c r="H11" s="36" t="s">
        <v>149</v>
      </c>
      <c r="I11" s="33">
        <v>1300</v>
      </c>
      <c r="J11" s="33">
        <v>0</v>
      </c>
      <c r="K11" s="36" t="s">
        <v>159</v>
      </c>
      <c r="L11" s="33">
        <v>2040</v>
      </c>
      <c r="M11" s="33">
        <v>0.36719999999999997</v>
      </c>
      <c r="P11" s="33" t="s">
        <v>201</v>
      </c>
      <c r="S11" s="33" t="s">
        <v>201</v>
      </c>
      <c r="V11" s="33" t="s">
        <v>201</v>
      </c>
      <c r="Y11" s="33" t="s">
        <v>201</v>
      </c>
    </row>
    <row r="12" spans="1:25" hidden="1" x14ac:dyDescent="0.25">
      <c r="A12" s="33">
        <v>9</v>
      </c>
      <c r="B12" s="33" t="s">
        <v>200</v>
      </c>
      <c r="C12" s="33">
        <v>2</v>
      </c>
      <c r="D12" s="33">
        <v>7.0909000000000004</v>
      </c>
      <c r="E12" s="33">
        <v>0</v>
      </c>
      <c r="F12" s="33">
        <v>7.0909000000000004</v>
      </c>
      <c r="G12" s="33">
        <v>2600</v>
      </c>
      <c r="H12" s="36" t="s">
        <v>154</v>
      </c>
      <c r="I12" s="33">
        <v>2600</v>
      </c>
      <c r="J12" s="33">
        <v>4.5500000000000002E-3</v>
      </c>
      <c r="M12" s="33" t="s">
        <v>201</v>
      </c>
      <c r="P12" s="33" t="s">
        <v>201</v>
      </c>
      <c r="S12" s="33" t="s">
        <v>201</v>
      </c>
      <c r="V12" s="33" t="s">
        <v>201</v>
      </c>
      <c r="Y12" s="33" t="s">
        <v>201</v>
      </c>
    </row>
    <row r="13" spans="1:25" hidden="1" x14ac:dyDescent="0.25">
      <c r="A13" s="33">
        <v>10</v>
      </c>
      <c r="B13" s="33" t="s">
        <v>200</v>
      </c>
      <c r="C13" s="33">
        <v>3</v>
      </c>
      <c r="D13" s="33">
        <v>8.1818000000000008</v>
      </c>
      <c r="E13" s="33">
        <v>0</v>
      </c>
      <c r="F13" s="33">
        <v>8.1818000000000008</v>
      </c>
      <c r="G13" s="33">
        <v>3000</v>
      </c>
      <c r="H13" s="36" t="s">
        <v>154</v>
      </c>
      <c r="I13" s="33">
        <v>3000</v>
      </c>
      <c r="J13" s="33">
        <v>5.2500000000000003E-3</v>
      </c>
      <c r="M13" s="33" t="s">
        <v>201</v>
      </c>
      <c r="P13" s="33" t="s">
        <v>201</v>
      </c>
      <c r="S13" s="33" t="s">
        <v>201</v>
      </c>
      <c r="V13" s="33" t="s">
        <v>201</v>
      </c>
      <c r="Y13" s="33" t="s">
        <v>201</v>
      </c>
    </row>
    <row r="14" spans="1:25" hidden="1" x14ac:dyDescent="0.25">
      <c r="A14" s="33">
        <v>11</v>
      </c>
      <c r="B14" s="33" t="s">
        <v>200</v>
      </c>
      <c r="C14" s="33">
        <v>3</v>
      </c>
      <c r="D14" s="33">
        <v>10</v>
      </c>
      <c r="E14" s="33">
        <v>0</v>
      </c>
      <c r="F14" s="33">
        <v>10</v>
      </c>
      <c r="G14" s="33">
        <v>3100</v>
      </c>
      <c r="H14" s="36" t="s">
        <v>149</v>
      </c>
      <c r="I14" s="33">
        <v>100</v>
      </c>
      <c r="J14" s="33">
        <v>0</v>
      </c>
      <c r="K14" s="36" t="s">
        <v>69</v>
      </c>
      <c r="L14" s="33">
        <v>3000</v>
      </c>
      <c r="M14" s="33">
        <v>0.90029999999999988</v>
      </c>
      <c r="P14" s="33" t="s">
        <v>201</v>
      </c>
      <c r="S14" s="33" t="s">
        <v>201</v>
      </c>
      <c r="V14" s="33" t="s">
        <v>201</v>
      </c>
      <c r="Y14" s="33" t="s">
        <v>201</v>
      </c>
    </row>
    <row r="15" spans="1:25" hidden="1" x14ac:dyDescent="0.25">
      <c r="A15" s="33">
        <v>12</v>
      </c>
      <c r="B15" s="33" t="s">
        <v>200</v>
      </c>
      <c r="C15" s="33">
        <v>3</v>
      </c>
      <c r="D15" s="33">
        <v>39</v>
      </c>
      <c r="E15" s="33">
        <v>14</v>
      </c>
      <c r="F15" s="33">
        <v>25</v>
      </c>
      <c r="G15" s="33">
        <v>3110</v>
      </c>
      <c r="H15" s="36" t="s">
        <v>149</v>
      </c>
      <c r="I15" s="33">
        <v>1850</v>
      </c>
      <c r="J15" s="33">
        <v>0</v>
      </c>
      <c r="K15" s="36" t="s">
        <v>155</v>
      </c>
      <c r="L15" s="33">
        <v>1260</v>
      </c>
      <c r="M15" s="33">
        <v>1.9375</v>
      </c>
      <c r="P15" s="33" t="s">
        <v>201</v>
      </c>
      <c r="S15" s="33" t="s">
        <v>201</v>
      </c>
      <c r="V15" s="33" t="s">
        <v>201</v>
      </c>
      <c r="Y15" s="33" t="s">
        <v>201</v>
      </c>
    </row>
    <row r="16" spans="1:25" hidden="1" x14ac:dyDescent="0.25">
      <c r="A16" s="33">
        <v>13</v>
      </c>
      <c r="B16" s="33" t="s">
        <v>200</v>
      </c>
      <c r="C16" s="33">
        <v>3</v>
      </c>
      <c r="D16" s="33">
        <v>33</v>
      </c>
      <c r="E16" s="33">
        <v>0</v>
      </c>
      <c r="F16" s="33">
        <v>33</v>
      </c>
      <c r="G16" s="33">
        <v>2800</v>
      </c>
      <c r="H16" s="36" t="s">
        <v>149</v>
      </c>
      <c r="I16" s="33">
        <v>2800</v>
      </c>
      <c r="J16" s="33">
        <v>0</v>
      </c>
      <c r="M16" s="33" t="s">
        <v>201</v>
      </c>
      <c r="P16" s="33" t="s">
        <v>201</v>
      </c>
      <c r="S16" s="33" t="s">
        <v>201</v>
      </c>
      <c r="V16" s="33" t="s">
        <v>201</v>
      </c>
      <c r="Y16" s="33" t="s">
        <v>201</v>
      </c>
    </row>
    <row r="17" spans="1:25" hidden="1" x14ac:dyDescent="0.25">
      <c r="A17" s="33">
        <v>14</v>
      </c>
      <c r="B17" s="33" t="s">
        <v>200</v>
      </c>
      <c r="C17" s="33">
        <v>3</v>
      </c>
      <c r="D17" s="33">
        <v>10</v>
      </c>
      <c r="E17" s="33">
        <v>0</v>
      </c>
      <c r="F17" s="33">
        <v>10</v>
      </c>
      <c r="G17" s="33">
        <v>3000</v>
      </c>
      <c r="H17" s="36" t="s">
        <v>153</v>
      </c>
      <c r="I17" s="33">
        <v>3000</v>
      </c>
      <c r="J17" s="33">
        <v>0</v>
      </c>
      <c r="M17" s="33" t="s">
        <v>201</v>
      </c>
      <c r="P17" s="33" t="s">
        <v>201</v>
      </c>
      <c r="S17" s="33" t="s">
        <v>201</v>
      </c>
      <c r="V17" s="33" t="s">
        <v>201</v>
      </c>
      <c r="Y17" s="33" t="s">
        <v>201</v>
      </c>
    </row>
    <row r="18" spans="1:25" hidden="1" x14ac:dyDescent="0.25">
      <c r="A18" s="33">
        <v>15</v>
      </c>
      <c r="B18" s="33" t="s">
        <v>200</v>
      </c>
      <c r="C18" s="33">
        <v>4</v>
      </c>
      <c r="D18" s="33">
        <v>8</v>
      </c>
      <c r="E18" s="33">
        <v>0</v>
      </c>
      <c r="F18" s="33">
        <v>8</v>
      </c>
      <c r="G18" s="33">
        <v>2500</v>
      </c>
      <c r="H18" s="36" t="s">
        <v>153</v>
      </c>
      <c r="I18" s="33">
        <v>2500</v>
      </c>
      <c r="J18" s="33">
        <v>0</v>
      </c>
      <c r="M18" s="33" t="s">
        <v>201</v>
      </c>
      <c r="P18" s="33" t="s">
        <v>201</v>
      </c>
      <c r="S18" s="33" t="s">
        <v>201</v>
      </c>
      <c r="V18" s="33" t="s">
        <v>201</v>
      </c>
      <c r="Y18" s="33" t="s">
        <v>201</v>
      </c>
    </row>
    <row r="19" spans="1:25" hidden="1" x14ac:dyDescent="0.25">
      <c r="A19" s="33">
        <v>16</v>
      </c>
      <c r="B19" s="33" t="s">
        <v>200</v>
      </c>
      <c r="C19" s="33">
        <v>4</v>
      </c>
      <c r="D19" s="33">
        <v>12</v>
      </c>
      <c r="E19" s="33">
        <v>0</v>
      </c>
      <c r="F19" s="33">
        <v>12</v>
      </c>
      <c r="G19" s="33">
        <v>4500</v>
      </c>
      <c r="H19" s="36" t="s">
        <v>149</v>
      </c>
      <c r="I19" s="33">
        <v>200</v>
      </c>
      <c r="J19" s="33">
        <v>0</v>
      </c>
      <c r="K19" s="36" t="s">
        <v>69</v>
      </c>
      <c r="L19" s="33">
        <v>4300</v>
      </c>
      <c r="M19" s="33">
        <v>1.2904299999999997</v>
      </c>
      <c r="P19" s="33" t="s">
        <v>201</v>
      </c>
      <c r="S19" s="33" t="s">
        <v>201</v>
      </c>
      <c r="V19" s="33" t="s">
        <v>201</v>
      </c>
      <c r="Y19" s="33" t="s">
        <v>201</v>
      </c>
    </row>
    <row r="20" spans="1:25" hidden="1" x14ac:dyDescent="0.25">
      <c r="A20" s="33">
        <v>17</v>
      </c>
      <c r="B20" s="33" t="s">
        <v>200</v>
      </c>
      <c r="C20" s="33">
        <v>4</v>
      </c>
      <c r="D20" s="33">
        <v>19</v>
      </c>
      <c r="E20" s="33">
        <v>3</v>
      </c>
      <c r="F20" s="33">
        <v>16</v>
      </c>
      <c r="G20" s="33">
        <v>2740</v>
      </c>
      <c r="H20" s="36" t="s">
        <v>156</v>
      </c>
      <c r="I20" s="33">
        <v>2240</v>
      </c>
      <c r="J20" s="33">
        <v>1.9375</v>
      </c>
      <c r="K20" s="36" t="s">
        <v>149</v>
      </c>
      <c r="L20" s="33">
        <v>500</v>
      </c>
      <c r="M20" s="33">
        <v>0</v>
      </c>
      <c r="P20" s="33" t="s">
        <v>201</v>
      </c>
      <c r="S20" s="33" t="s">
        <v>201</v>
      </c>
      <c r="V20" s="33" t="s">
        <v>201</v>
      </c>
      <c r="Y20" s="33" t="s">
        <v>201</v>
      </c>
    </row>
    <row r="21" spans="1:25" hidden="1" x14ac:dyDescent="0.25">
      <c r="A21" s="33">
        <v>18</v>
      </c>
      <c r="B21" s="33" t="s">
        <v>200</v>
      </c>
      <c r="C21" s="33">
        <v>4</v>
      </c>
      <c r="D21" s="33">
        <v>32</v>
      </c>
      <c r="E21" s="33">
        <v>0</v>
      </c>
      <c r="F21" s="33">
        <v>32</v>
      </c>
      <c r="G21" s="33">
        <v>2500</v>
      </c>
      <c r="H21" s="36" t="s">
        <v>149</v>
      </c>
      <c r="I21" s="33">
        <v>2500</v>
      </c>
      <c r="J21" s="33">
        <v>0</v>
      </c>
      <c r="M21" s="33" t="s">
        <v>201</v>
      </c>
      <c r="P21" s="33" t="s">
        <v>201</v>
      </c>
      <c r="S21" s="33" t="s">
        <v>201</v>
      </c>
      <c r="V21" s="33" t="s">
        <v>201</v>
      </c>
      <c r="Y21" s="33" t="s">
        <v>201</v>
      </c>
    </row>
    <row r="22" spans="1:25" hidden="1" x14ac:dyDescent="0.25">
      <c r="A22" s="33">
        <v>19</v>
      </c>
      <c r="B22" s="33" t="s">
        <v>200</v>
      </c>
      <c r="C22" s="33">
        <v>4</v>
      </c>
      <c r="D22" s="33">
        <v>6.8182</v>
      </c>
      <c r="E22" s="33">
        <v>0</v>
      </c>
      <c r="F22" s="33">
        <v>6.8182</v>
      </c>
      <c r="G22" s="33">
        <v>2500</v>
      </c>
      <c r="H22" s="36" t="s">
        <v>154</v>
      </c>
      <c r="I22" s="33">
        <v>2500</v>
      </c>
      <c r="J22" s="33">
        <v>4.3750000000000004E-3</v>
      </c>
      <c r="M22" s="33" t="s">
        <v>201</v>
      </c>
      <c r="P22" s="33" t="s">
        <v>201</v>
      </c>
      <c r="S22" s="33" t="s">
        <v>201</v>
      </c>
      <c r="V22" s="33" t="s">
        <v>201</v>
      </c>
      <c r="Y22" s="33" t="s">
        <v>201</v>
      </c>
    </row>
    <row r="23" spans="1:25" hidden="1" x14ac:dyDescent="0.25">
      <c r="A23" s="33">
        <v>20</v>
      </c>
      <c r="B23" s="33" t="s">
        <v>200</v>
      </c>
      <c r="C23" s="33">
        <v>5</v>
      </c>
      <c r="D23" s="33">
        <v>8</v>
      </c>
      <c r="E23" s="33">
        <v>0</v>
      </c>
      <c r="F23" s="33">
        <v>8</v>
      </c>
      <c r="G23" s="33">
        <v>4250</v>
      </c>
      <c r="H23" s="36" t="s">
        <v>149</v>
      </c>
      <c r="I23" s="33">
        <v>150</v>
      </c>
      <c r="J23" s="33">
        <v>0</v>
      </c>
      <c r="K23" s="36" t="s">
        <v>69</v>
      </c>
      <c r="L23" s="33">
        <v>4100</v>
      </c>
      <c r="M23" s="33">
        <v>1.2304099999999998</v>
      </c>
      <c r="P23" s="33" t="s">
        <v>201</v>
      </c>
      <c r="S23" s="33" t="s">
        <v>201</v>
      </c>
      <c r="V23" s="33" t="s">
        <v>201</v>
      </c>
      <c r="Y23" s="33" t="s">
        <v>201</v>
      </c>
    </row>
    <row r="24" spans="1:25" hidden="1" x14ac:dyDescent="0.25">
      <c r="A24" s="33">
        <v>21</v>
      </c>
      <c r="B24" s="33" t="s">
        <v>200</v>
      </c>
      <c r="C24" s="33">
        <v>5</v>
      </c>
      <c r="D24" s="33">
        <v>28.999999999999996</v>
      </c>
      <c r="E24" s="33">
        <v>4.9999999999999991</v>
      </c>
      <c r="F24" s="33">
        <v>23.999999999999996</v>
      </c>
      <c r="G24" s="33">
        <v>2620</v>
      </c>
      <c r="H24" s="36" t="s">
        <v>149</v>
      </c>
      <c r="I24" s="33">
        <v>1200</v>
      </c>
      <c r="J24" s="33">
        <v>0</v>
      </c>
      <c r="K24" s="36" t="s">
        <v>155</v>
      </c>
      <c r="L24" s="33">
        <v>1210</v>
      </c>
      <c r="M24" s="33">
        <v>1.9375</v>
      </c>
      <c r="N24" s="36" t="s">
        <v>149</v>
      </c>
      <c r="O24" s="33">
        <v>210</v>
      </c>
      <c r="P24" s="33">
        <v>0</v>
      </c>
      <c r="S24" s="33" t="s">
        <v>201</v>
      </c>
      <c r="V24" s="33" t="s">
        <v>201</v>
      </c>
      <c r="Y24" s="33" t="s">
        <v>201</v>
      </c>
    </row>
    <row r="25" spans="1:25" hidden="1" x14ac:dyDescent="0.25">
      <c r="A25" s="33">
        <v>22</v>
      </c>
      <c r="B25" s="33" t="s">
        <v>200</v>
      </c>
      <c r="C25" s="33">
        <v>5</v>
      </c>
      <c r="D25" s="33">
        <v>32</v>
      </c>
      <c r="E25" s="33">
        <v>0</v>
      </c>
      <c r="F25" s="33">
        <v>32</v>
      </c>
      <c r="G25" s="33">
        <v>2600</v>
      </c>
      <c r="H25" s="36" t="s">
        <v>149</v>
      </c>
      <c r="I25" s="33">
        <v>2600</v>
      </c>
      <c r="J25" s="33">
        <v>0</v>
      </c>
      <c r="M25" s="33" t="s">
        <v>201</v>
      </c>
      <c r="P25" s="33" t="s">
        <v>201</v>
      </c>
      <c r="Q25" s="36"/>
      <c r="S25" s="33" t="s">
        <v>201</v>
      </c>
      <c r="T25" s="36"/>
      <c r="V25" s="33" t="s">
        <v>201</v>
      </c>
      <c r="W25" s="36"/>
      <c r="Y25" s="33" t="s">
        <v>201</v>
      </c>
    </row>
    <row r="26" spans="1:25" hidden="1" x14ac:dyDescent="0.25">
      <c r="A26" s="33">
        <v>23</v>
      </c>
      <c r="B26" s="33" t="s">
        <v>200</v>
      </c>
      <c r="C26" s="33">
        <v>5</v>
      </c>
      <c r="D26" s="33">
        <v>10</v>
      </c>
      <c r="E26" s="33">
        <v>0</v>
      </c>
      <c r="F26" s="33">
        <v>10</v>
      </c>
      <c r="G26" s="33">
        <v>2700</v>
      </c>
      <c r="H26" s="36" t="s">
        <v>153</v>
      </c>
      <c r="I26" s="33">
        <v>2700</v>
      </c>
      <c r="J26" s="33">
        <v>0</v>
      </c>
      <c r="M26" s="33" t="s">
        <v>201</v>
      </c>
      <c r="P26" s="33" t="s">
        <v>201</v>
      </c>
      <c r="S26" s="33" t="s">
        <v>201</v>
      </c>
      <c r="V26" s="33" t="s">
        <v>201</v>
      </c>
      <c r="Y26" s="33" t="s">
        <v>201</v>
      </c>
    </row>
    <row r="27" spans="1:25" hidden="1" x14ac:dyDescent="0.25">
      <c r="A27" s="33">
        <v>24</v>
      </c>
      <c r="B27" s="33" t="s">
        <v>200</v>
      </c>
      <c r="C27" s="33">
        <v>5</v>
      </c>
      <c r="D27" s="33">
        <v>7.3635999999999999</v>
      </c>
      <c r="E27" s="33">
        <v>0</v>
      </c>
      <c r="F27" s="33">
        <v>7.3635999999999999</v>
      </c>
      <c r="G27" s="33">
        <v>2700</v>
      </c>
      <c r="H27" s="36" t="s">
        <v>154</v>
      </c>
      <c r="I27" s="33">
        <v>2700</v>
      </c>
      <c r="J27" s="33">
        <v>4.725E-3</v>
      </c>
      <c r="M27" s="33" t="s">
        <v>201</v>
      </c>
      <c r="P27" s="33" t="s">
        <v>201</v>
      </c>
      <c r="S27" s="33" t="s">
        <v>201</v>
      </c>
      <c r="V27" s="33" t="s">
        <v>201</v>
      </c>
      <c r="Y27" s="33" t="s">
        <v>201</v>
      </c>
    </row>
    <row r="28" spans="1:25" hidden="1" x14ac:dyDescent="0.25">
      <c r="A28" s="33">
        <v>25</v>
      </c>
      <c r="B28" s="33" t="s">
        <v>200</v>
      </c>
      <c r="C28" s="33">
        <v>6</v>
      </c>
      <c r="D28" s="33">
        <v>7.9090999999999996</v>
      </c>
      <c r="E28" s="33">
        <v>0</v>
      </c>
      <c r="F28" s="33">
        <v>7.9090999999999996</v>
      </c>
      <c r="G28" s="33">
        <v>2900</v>
      </c>
      <c r="H28" s="36" t="s">
        <v>154</v>
      </c>
      <c r="I28" s="33">
        <v>2900</v>
      </c>
      <c r="J28" s="33">
        <v>5.0749999999999997E-3</v>
      </c>
      <c r="M28" s="33" t="s">
        <v>201</v>
      </c>
      <c r="P28" s="33" t="s">
        <v>201</v>
      </c>
      <c r="S28" s="33" t="s">
        <v>201</v>
      </c>
      <c r="V28" s="33" t="s">
        <v>201</v>
      </c>
      <c r="Y28" s="33" t="s">
        <v>201</v>
      </c>
    </row>
    <row r="29" spans="1:25" hidden="1" x14ac:dyDescent="0.25">
      <c r="A29" s="33">
        <v>26</v>
      </c>
      <c r="B29" s="33" t="s">
        <v>200</v>
      </c>
      <c r="C29" s="33">
        <v>6</v>
      </c>
      <c r="D29" s="33">
        <v>11</v>
      </c>
      <c r="E29" s="33">
        <v>0</v>
      </c>
      <c r="F29" s="33">
        <v>11</v>
      </c>
      <c r="G29" s="33">
        <v>2900</v>
      </c>
      <c r="H29" s="36" t="s">
        <v>153</v>
      </c>
      <c r="I29" s="33">
        <v>2900</v>
      </c>
      <c r="J29" s="33">
        <v>0</v>
      </c>
      <c r="M29" s="33" t="s">
        <v>201</v>
      </c>
      <c r="P29" s="33" t="s">
        <v>201</v>
      </c>
      <c r="S29" s="33" t="s">
        <v>201</v>
      </c>
      <c r="V29" s="33" t="s">
        <v>201</v>
      </c>
      <c r="Y29" s="33" t="s">
        <v>201</v>
      </c>
    </row>
    <row r="30" spans="1:25" hidden="1" x14ac:dyDescent="0.25">
      <c r="A30" s="33">
        <v>27</v>
      </c>
      <c r="B30" s="33" t="s">
        <v>200</v>
      </c>
      <c r="C30" s="33">
        <v>6</v>
      </c>
      <c r="D30" s="33">
        <v>23</v>
      </c>
      <c r="E30" s="33">
        <v>6</v>
      </c>
      <c r="F30" s="33">
        <v>17</v>
      </c>
      <c r="G30" s="33">
        <v>2600</v>
      </c>
      <c r="H30" s="36" t="s">
        <v>159</v>
      </c>
      <c r="I30" s="33">
        <v>1300</v>
      </c>
      <c r="J30" s="33">
        <v>0.23399999999999999</v>
      </c>
      <c r="K30" s="36" t="s">
        <v>149</v>
      </c>
      <c r="L30" s="33">
        <v>1300</v>
      </c>
      <c r="M30" s="33">
        <v>0</v>
      </c>
      <c r="P30" s="33" t="s">
        <v>201</v>
      </c>
      <c r="S30" s="33" t="s">
        <v>201</v>
      </c>
      <c r="V30" s="33" t="s">
        <v>201</v>
      </c>
      <c r="Y30" s="33" t="s">
        <v>201</v>
      </c>
    </row>
    <row r="31" spans="1:25" hidden="1" x14ac:dyDescent="0.25">
      <c r="A31" s="33">
        <v>28</v>
      </c>
      <c r="B31" s="33" t="s">
        <v>200</v>
      </c>
      <c r="C31" s="33">
        <v>6</v>
      </c>
      <c r="D31" s="33">
        <v>7</v>
      </c>
      <c r="E31" s="33">
        <v>0</v>
      </c>
      <c r="F31" s="33">
        <v>7</v>
      </c>
      <c r="G31" s="33">
        <v>3400</v>
      </c>
      <c r="H31" s="36" t="s">
        <v>149</v>
      </c>
      <c r="I31" s="33">
        <v>100</v>
      </c>
      <c r="J31" s="33">
        <v>0</v>
      </c>
      <c r="K31" s="36" t="s">
        <v>69</v>
      </c>
      <c r="L31" s="33">
        <v>3300</v>
      </c>
      <c r="M31" s="33">
        <v>0.99032999999999982</v>
      </c>
      <c r="P31" s="33" t="s">
        <v>201</v>
      </c>
      <c r="S31" s="33" t="s">
        <v>201</v>
      </c>
      <c r="V31" s="33" t="s">
        <v>201</v>
      </c>
      <c r="Y31" s="33" t="s">
        <v>201</v>
      </c>
    </row>
    <row r="32" spans="1:25" hidden="1" x14ac:dyDescent="0.25">
      <c r="A32" s="33">
        <v>29</v>
      </c>
      <c r="B32" s="33" t="s">
        <v>200</v>
      </c>
      <c r="C32" s="33">
        <v>6</v>
      </c>
      <c r="D32" s="33">
        <v>35</v>
      </c>
      <c r="E32" s="33">
        <v>0</v>
      </c>
      <c r="F32" s="33">
        <v>35</v>
      </c>
      <c r="G32" s="33">
        <v>2900</v>
      </c>
      <c r="H32" s="36" t="s">
        <v>149</v>
      </c>
      <c r="I32" s="33">
        <v>2900</v>
      </c>
      <c r="J32" s="33">
        <v>0</v>
      </c>
      <c r="M32" s="33" t="s">
        <v>201</v>
      </c>
      <c r="N32" s="33"/>
      <c r="P32" s="33" t="s">
        <v>201</v>
      </c>
      <c r="S32" s="33" t="s">
        <v>201</v>
      </c>
      <c r="V32" s="33" t="s">
        <v>201</v>
      </c>
      <c r="Y32" s="33" t="s">
        <v>201</v>
      </c>
    </row>
    <row r="33" spans="1:25" hidden="1" x14ac:dyDescent="0.25">
      <c r="A33" s="33">
        <v>30</v>
      </c>
      <c r="B33" s="33" t="s">
        <v>200</v>
      </c>
      <c r="C33" s="33">
        <v>7</v>
      </c>
      <c r="D33" s="33">
        <v>7</v>
      </c>
      <c r="E33" s="33">
        <v>0</v>
      </c>
      <c r="F33" s="33">
        <v>7</v>
      </c>
      <c r="G33" s="33">
        <v>2500</v>
      </c>
      <c r="H33" s="36" t="s">
        <v>149</v>
      </c>
      <c r="I33" s="33">
        <v>100</v>
      </c>
      <c r="J33" s="33">
        <v>0</v>
      </c>
      <c r="K33" s="36" t="s">
        <v>69</v>
      </c>
      <c r="L33" s="33">
        <v>2400</v>
      </c>
      <c r="M33" s="33">
        <v>0.72023999999999988</v>
      </c>
      <c r="P33" s="33" t="s">
        <v>201</v>
      </c>
      <c r="S33" s="33" t="s">
        <v>201</v>
      </c>
      <c r="V33" s="33" t="s">
        <v>201</v>
      </c>
      <c r="Y33" s="33" t="s">
        <v>201</v>
      </c>
    </row>
    <row r="34" spans="1:25" hidden="1" x14ac:dyDescent="0.25">
      <c r="A34" s="33">
        <v>31</v>
      </c>
      <c r="B34" s="33" t="s">
        <v>200</v>
      </c>
      <c r="C34" s="33">
        <v>7</v>
      </c>
      <c r="D34" s="33">
        <v>31</v>
      </c>
      <c r="E34" s="33">
        <v>0</v>
      </c>
      <c r="F34" s="33">
        <v>31</v>
      </c>
      <c r="G34" s="33">
        <v>2400</v>
      </c>
      <c r="H34" s="36" t="s">
        <v>149</v>
      </c>
      <c r="I34" s="33">
        <v>2400</v>
      </c>
      <c r="J34" s="33">
        <v>0</v>
      </c>
      <c r="M34" s="33" t="s">
        <v>201</v>
      </c>
      <c r="P34" s="33" t="s">
        <v>201</v>
      </c>
      <c r="S34" s="33" t="s">
        <v>201</v>
      </c>
      <c r="V34" s="33" t="s">
        <v>201</v>
      </c>
      <c r="Y34" s="33" t="s">
        <v>201</v>
      </c>
    </row>
    <row r="35" spans="1:25" hidden="1" x14ac:dyDescent="0.25">
      <c r="A35" s="33">
        <v>32</v>
      </c>
      <c r="B35" s="33" t="s">
        <v>200</v>
      </c>
      <c r="C35" s="33">
        <v>7</v>
      </c>
      <c r="D35" s="33">
        <v>9</v>
      </c>
      <c r="E35" s="33">
        <v>0</v>
      </c>
      <c r="F35" s="33">
        <v>9</v>
      </c>
      <c r="G35" s="33">
        <v>2400</v>
      </c>
      <c r="H35" s="36" t="s">
        <v>153</v>
      </c>
      <c r="I35" s="33">
        <v>2400</v>
      </c>
      <c r="J35" s="33">
        <v>0</v>
      </c>
      <c r="M35" s="33" t="s">
        <v>201</v>
      </c>
      <c r="P35" s="33" t="s">
        <v>201</v>
      </c>
      <c r="S35" s="33" t="s">
        <v>201</v>
      </c>
      <c r="V35" s="33" t="s">
        <v>201</v>
      </c>
      <c r="Y35" s="33" t="s">
        <v>201</v>
      </c>
    </row>
    <row r="36" spans="1:25" hidden="1" x14ac:dyDescent="0.25">
      <c r="A36" s="33">
        <v>33</v>
      </c>
      <c r="B36" s="33" t="s">
        <v>200</v>
      </c>
      <c r="C36" s="33">
        <v>7</v>
      </c>
      <c r="D36" s="33">
        <v>6.5454999999999997</v>
      </c>
      <c r="E36" s="33">
        <v>0</v>
      </c>
      <c r="F36" s="33">
        <v>6.5454999999999997</v>
      </c>
      <c r="G36" s="33">
        <v>2400</v>
      </c>
      <c r="H36" s="36" t="s">
        <v>154</v>
      </c>
      <c r="I36" s="33">
        <v>2400</v>
      </c>
      <c r="J36" s="33">
        <v>4.1999999999999997E-3</v>
      </c>
      <c r="M36" s="33" t="s">
        <v>201</v>
      </c>
      <c r="P36" s="33" t="s">
        <v>201</v>
      </c>
      <c r="S36" s="33" t="s">
        <v>201</v>
      </c>
      <c r="V36" s="33" t="s">
        <v>201</v>
      </c>
      <c r="Y36" s="33" t="s">
        <v>201</v>
      </c>
    </row>
    <row r="37" spans="1:25" hidden="1" x14ac:dyDescent="0.25">
      <c r="A37" s="33">
        <v>34</v>
      </c>
      <c r="B37" s="33" t="s">
        <v>200</v>
      </c>
      <c r="C37" s="33">
        <v>8</v>
      </c>
      <c r="D37" s="33">
        <v>12</v>
      </c>
      <c r="E37" s="33">
        <v>0</v>
      </c>
      <c r="F37" s="33">
        <v>12</v>
      </c>
      <c r="G37" s="33">
        <v>2800</v>
      </c>
      <c r="H37" s="36" t="s">
        <v>149</v>
      </c>
      <c r="I37" s="33">
        <v>400</v>
      </c>
      <c r="J37" s="33">
        <v>0</v>
      </c>
      <c r="K37" s="36" t="s">
        <v>69</v>
      </c>
      <c r="L37" s="33">
        <v>2400</v>
      </c>
      <c r="M37" s="33">
        <v>0.72023999999999988</v>
      </c>
      <c r="P37" s="33" t="s">
        <v>201</v>
      </c>
      <c r="S37" s="33" t="s">
        <v>201</v>
      </c>
      <c r="V37" s="33" t="s">
        <v>201</v>
      </c>
      <c r="Y37" s="33" t="s">
        <v>201</v>
      </c>
    </row>
    <row r="38" spans="1:25" hidden="1" x14ac:dyDescent="0.25">
      <c r="A38" s="33">
        <v>35</v>
      </c>
      <c r="B38" s="33" t="s">
        <v>200</v>
      </c>
      <c r="C38" s="33">
        <v>8</v>
      </c>
      <c r="D38" s="33">
        <v>13.231833910034601</v>
      </c>
      <c r="E38" s="33">
        <v>0.82698961937716253</v>
      </c>
      <c r="F38" s="33">
        <v>12.404844290657438</v>
      </c>
      <c r="G38" s="33">
        <v>2890</v>
      </c>
      <c r="H38" s="36" t="s">
        <v>149</v>
      </c>
      <c r="I38" s="33">
        <v>700</v>
      </c>
      <c r="J38" s="33">
        <v>0</v>
      </c>
      <c r="K38" s="36" t="s">
        <v>159</v>
      </c>
      <c r="L38" s="33">
        <v>1500</v>
      </c>
      <c r="M38" s="33">
        <v>0.27</v>
      </c>
      <c r="N38" s="36" t="s">
        <v>149</v>
      </c>
      <c r="O38" s="33">
        <v>190</v>
      </c>
      <c r="P38" s="33">
        <v>0</v>
      </c>
      <c r="S38" s="33" t="s">
        <v>201</v>
      </c>
      <c r="V38" s="33" t="s">
        <v>201</v>
      </c>
      <c r="Y38" s="33" t="s">
        <v>201</v>
      </c>
    </row>
    <row r="39" spans="1:25" hidden="1" x14ac:dyDescent="0.25">
      <c r="A39" s="33">
        <v>36</v>
      </c>
      <c r="B39" s="33" t="s">
        <v>200</v>
      </c>
      <c r="C39" s="33">
        <v>8</v>
      </c>
      <c r="D39" s="33">
        <v>31</v>
      </c>
      <c r="E39" s="33">
        <v>0</v>
      </c>
      <c r="F39" s="33">
        <v>31</v>
      </c>
      <c r="G39" s="33">
        <v>2400</v>
      </c>
      <c r="H39" s="36" t="s">
        <v>149</v>
      </c>
      <c r="I39" s="33">
        <v>2400</v>
      </c>
      <c r="J39" s="33">
        <v>0</v>
      </c>
      <c r="L39" s="36"/>
      <c r="M39" s="33" t="s">
        <v>201</v>
      </c>
      <c r="P39" s="33" t="s">
        <v>201</v>
      </c>
      <c r="S39" s="33" t="s">
        <v>201</v>
      </c>
      <c r="V39" s="33" t="s">
        <v>201</v>
      </c>
      <c r="Y39" s="33" t="s">
        <v>201</v>
      </c>
    </row>
    <row r="40" spans="1:25" hidden="1" x14ac:dyDescent="0.25">
      <c r="A40" s="33">
        <v>37</v>
      </c>
      <c r="B40" s="33" t="s">
        <v>200</v>
      </c>
      <c r="C40" s="33">
        <v>8</v>
      </c>
      <c r="D40" s="33">
        <v>10</v>
      </c>
      <c r="E40" s="33">
        <v>0</v>
      </c>
      <c r="F40" s="33">
        <v>10</v>
      </c>
      <c r="G40" s="33">
        <v>2600</v>
      </c>
      <c r="H40" s="36" t="s">
        <v>153</v>
      </c>
      <c r="I40" s="33">
        <v>2600</v>
      </c>
      <c r="J40" s="33">
        <v>0</v>
      </c>
      <c r="M40" s="33" t="s">
        <v>201</v>
      </c>
      <c r="P40" s="33" t="s">
        <v>201</v>
      </c>
      <c r="S40" s="33" t="s">
        <v>201</v>
      </c>
      <c r="V40" s="33" t="s">
        <v>201</v>
      </c>
      <c r="Y40" s="33" t="s">
        <v>201</v>
      </c>
    </row>
    <row r="41" spans="1:25" hidden="1" x14ac:dyDescent="0.25">
      <c r="A41" s="33">
        <v>38</v>
      </c>
      <c r="B41" s="33" t="s">
        <v>200</v>
      </c>
      <c r="C41" s="33">
        <v>8</v>
      </c>
      <c r="D41" s="33">
        <v>7.0909000000000004</v>
      </c>
      <c r="E41" s="33">
        <v>0</v>
      </c>
      <c r="F41" s="33">
        <v>7.0909000000000004</v>
      </c>
      <c r="G41" s="33">
        <v>2600</v>
      </c>
      <c r="H41" s="36" t="s">
        <v>154</v>
      </c>
      <c r="I41" s="33">
        <v>2600</v>
      </c>
      <c r="J41" s="33">
        <v>4.5500000000000002E-3</v>
      </c>
      <c r="M41" s="33" t="s">
        <v>201</v>
      </c>
      <c r="P41" s="33" t="s">
        <v>201</v>
      </c>
      <c r="S41" s="33" t="s">
        <v>201</v>
      </c>
      <c r="V41" s="33" t="s">
        <v>201</v>
      </c>
      <c r="Y41" s="33" t="s">
        <v>201</v>
      </c>
    </row>
    <row r="42" spans="1:25" hidden="1" x14ac:dyDescent="0.25">
      <c r="A42" s="33">
        <v>39</v>
      </c>
      <c r="B42" s="33" t="s">
        <v>200</v>
      </c>
      <c r="C42" s="33">
        <v>9</v>
      </c>
      <c r="D42" s="33">
        <v>28</v>
      </c>
      <c r="E42" s="33">
        <v>0</v>
      </c>
      <c r="F42" s="33">
        <v>28</v>
      </c>
      <c r="G42" s="33">
        <v>2200</v>
      </c>
      <c r="H42" s="36" t="s">
        <v>149</v>
      </c>
      <c r="I42" s="33">
        <v>2200</v>
      </c>
      <c r="J42" s="33">
        <v>0</v>
      </c>
      <c r="M42" s="33" t="s">
        <v>201</v>
      </c>
      <c r="P42" s="33" t="s">
        <v>201</v>
      </c>
      <c r="S42" s="33" t="s">
        <v>201</v>
      </c>
      <c r="V42" s="33" t="s">
        <v>201</v>
      </c>
      <c r="Y42" s="33" t="s">
        <v>201</v>
      </c>
    </row>
    <row r="43" spans="1:25" hidden="1" x14ac:dyDescent="0.25">
      <c r="A43" s="33">
        <v>40</v>
      </c>
      <c r="B43" s="33" t="s">
        <v>200</v>
      </c>
      <c r="C43" s="33">
        <v>9</v>
      </c>
      <c r="D43" s="33">
        <v>6</v>
      </c>
      <c r="E43" s="33">
        <v>0</v>
      </c>
      <c r="F43" s="33">
        <v>6</v>
      </c>
      <c r="G43" s="33">
        <v>2200</v>
      </c>
      <c r="H43" s="36" t="s">
        <v>154</v>
      </c>
      <c r="I43" s="33">
        <v>2200</v>
      </c>
      <c r="J43" s="33">
        <v>3.8500000000000006E-3</v>
      </c>
      <c r="M43" s="33" t="s">
        <v>201</v>
      </c>
      <c r="P43" s="33" t="s">
        <v>201</v>
      </c>
      <c r="S43" s="33" t="s">
        <v>201</v>
      </c>
      <c r="V43" s="33" t="s">
        <v>201</v>
      </c>
      <c r="Y43" s="33" t="s">
        <v>201</v>
      </c>
    </row>
    <row r="44" spans="1:25" hidden="1" x14ac:dyDescent="0.25">
      <c r="A44" s="33">
        <v>41</v>
      </c>
      <c r="B44" s="33" t="s">
        <v>200</v>
      </c>
      <c r="C44" s="33">
        <v>9</v>
      </c>
      <c r="D44" s="33">
        <v>5</v>
      </c>
      <c r="E44" s="33">
        <v>0</v>
      </c>
      <c r="F44" s="33">
        <v>5</v>
      </c>
      <c r="G44" s="33">
        <v>2300</v>
      </c>
      <c r="H44" s="36" t="s">
        <v>149</v>
      </c>
      <c r="I44" s="33">
        <v>100</v>
      </c>
      <c r="J44" s="33">
        <v>0</v>
      </c>
      <c r="K44" s="36" t="s">
        <v>69</v>
      </c>
      <c r="L44" s="33">
        <v>2200</v>
      </c>
      <c r="M44" s="33">
        <v>0.66022000000000003</v>
      </c>
      <c r="P44" s="33" t="s">
        <v>201</v>
      </c>
      <c r="S44" s="33" t="s">
        <v>201</v>
      </c>
      <c r="V44" s="33" t="s">
        <v>201</v>
      </c>
      <c r="Y44" s="33" t="s">
        <v>201</v>
      </c>
    </row>
    <row r="45" spans="1:25" hidden="1" x14ac:dyDescent="0.25">
      <c r="A45" s="33">
        <v>42</v>
      </c>
      <c r="B45" s="33" t="s">
        <v>200</v>
      </c>
      <c r="C45" s="33">
        <v>9</v>
      </c>
      <c r="D45" s="33">
        <v>8</v>
      </c>
      <c r="E45" s="33">
        <v>0</v>
      </c>
      <c r="F45" s="33">
        <v>8</v>
      </c>
      <c r="G45" s="33">
        <v>2200</v>
      </c>
      <c r="H45" s="36" t="s">
        <v>153</v>
      </c>
      <c r="I45" s="33">
        <v>2200</v>
      </c>
      <c r="J45" s="33">
        <v>0</v>
      </c>
      <c r="M45" s="33" t="s">
        <v>201</v>
      </c>
      <c r="P45" s="33" t="s">
        <v>201</v>
      </c>
      <c r="S45" s="33" t="s">
        <v>201</v>
      </c>
      <c r="V45" s="33" t="s">
        <v>201</v>
      </c>
      <c r="Y45" s="33" t="s">
        <v>201</v>
      </c>
    </row>
    <row r="46" spans="1:25" hidden="1" x14ac:dyDescent="0.25">
      <c r="A46" s="33">
        <v>43</v>
      </c>
      <c r="B46" s="33" t="s">
        <v>200</v>
      </c>
      <c r="C46" s="33">
        <v>10</v>
      </c>
      <c r="D46" s="33">
        <v>6</v>
      </c>
      <c r="E46" s="33">
        <v>0</v>
      </c>
      <c r="F46" s="33">
        <v>6</v>
      </c>
      <c r="G46" s="33">
        <v>2000</v>
      </c>
      <c r="H46" s="36" t="s">
        <v>149</v>
      </c>
      <c r="I46" s="33">
        <v>100</v>
      </c>
      <c r="J46" s="33">
        <v>0</v>
      </c>
      <c r="K46" s="36" t="s">
        <v>69</v>
      </c>
      <c r="L46" s="33">
        <v>1900</v>
      </c>
      <c r="M46" s="33">
        <v>0.57018999999999997</v>
      </c>
      <c r="P46" s="33" t="s">
        <v>201</v>
      </c>
      <c r="S46" s="33" t="s">
        <v>201</v>
      </c>
      <c r="V46" s="33" t="s">
        <v>201</v>
      </c>
      <c r="Y46" s="33" t="s">
        <v>201</v>
      </c>
    </row>
    <row r="47" spans="1:25" hidden="1" x14ac:dyDescent="0.25">
      <c r="A47" s="33">
        <v>44</v>
      </c>
      <c r="B47" s="33" t="s">
        <v>200</v>
      </c>
      <c r="C47" s="33">
        <v>10</v>
      </c>
      <c r="D47" s="33">
        <v>28</v>
      </c>
      <c r="E47" s="33">
        <v>0</v>
      </c>
      <c r="F47" s="33">
        <v>28</v>
      </c>
      <c r="G47" s="33">
        <v>2000</v>
      </c>
      <c r="H47" s="36" t="s">
        <v>149</v>
      </c>
      <c r="I47" s="33">
        <v>2000</v>
      </c>
      <c r="J47" s="33">
        <v>0</v>
      </c>
      <c r="M47" s="33" t="s">
        <v>201</v>
      </c>
      <c r="P47" s="33" t="s">
        <v>201</v>
      </c>
      <c r="S47" s="33" t="s">
        <v>201</v>
      </c>
      <c r="V47" s="33" t="s">
        <v>201</v>
      </c>
      <c r="Y47" s="33" t="s">
        <v>201</v>
      </c>
    </row>
    <row r="48" spans="1:25" hidden="1" x14ac:dyDescent="0.25">
      <c r="A48" s="33">
        <v>45</v>
      </c>
      <c r="B48" s="33" t="s">
        <v>200</v>
      </c>
      <c r="C48" s="33">
        <v>10</v>
      </c>
      <c r="D48" s="33">
        <v>13</v>
      </c>
      <c r="E48" s="33">
        <v>0</v>
      </c>
      <c r="F48" s="33">
        <v>13</v>
      </c>
      <c r="G48" s="33">
        <v>2000</v>
      </c>
      <c r="H48" s="36" t="s">
        <v>153</v>
      </c>
      <c r="I48" s="33">
        <v>2000</v>
      </c>
      <c r="J48" s="33">
        <v>0</v>
      </c>
      <c r="M48" s="33" t="s">
        <v>201</v>
      </c>
      <c r="P48" s="33" t="s">
        <v>201</v>
      </c>
      <c r="S48" s="33" t="s">
        <v>201</v>
      </c>
      <c r="V48" s="33" t="s">
        <v>201</v>
      </c>
      <c r="Y48" s="33" t="s">
        <v>201</v>
      </c>
    </row>
    <row r="49" spans="1:25" hidden="1" x14ac:dyDescent="0.25">
      <c r="A49" s="33">
        <v>46</v>
      </c>
      <c r="B49" s="33" t="s">
        <v>200</v>
      </c>
      <c r="C49" s="33">
        <v>10</v>
      </c>
      <c r="D49" s="33">
        <v>5.4545000000000003</v>
      </c>
      <c r="E49" s="33">
        <v>0</v>
      </c>
      <c r="F49" s="33">
        <v>5.4545000000000003</v>
      </c>
      <c r="G49" s="33">
        <v>2000</v>
      </c>
      <c r="H49" s="36" t="s">
        <v>154</v>
      </c>
      <c r="I49" s="33">
        <v>2000</v>
      </c>
      <c r="J49" s="33">
        <v>3.5000000000000001E-3</v>
      </c>
      <c r="M49" s="33" t="s">
        <v>201</v>
      </c>
      <c r="P49" s="33" t="s">
        <v>201</v>
      </c>
      <c r="S49" s="33" t="s">
        <v>201</v>
      </c>
      <c r="V49" s="33" t="s">
        <v>201</v>
      </c>
      <c r="Y49" s="33" t="s">
        <v>201</v>
      </c>
    </row>
    <row r="50" spans="1:25" hidden="1" x14ac:dyDescent="0.25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s="107" t="s">
        <v>153</v>
      </c>
      <c r="I50">
        <v>14500</v>
      </c>
      <c r="J50" s="107">
        <v>0</v>
      </c>
      <c r="K50" s="107"/>
      <c r="L50"/>
      <c r="M50" s="107"/>
      <c r="N50" s="107"/>
      <c r="O50"/>
      <c r="P50"/>
      <c r="Y50" s="33"/>
    </row>
    <row r="51" spans="1:25" hidden="1" x14ac:dyDescent="0.25">
      <c r="A51">
        <v>48</v>
      </c>
      <c r="B51" t="s">
        <v>203</v>
      </c>
      <c r="C51">
        <v>11</v>
      </c>
      <c r="D51">
        <v>47</v>
      </c>
      <c r="E51">
        <v>0</v>
      </c>
      <c r="F51">
        <v>47</v>
      </c>
      <c r="G51">
        <v>13200</v>
      </c>
      <c r="H51" s="107" t="s">
        <v>149</v>
      </c>
      <c r="I51">
        <v>200</v>
      </c>
      <c r="J51" s="107">
        <v>0</v>
      </c>
      <c r="K51" s="107" t="s">
        <v>69</v>
      </c>
      <c r="L51">
        <v>13000</v>
      </c>
      <c r="M51" s="107">
        <v>3.9012999999999995</v>
      </c>
      <c r="N51" s="107"/>
      <c r="O51"/>
      <c r="P51"/>
      <c r="Y51" s="33"/>
    </row>
    <row r="52" spans="1:25" hidden="1" x14ac:dyDescent="0.25">
      <c r="A52">
        <v>49</v>
      </c>
      <c r="B52" t="s">
        <v>203</v>
      </c>
      <c r="C52">
        <v>11</v>
      </c>
      <c r="D52">
        <v>51</v>
      </c>
      <c r="E52">
        <v>7</v>
      </c>
      <c r="F52">
        <v>44</v>
      </c>
      <c r="G52">
        <v>11610</v>
      </c>
      <c r="H52" s="107" t="s">
        <v>149</v>
      </c>
      <c r="I52">
        <v>110</v>
      </c>
      <c r="J52" s="107">
        <v>0</v>
      </c>
      <c r="K52" s="107" t="s">
        <v>159</v>
      </c>
      <c r="L52">
        <v>11000</v>
      </c>
      <c r="M52" s="107">
        <v>1.98</v>
      </c>
      <c r="N52" s="107" t="s">
        <v>149</v>
      </c>
      <c r="O52">
        <v>500</v>
      </c>
      <c r="P52">
        <v>0</v>
      </c>
      <c r="Y52" s="33"/>
    </row>
    <row r="53" spans="1:25" hidden="1" x14ac:dyDescent="0.25">
      <c r="A53">
        <v>50</v>
      </c>
      <c r="B53" t="s">
        <v>203</v>
      </c>
      <c r="C53">
        <v>12</v>
      </c>
      <c r="D53">
        <v>46</v>
      </c>
      <c r="E53">
        <v>1</v>
      </c>
      <c r="F53">
        <v>45</v>
      </c>
      <c r="G53">
        <v>16580</v>
      </c>
      <c r="H53" s="107" t="s">
        <v>149</v>
      </c>
      <c r="I53">
        <v>900</v>
      </c>
      <c r="J53" s="107">
        <v>0</v>
      </c>
      <c r="K53" s="107" t="s">
        <v>158</v>
      </c>
      <c r="L53">
        <v>7100</v>
      </c>
      <c r="M53" s="107">
        <v>1.9375</v>
      </c>
      <c r="N53" s="107" t="s">
        <v>155</v>
      </c>
      <c r="O53">
        <v>8580</v>
      </c>
      <c r="P53">
        <v>1.9375</v>
      </c>
      <c r="Y53" s="33"/>
    </row>
    <row r="54" spans="1:25" hidden="1" x14ac:dyDescent="0.25">
      <c r="A54">
        <v>51</v>
      </c>
      <c r="B54" t="s">
        <v>203</v>
      </c>
      <c r="C54">
        <v>12</v>
      </c>
      <c r="D54">
        <v>35</v>
      </c>
      <c r="E54">
        <v>0</v>
      </c>
      <c r="F54">
        <v>35</v>
      </c>
      <c r="G54">
        <v>20000</v>
      </c>
      <c r="H54" s="107" t="s">
        <v>149</v>
      </c>
      <c r="I54">
        <v>200</v>
      </c>
      <c r="J54" s="107">
        <v>0</v>
      </c>
      <c r="K54" s="107" t="s">
        <v>69</v>
      </c>
      <c r="L54">
        <v>19800</v>
      </c>
      <c r="M54" s="107">
        <v>5.94198</v>
      </c>
      <c r="N54" s="107"/>
      <c r="O54"/>
      <c r="P54"/>
      <c r="Y54" s="33"/>
    </row>
    <row r="55" spans="1:25" hidden="1" x14ac:dyDescent="0.25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s="107" t="s">
        <v>153</v>
      </c>
      <c r="I55">
        <v>15000</v>
      </c>
      <c r="J55" s="107">
        <v>0</v>
      </c>
      <c r="K55" s="107"/>
      <c r="L55"/>
      <c r="M55" s="107"/>
      <c r="N55" s="107"/>
      <c r="O55"/>
      <c r="P55"/>
      <c r="Y55" s="33"/>
    </row>
    <row r="56" spans="1:25" hidden="1" x14ac:dyDescent="0.25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s="107" t="s">
        <v>153</v>
      </c>
      <c r="I56">
        <v>14900</v>
      </c>
      <c r="J56" s="107">
        <v>0</v>
      </c>
      <c r="K56" s="107"/>
      <c r="L56"/>
      <c r="M56" s="107"/>
      <c r="N56" s="107"/>
      <c r="O56"/>
      <c r="P56"/>
      <c r="Y56" s="33"/>
    </row>
    <row r="57" spans="1:25" hidden="1" x14ac:dyDescent="0.25">
      <c r="A57">
        <v>54</v>
      </c>
      <c r="B57" t="s">
        <v>203</v>
      </c>
      <c r="C57">
        <v>14</v>
      </c>
      <c r="D57">
        <v>40</v>
      </c>
      <c r="E57">
        <v>0</v>
      </c>
      <c r="F57">
        <v>40</v>
      </c>
      <c r="G57">
        <v>13800</v>
      </c>
      <c r="H57" s="107" t="s">
        <v>149</v>
      </c>
      <c r="I57">
        <v>200</v>
      </c>
      <c r="J57" s="107">
        <v>0</v>
      </c>
      <c r="K57" s="107" t="s">
        <v>69</v>
      </c>
      <c r="L57">
        <v>13600</v>
      </c>
      <c r="M57" s="107">
        <v>4.0813599999999992</v>
      </c>
      <c r="N57" s="107"/>
      <c r="O57"/>
      <c r="P57"/>
      <c r="Y57" s="33"/>
    </row>
    <row r="58" spans="1:25" hidden="1" x14ac:dyDescent="0.25">
      <c r="A58">
        <v>55</v>
      </c>
      <c r="B58" t="s">
        <v>203</v>
      </c>
      <c r="C58">
        <v>14</v>
      </c>
      <c r="D58">
        <v>80</v>
      </c>
      <c r="E58">
        <v>19</v>
      </c>
      <c r="F58">
        <v>61</v>
      </c>
      <c r="G58">
        <v>19410</v>
      </c>
      <c r="H58" s="107" t="s">
        <v>149</v>
      </c>
      <c r="I58">
        <v>910</v>
      </c>
      <c r="J58">
        <v>0</v>
      </c>
      <c r="K58" t="s">
        <v>155</v>
      </c>
      <c r="L58">
        <v>5000</v>
      </c>
      <c r="M58" s="107">
        <v>1.9375</v>
      </c>
      <c r="N58" s="107" t="s">
        <v>158</v>
      </c>
      <c r="O58">
        <v>13500</v>
      </c>
      <c r="P58">
        <v>1.9375</v>
      </c>
      <c r="Y58" s="33"/>
    </row>
    <row r="59" spans="1:25" hidden="1" x14ac:dyDescent="0.25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s="107" t="s">
        <v>153</v>
      </c>
      <c r="I59">
        <v>15200</v>
      </c>
      <c r="J59" s="107">
        <v>0</v>
      </c>
      <c r="K59" s="107"/>
      <c r="L59"/>
      <c r="M59" s="107"/>
      <c r="N59" s="107"/>
      <c r="O59"/>
      <c r="P59"/>
      <c r="Y59" s="33"/>
    </row>
    <row r="60" spans="1:25" hidden="1" x14ac:dyDescent="0.25">
      <c r="A60">
        <v>57</v>
      </c>
      <c r="B60" t="s">
        <v>203</v>
      </c>
      <c r="C60">
        <v>15</v>
      </c>
      <c r="D60">
        <v>44</v>
      </c>
      <c r="E60">
        <v>0</v>
      </c>
      <c r="F60">
        <v>44</v>
      </c>
      <c r="G60">
        <v>22400</v>
      </c>
      <c r="H60" s="107" t="s">
        <v>149</v>
      </c>
      <c r="I60">
        <v>300</v>
      </c>
      <c r="J60" s="107">
        <v>0</v>
      </c>
      <c r="K60" s="107" t="s">
        <v>69</v>
      </c>
      <c r="L60">
        <v>22100</v>
      </c>
      <c r="M60" s="107">
        <v>6.6322099999999997</v>
      </c>
      <c r="N60" s="107"/>
      <c r="O60"/>
      <c r="P60"/>
      <c r="Y60" s="33"/>
    </row>
    <row r="61" spans="1:25" hidden="1" x14ac:dyDescent="0.25">
      <c r="A61">
        <v>58</v>
      </c>
      <c r="B61" t="s">
        <v>203</v>
      </c>
      <c r="C61">
        <v>15</v>
      </c>
      <c r="D61">
        <v>57</v>
      </c>
      <c r="E61">
        <v>8</v>
      </c>
      <c r="F61">
        <v>49</v>
      </c>
      <c r="G61">
        <v>14850</v>
      </c>
      <c r="H61" s="107" t="s">
        <v>149</v>
      </c>
      <c r="I61">
        <v>350</v>
      </c>
      <c r="J61" s="107">
        <v>0</v>
      </c>
      <c r="K61" s="107" t="s">
        <v>155</v>
      </c>
      <c r="L61">
        <v>9500</v>
      </c>
      <c r="M61" s="107">
        <v>1.9375</v>
      </c>
      <c r="N61" s="107" t="s">
        <v>158</v>
      </c>
      <c r="O61">
        <v>5000</v>
      </c>
      <c r="P61">
        <v>1.9375</v>
      </c>
      <c r="Y61" s="33"/>
    </row>
    <row r="62" spans="1:25" hidden="1" x14ac:dyDescent="0.25">
      <c r="A62">
        <v>59</v>
      </c>
      <c r="B62" t="s">
        <v>202</v>
      </c>
      <c r="C62">
        <v>17</v>
      </c>
      <c r="D62">
        <v>213.70145922746781</v>
      </c>
      <c r="E62">
        <v>57.457467811158793</v>
      </c>
      <c r="F62">
        <v>156.243991416309</v>
      </c>
      <c r="G62">
        <v>233000</v>
      </c>
      <c r="H62" s="107" t="s">
        <v>149</v>
      </c>
      <c r="I62">
        <v>500</v>
      </c>
      <c r="J62" s="107">
        <v>0</v>
      </c>
      <c r="K62" s="107" t="s">
        <v>158</v>
      </c>
      <c r="L62">
        <v>6000</v>
      </c>
      <c r="M62" s="107">
        <v>1.9375</v>
      </c>
      <c r="N62" s="107" t="s">
        <v>160</v>
      </c>
      <c r="O62">
        <v>183920</v>
      </c>
      <c r="P62">
        <v>33.105599999999995</v>
      </c>
      <c r="Q62" s="33" t="s">
        <v>159</v>
      </c>
      <c r="R62" s="33">
        <v>42180</v>
      </c>
      <c r="S62" s="33">
        <v>7.5923999999999996</v>
      </c>
      <c r="T62" s="33" t="s">
        <v>155</v>
      </c>
      <c r="U62" s="33">
        <v>1870</v>
      </c>
      <c r="V62" s="33">
        <v>1.9375</v>
      </c>
      <c r="W62" s="33" t="s">
        <v>149</v>
      </c>
      <c r="X62" s="33">
        <v>400</v>
      </c>
      <c r="Y62" s="33">
        <v>0</v>
      </c>
    </row>
    <row r="63" spans="1:25" hidden="1" x14ac:dyDescent="0.25">
      <c r="A63">
        <v>60</v>
      </c>
      <c r="B63" t="s">
        <v>202</v>
      </c>
      <c r="C63">
        <v>17</v>
      </c>
      <c r="D63">
        <v>170</v>
      </c>
      <c r="E63">
        <v>0</v>
      </c>
      <c r="F63">
        <v>170</v>
      </c>
      <c r="G63">
        <v>175400</v>
      </c>
      <c r="H63" s="107" t="s">
        <v>149</v>
      </c>
      <c r="I63">
        <v>400</v>
      </c>
      <c r="J63" s="107">
        <v>0</v>
      </c>
      <c r="K63" s="107" t="s">
        <v>69</v>
      </c>
      <c r="L63">
        <v>175000</v>
      </c>
      <c r="M63" s="107">
        <v>52.517499999999998</v>
      </c>
      <c r="N63" s="107"/>
      <c r="O63"/>
      <c r="P63" t="s">
        <v>201</v>
      </c>
      <c r="S63" s="33" t="s">
        <v>201</v>
      </c>
      <c r="V63" s="33" t="s">
        <v>201</v>
      </c>
      <c r="Y63" s="33" t="s">
        <v>201</v>
      </c>
    </row>
    <row r="64" spans="1:25" hidden="1" x14ac:dyDescent="0.25">
      <c r="A64">
        <v>61</v>
      </c>
      <c r="B64" t="s">
        <v>202</v>
      </c>
      <c r="C64">
        <v>18</v>
      </c>
      <c r="D64">
        <v>233</v>
      </c>
      <c r="E64">
        <v>56</v>
      </c>
      <c r="F64">
        <v>177</v>
      </c>
      <c r="G64">
        <v>234712</v>
      </c>
      <c r="H64" s="107" t="s">
        <v>149</v>
      </c>
      <c r="I64">
        <v>500</v>
      </c>
      <c r="J64" s="107">
        <v>0</v>
      </c>
      <c r="K64" s="107" t="s">
        <v>158</v>
      </c>
      <c r="L64">
        <v>6000</v>
      </c>
      <c r="M64" s="107">
        <v>1.9375</v>
      </c>
      <c r="N64" s="107" t="s">
        <v>160</v>
      </c>
      <c r="O64">
        <v>183920</v>
      </c>
      <c r="P64">
        <v>33.105599999999995</v>
      </c>
      <c r="Q64" s="33" t="s">
        <v>159</v>
      </c>
      <c r="R64" s="33">
        <v>42690</v>
      </c>
      <c r="S64" s="33">
        <v>7.6841999999999997</v>
      </c>
      <c r="T64" s="33" t="s">
        <v>155</v>
      </c>
      <c r="U64" s="33">
        <v>1302</v>
      </c>
      <c r="V64" s="33">
        <v>1.9375</v>
      </c>
      <c r="W64" s="33" t="s">
        <v>149</v>
      </c>
      <c r="X64" s="33">
        <v>300</v>
      </c>
      <c r="Y64" s="33">
        <v>0</v>
      </c>
    </row>
    <row r="65" spans="1:25" hidden="1" x14ac:dyDescent="0.25">
      <c r="A65" s="33">
        <v>62</v>
      </c>
      <c r="B65" s="33" t="s">
        <v>202</v>
      </c>
      <c r="C65" s="33">
        <v>18</v>
      </c>
      <c r="D65" s="33">
        <v>160</v>
      </c>
      <c r="E65" s="33">
        <v>0</v>
      </c>
      <c r="F65" s="33">
        <v>160</v>
      </c>
      <c r="G65" s="33">
        <v>170400</v>
      </c>
      <c r="H65" s="36" t="s">
        <v>149</v>
      </c>
      <c r="I65" s="33">
        <v>400</v>
      </c>
      <c r="J65" s="33">
        <v>0</v>
      </c>
      <c r="K65" s="36" t="s">
        <v>69</v>
      </c>
      <c r="L65" s="33">
        <v>170000</v>
      </c>
      <c r="M65" s="33">
        <v>51.016999999999996</v>
      </c>
      <c r="P65" s="33" t="s">
        <v>201</v>
      </c>
      <c r="S65" s="33" t="s">
        <v>201</v>
      </c>
      <c r="V65" s="33" t="s">
        <v>201</v>
      </c>
      <c r="Y65" s="33" t="s">
        <v>201</v>
      </c>
    </row>
    <row r="66" spans="1:25" hidden="1" x14ac:dyDescent="0.25">
      <c r="A66" s="33">
        <v>63</v>
      </c>
      <c r="B66" s="33" t="s">
        <v>202</v>
      </c>
      <c r="C66" s="33">
        <v>19</v>
      </c>
      <c r="D66" s="33">
        <v>150</v>
      </c>
      <c r="E66" s="33">
        <v>0</v>
      </c>
      <c r="F66" s="33">
        <v>150</v>
      </c>
      <c r="G66" s="33">
        <v>171400</v>
      </c>
      <c r="H66" s="36" t="s">
        <v>149</v>
      </c>
      <c r="I66" s="33">
        <v>400</v>
      </c>
      <c r="J66" s="33">
        <v>0</v>
      </c>
      <c r="K66" s="36" t="s">
        <v>69</v>
      </c>
      <c r="L66" s="33">
        <v>171000</v>
      </c>
      <c r="M66" s="33">
        <v>51.317099999999996</v>
      </c>
      <c r="P66" s="33" t="s">
        <v>201</v>
      </c>
      <c r="S66" s="33" t="s">
        <v>201</v>
      </c>
      <c r="V66" s="33" t="s">
        <v>201</v>
      </c>
      <c r="Y66" s="33" t="s">
        <v>201</v>
      </c>
    </row>
    <row r="67" spans="1:25" hidden="1" x14ac:dyDescent="0.25">
      <c r="A67" s="33">
        <v>64</v>
      </c>
      <c r="B67" s="33" t="s">
        <v>202</v>
      </c>
      <c r="C67" s="33">
        <v>22</v>
      </c>
      <c r="D67" s="33">
        <v>267</v>
      </c>
      <c r="E67" s="33">
        <v>75</v>
      </c>
      <c r="F67" s="33">
        <v>192</v>
      </c>
      <c r="G67" s="33">
        <v>236670</v>
      </c>
      <c r="H67" s="36" t="s">
        <v>149</v>
      </c>
      <c r="I67" s="33">
        <v>450</v>
      </c>
      <c r="J67" s="33">
        <v>0</v>
      </c>
      <c r="K67" s="36" t="s">
        <v>155</v>
      </c>
      <c r="L67" s="33">
        <v>5050</v>
      </c>
      <c r="M67" s="33">
        <v>1.9375</v>
      </c>
      <c r="N67" s="36" t="s">
        <v>160</v>
      </c>
      <c r="O67" s="33">
        <v>187470</v>
      </c>
      <c r="P67" s="33">
        <v>33.744599999999998</v>
      </c>
      <c r="Q67" s="33" t="s">
        <v>159</v>
      </c>
      <c r="R67" s="33">
        <v>43300</v>
      </c>
      <c r="S67" s="33">
        <v>7.7939999999999996</v>
      </c>
      <c r="T67" s="33" t="s">
        <v>149</v>
      </c>
      <c r="U67" s="33">
        <v>400</v>
      </c>
      <c r="V67" s="33">
        <v>0</v>
      </c>
      <c r="Y67" s="33" t="s">
        <v>201</v>
      </c>
    </row>
    <row r="68" spans="1:25" hidden="1" x14ac:dyDescent="0.25">
      <c r="A68" s="33">
        <v>65</v>
      </c>
      <c r="B68" s="33" t="s">
        <v>202</v>
      </c>
      <c r="C68" s="33">
        <v>22</v>
      </c>
      <c r="D68" s="33">
        <v>230</v>
      </c>
      <c r="E68" s="33">
        <v>0</v>
      </c>
      <c r="F68" s="33">
        <v>230</v>
      </c>
      <c r="G68" s="33">
        <v>173400</v>
      </c>
      <c r="H68" s="36" t="s">
        <v>149</v>
      </c>
      <c r="I68" s="33">
        <v>400</v>
      </c>
      <c r="J68" s="33">
        <v>0</v>
      </c>
      <c r="K68" s="36" t="s">
        <v>69</v>
      </c>
      <c r="L68" s="33">
        <v>173000</v>
      </c>
      <c r="M68" s="33">
        <v>51.917299999999997</v>
      </c>
      <c r="P68" s="33" t="s">
        <v>201</v>
      </c>
      <c r="S68" s="33" t="s">
        <v>201</v>
      </c>
      <c r="V68" s="33" t="s">
        <v>201</v>
      </c>
      <c r="Y68" s="33" t="s">
        <v>201</v>
      </c>
    </row>
    <row r="69" spans="1:25" hidden="1" x14ac:dyDescent="0.25">
      <c r="A69" s="33">
        <v>66</v>
      </c>
      <c r="B69" s="33" t="s">
        <v>202</v>
      </c>
      <c r="C69" s="33">
        <v>23</v>
      </c>
      <c r="D69" s="33">
        <v>150</v>
      </c>
      <c r="E69" s="33">
        <v>0</v>
      </c>
      <c r="F69" s="33">
        <v>150</v>
      </c>
      <c r="G69" s="33">
        <v>173400</v>
      </c>
      <c r="H69" s="36" t="s">
        <v>149</v>
      </c>
      <c r="I69" s="33">
        <v>400</v>
      </c>
      <c r="J69" s="33">
        <v>0</v>
      </c>
      <c r="K69" s="36" t="s">
        <v>69</v>
      </c>
      <c r="L69" s="33">
        <v>173000</v>
      </c>
      <c r="M69" s="33">
        <v>51.917299999999997</v>
      </c>
      <c r="P69" s="33" t="s">
        <v>201</v>
      </c>
      <c r="S69" s="33" t="s">
        <v>201</v>
      </c>
      <c r="V69" s="33" t="s">
        <v>201</v>
      </c>
      <c r="Y69" s="33" t="s">
        <v>201</v>
      </c>
    </row>
    <row r="70" spans="1:25" hidden="1" x14ac:dyDescent="0.25">
      <c r="A70" s="33">
        <v>67</v>
      </c>
      <c r="B70" s="33" t="s">
        <v>203</v>
      </c>
      <c r="C70" s="33">
        <v>24</v>
      </c>
      <c r="D70" s="33">
        <v>36.545499999999997</v>
      </c>
      <c r="E70" s="33">
        <v>0</v>
      </c>
      <c r="F70" s="33">
        <v>36.545499999999997</v>
      </c>
      <c r="G70" s="33">
        <v>13400</v>
      </c>
      <c r="H70" s="36" t="s">
        <v>154</v>
      </c>
      <c r="I70" s="33">
        <v>13400</v>
      </c>
      <c r="J70" s="33">
        <v>2.3450000000000002E-2</v>
      </c>
      <c r="M70" s="33" t="s">
        <v>201</v>
      </c>
      <c r="P70" s="33" t="s">
        <v>201</v>
      </c>
      <c r="S70" s="33" t="s">
        <v>201</v>
      </c>
      <c r="V70" s="33" t="s">
        <v>201</v>
      </c>
      <c r="Y70" s="33" t="s">
        <v>201</v>
      </c>
    </row>
    <row r="71" spans="1:25" hidden="1" x14ac:dyDescent="0.25">
      <c r="A71" s="33">
        <v>68</v>
      </c>
      <c r="B71" s="33" t="s">
        <v>203</v>
      </c>
      <c r="C71" s="33">
        <v>24</v>
      </c>
      <c r="D71" s="33">
        <v>25</v>
      </c>
      <c r="E71" s="33">
        <v>0</v>
      </c>
      <c r="F71" s="33">
        <v>25</v>
      </c>
      <c r="G71" s="33">
        <v>13000</v>
      </c>
      <c r="H71" s="36" t="s">
        <v>149</v>
      </c>
      <c r="I71" s="33">
        <v>200</v>
      </c>
      <c r="J71" s="33">
        <v>0</v>
      </c>
      <c r="K71" s="36" t="s">
        <v>69</v>
      </c>
      <c r="L71" s="33">
        <v>12800</v>
      </c>
      <c r="M71" s="33">
        <v>3.8412799999999998</v>
      </c>
      <c r="P71" s="33" t="s">
        <v>201</v>
      </c>
      <c r="S71" s="33" t="s">
        <v>201</v>
      </c>
      <c r="V71" s="33" t="s">
        <v>201</v>
      </c>
      <c r="Y71" s="33" t="s">
        <v>201</v>
      </c>
    </row>
    <row r="72" spans="1:25" hidden="1" x14ac:dyDescent="0.25">
      <c r="A72" s="33">
        <v>69</v>
      </c>
      <c r="B72" s="33" t="s">
        <v>203</v>
      </c>
      <c r="C72" s="33">
        <v>24</v>
      </c>
      <c r="D72" s="33">
        <v>45</v>
      </c>
      <c r="E72" s="33">
        <v>0</v>
      </c>
      <c r="F72" s="33">
        <v>45</v>
      </c>
      <c r="G72" s="33">
        <v>13400</v>
      </c>
      <c r="H72" s="36" t="s">
        <v>153</v>
      </c>
      <c r="I72" s="33">
        <v>13400</v>
      </c>
      <c r="J72" s="33">
        <v>0</v>
      </c>
      <c r="M72" s="33" t="s">
        <v>201</v>
      </c>
      <c r="O72" s="36"/>
      <c r="P72" s="33" t="s">
        <v>201</v>
      </c>
      <c r="S72" s="33" t="s">
        <v>201</v>
      </c>
      <c r="V72" s="33" t="s">
        <v>201</v>
      </c>
      <c r="Y72" s="33" t="s">
        <v>201</v>
      </c>
    </row>
    <row r="73" spans="1:25" hidden="1" x14ac:dyDescent="0.25">
      <c r="A73" s="33">
        <v>70</v>
      </c>
      <c r="B73" s="33" t="s">
        <v>203</v>
      </c>
      <c r="C73" s="33">
        <v>24</v>
      </c>
      <c r="D73" s="33">
        <v>81</v>
      </c>
      <c r="E73" s="33">
        <v>26</v>
      </c>
      <c r="F73" s="33">
        <v>55</v>
      </c>
      <c r="G73" s="33">
        <v>13800</v>
      </c>
      <c r="H73" s="36" t="s">
        <v>149</v>
      </c>
      <c r="I73" s="33">
        <v>2150</v>
      </c>
      <c r="J73" s="33">
        <v>0</v>
      </c>
      <c r="K73" s="36" t="s">
        <v>159</v>
      </c>
      <c r="L73" s="33">
        <v>8450</v>
      </c>
      <c r="M73" s="33">
        <v>1.5209999999999999</v>
      </c>
      <c r="N73" s="36" t="s">
        <v>155</v>
      </c>
      <c r="O73" s="33">
        <v>3200</v>
      </c>
      <c r="P73" s="33">
        <v>1.9375</v>
      </c>
      <c r="S73" s="33" t="s">
        <v>201</v>
      </c>
      <c r="V73" s="33" t="s">
        <v>201</v>
      </c>
      <c r="Y73" s="33" t="s">
        <v>201</v>
      </c>
    </row>
    <row r="74" spans="1:25" hidden="1" x14ac:dyDescent="0.25">
      <c r="A74" s="33">
        <v>71</v>
      </c>
      <c r="B74" s="33" t="s">
        <v>203</v>
      </c>
      <c r="C74" s="33">
        <v>25</v>
      </c>
      <c r="D74" s="33">
        <v>40</v>
      </c>
      <c r="E74" s="33">
        <v>0</v>
      </c>
      <c r="F74" s="33">
        <v>40</v>
      </c>
      <c r="G74" s="33">
        <v>12200</v>
      </c>
      <c r="H74" s="36" t="s">
        <v>153</v>
      </c>
      <c r="I74" s="33">
        <v>12200</v>
      </c>
      <c r="J74" s="33">
        <v>0</v>
      </c>
      <c r="M74" s="33" t="s">
        <v>201</v>
      </c>
      <c r="P74" s="33" t="s">
        <v>201</v>
      </c>
      <c r="S74" s="33" t="s">
        <v>201</v>
      </c>
      <c r="V74" s="33" t="s">
        <v>201</v>
      </c>
      <c r="Y74" s="33" t="s">
        <v>201</v>
      </c>
    </row>
    <row r="75" spans="1:25" hidden="1" x14ac:dyDescent="0.25">
      <c r="A75" s="33">
        <v>72</v>
      </c>
      <c r="B75" s="33" t="s">
        <v>203</v>
      </c>
      <c r="C75" s="33">
        <v>25</v>
      </c>
      <c r="D75" s="33">
        <v>106</v>
      </c>
      <c r="E75" s="33">
        <v>30</v>
      </c>
      <c r="F75" s="33">
        <v>76</v>
      </c>
      <c r="G75" s="33">
        <v>12750</v>
      </c>
      <c r="H75" s="36" t="s">
        <v>149</v>
      </c>
      <c r="I75" s="33">
        <v>1950</v>
      </c>
      <c r="J75" s="33">
        <v>0</v>
      </c>
      <c r="K75" s="36" t="s">
        <v>156</v>
      </c>
      <c r="L75" s="33">
        <v>7600</v>
      </c>
      <c r="M75" s="33">
        <v>1.9375</v>
      </c>
      <c r="N75" s="36" t="s">
        <v>155</v>
      </c>
      <c r="O75" s="33">
        <v>3200</v>
      </c>
      <c r="P75" s="33">
        <v>1.9375</v>
      </c>
      <c r="S75" s="33" t="s">
        <v>201</v>
      </c>
      <c r="V75" s="33" t="s">
        <v>201</v>
      </c>
      <c r="Y75" s="33" t="s">
        <v>201</v>
      </c>
    </row>
    <row r="76" spans="1:25" hidden="1" x14ac:dyDescent="0.25">
      <c r="A76" s="33">
        <v>73</v>
      </c>
      <c r="B76" s="33" t="s">
        <v>203</v>
      </c>
      <c r="C76" s="33">
        <v>25</v>
      </c>
      <c r="D76" s="33">
        <v>28</v>
      </c>
      <c r="E76" s="33">
        <v>0</v>
      </c>
      <c r="F76" s="33">
        <v>28</v>
      </c>
      <c r="G76" s="33">
        <v>13100</v>
      </c>
      <c r="H76" s="36" t="s">
        <v>149</v>
      </c>
      <c r="I76" s="33">
        <v>200</v>
      </c>
      <c r="J76" s="33">
        <v>0</v>
      </c>
      <c r="K76" s="36" t="s">
        <v>69</v>
      </c>
      <c r="L76" s="33">
        <v>12900</v>
      </c>
      <c r="M76" s="33">
        <v>3.8712899999999997</v>
      </c>
      <c r="P76" s="33" t="s">
        <v>201</v>
      </c>
      <c r="S76" s="33" t="s">
        <v>201</v>
      </c>
      <c r="V76" s="33" t="s">
        <v>201</v>
      </c>
      <c r="Y76" s="33" t="s">
        <v>201</v>
      </c>
    </row>
    <row r="77" spans="1:25" hidden="1" x14ac:dyDescent="0.25">
      <c r="A77" s="33">
        <v>74</v>
      </c>
      <c r="B77" s="33" t="s">
        <v>203</v>
      </c>
      <c r="C77" s="33">
        <v>25</v>
      </c>
      <c r="D77" s="33">
        <v>33.2727</v>
      </c>
      <c r="E77" s="33">
        <v>0</v>
      </c>
      <c r="F77" s="33">
        <v>33.2727</v>
      </c>
      <c r="G77" s="33">
        <v>12200</v>
      </c>
      <c r="H77" s="36" t="s">
        <v>154</v>
      </c>
      <c r="I77" s="33">
        <v>12200</v>
      </c>
      <c r="J77" s="33">
        <v>2.1350000000000001E-2</v>
      </c>
      <c r="M77" s="33" t="s">
        <v>201</v>
      </c>
      <c r="P77" s="33" t="s">
        <v>201</v>
      </c>
      <c r="S77" s="33" t="s">
        <v>201</v>
      </c>
      <c r="V77" s="33" t="s">
        <v>201</v>
      </c>
      <c r="Y77" s="33" t="s">
        <v>201</v>
      </c>
    </row>
    <row r="78" spans="1:25" hidden="1" x14ac:dyDescent="0.25">
      <c r="A78" s="33">
        <v>75</v>
      </c>
      <c r="B78" s="33" t="s">
        <v>203</v>
      </c>
      <c r="C78" s="33">
        <v>26</v>
      </c>
      <c r="D78" s="33">
        <v>39.2727</v>
      </c>
      <c r="E78" s="33">
        <v>0</v>
      </c>
      <c r="F78" s="33">
        <v>39.2727</v>
      </c>
      <c r="G78" s="33">
        <v>14400</v>
      </c>
      <c r="H78" s="36" t="s">
        <v>154</v>
      </c>
      <c r="I78" s="33">
        <v>14400</v>
      </c>
      <c r="J78" s="33">
        <v>2.52E-2</v>
      </c>
      <c r="M78" s="33" t="s">
        <v>201</v>
      </c>
      <c r="P78" s="33" t="s">
        <v>201</v>
      </c>
      <c r="S78" s="33" t="s">
        <v>201</v>
      </c>
      <c r="V78" s="33" t="s">
        <v>201</v>
      </c>
      <c r="Y78" s="33" t="s">
        <v>201</v>
      </c>
    </row>
    <row r="79" spans="1:25" hidden="1" x14ac:dyDescent="0.25">
      <c r="A79" s="33">
        <v>76</v>
      </c>
      <c r="B79" s="33" t="s">
        <v>203</v>
      </c>
      <c r="C79" s="33">
        <v>26</v>
      </c>
      <c r="D79" s="33">
        <v>49</v>
      </c>
      <c r="E79" s="33">
        <v>0</v>
      </c>
      <c r="F79" s="33">
        <v>49</v>
      </c>
      <c r="G79" s="33">
        <v>14400</v>
      </c>
      <c r="H79" s="36" t="s">
        <v>153</v>
      </c>
      <c r="I79" s="33">
        <v>14400</v>
      </c>
      <c r="J79" s="33">
        <v>0</v>
      </c>
      <c r="M79" s="33" t="s">
        <v>201</v>
      </c>
      <c r="P79" s="33" t="s">
        <v>201</v>
      </c>
      <c r="S79" s="33" t="s">
        <v>201</v>
      </c>
      <c r="V79" s="33" t="s">
        <v>201</v>
      </c>
      <c r="Y79" s="33" t="s">
        <v>201</v>
      </c>
    </row>
    <row r="80" spans="1:25" hidden="1" x14ac:dyDescent="0.25">
      <c r="A80" s="33">
        <v>77</v>
      </c>
      <c r="B80" s="33" t="s">
        <v>203</v>
      </c>
      <c r="C80" s="33">
        <v>26</v>
      </c>
      <c r="D80" s="33">
        <v>86</v>
      </c>
      <c r="E80" s="33">
        <v>40</v>
      </c>
      <c r="F80" s="33">
        <v>46</v>
      </c>
      <c r="G80" s="33">
        <v>17600</v>
      </c>
      <c r="H80" s="36" t="s">
        <v>149</v>
      </c>
      <c r="I80" s="33">
        <v>1600</v>
      </c>
      <c r="J80" s="33">
        <v>0</v>
      </c>
      <c r="K80" s="36" t="s">
        <v>159</v>
      </c>
      <c r="L80" s="33">
        <v>13700</v>
      </c>
      <c r="M80" s="33">
        <v>2.4659999999999997</v>
      </c>
      <c r="N80" s="36" t="s">
        <v>155</v>
      </c>
      <c r="O80" s="33">
        <v>2300</v>
      </c>
      <c r="P80" s="33">
        <v>1.9375</v>
      </c>
      <c r="S80" s="33" t="s">
        <v>201</v>
      </c>
      <c r="V80" s="33" t="s">
        <v>201</v>
      </c>
      <c r="Y80" s="33" t="s">
        <v>201</v>
      </c>
    </row>
    <row r="81" spans="1:25" hidden="1" x14ac:dyDescent="0.25">
      <c r="A81" s="33">
        <v>78</v>
      </c>
      <c r="B81" s="33" t="s">
        <v>203</v>
      </c>
      <c r="C81" s="33">
        <v>26</v>
      </c>
      <c r="D81" s="33">
        <v>17</v>
      </c>
      <c r="E81" s="33">
        <v>0</v>
      </c>
      <c r="F81" s="33">
        <v>17</v>
      </c>
      <c r="G81" s="33">
        <v>15400</v>
      </c>
      <c r="H81" s="36" t="s">
        <v>149</v>
      </c>
      <c r="I81" s="33">
        <v>200</v>
      </c>
      <c r="J81" s="33">
        <v>0</v>
      </c>
      <c r="K81" s="36" t="s">
        <v>69</v>
      </c>
      <c r="L81" s="33">
        <v>15200</v>
      </c>
      <c r="M81" s="33">
        <v>4.5615199999999998</v>
      </c>
      <c r="P81" s="33" t="s">
        <v>201</v>
      </c>
      <c r="S81" s="33" t="s">
        <v>201</v>
      </c>
      <c r="V81" s="33" t="s">
        <v>201</v>
      </c>
      <c r="Y81" s="33" t="s">
        <v>201</v>
      </c>
    </row>
    <row r="82" spans="1:25" hidden="1" x14ac:dyDescent="0.25">
      <c r="A82" s="33">
        <v>79</v>
      </c>
      <c r="B82" s="33" t="s">
        <v>203</v>
      </c>
      <c r="C82" s="33">
        <v>27</v>
      </c>
      <c r="D82" s="33">
        <v>36.545499999999997</v>
      </c>
      <c r="E82" s="33">
        <v>0</v>
      </c>
      <c r="F82" s="33">
        <v>36.545499999999997</v>
      </c>
      <c r="G82" s="33">
        <v>13400</v>
      </c>
      <c r="H82" s="36" t="s">
        <v>154</v>
      </c>
      <c r="I82" s="33">
        <v>13400</v>
      </c>
      <c r="J82" s="33">
        <v>2.3450000000000002E-2</v>
      </c>
      <c r="M82" s="33" t="s">
        <v>201</v>
      </c>
      <c r="P82" s="33" t="s">
        <v>201</v>
      </c>
      <c r="S82" s="33" t="s">
        <v>201</v>
      </c>
      <c r="V82" s="33" t="s">
        <v>201</v>
      </c>
      <c r="Y82" s="33" t="s">
        <v>201</v>
      </c>
    </row>
    <row r="83" spans="1:25" hidden="1" x14ac:dyDescent="0.25">
      <c r="A83" s="33">
        <v>80</v>
      </c>
      <c r="B83" s="33" t="s">
        <v>203</v>
      </c>
      <c r="C83" s="33">
        <v>27</v>
      </c>
      <c r="D83" s="33">
        <v>23</v>
      </c>
      <c r="E83" s="33">
        <v>0</v>
      </c>
      <c r="F83" s="33">
        <v>23</v>
      </c>
      <c r="G83" s="33">
        <v>18200</v>
      </c>
      <c r="H83" s="36" t="s">
        <v>149</v>
      </c>
      <c r="I83" s="36">
        <v>200</v>
      </c>
      <c r="J83" s="33">
        <v>0</v>
      </c>
      <c r="K83" s="36" t="s">
        <v>69</v>
      </c>
      <c r="L83" s="33">
        <v>18000</v>
      </c>
      <c r="M83" s="33">
        <v>5.4017999999999997</v>
      </c>
      <c r="P83" s="33" t="s">
        <v>201</v>
      </c>
      <c r="S83" s="33" t="s">
        <v>201</v>
      </c>
      <c r="V83" s="33" t="s">
        <v>201</v>
      </c>
      <c r="Y83" s="33" t="s">
        <v>201</v>
      </c>
    </row>
    <row r="84" spans="1:25" hidden="1" x14ac:dyDescent="0.25">
      <c r="A84" s="33">
        <v>81</v>
      </c>
      <c r="B84" s="33" t="s">
        <v>203</v>
      </c>
      <c r="C84" s="33">
        <v>27</v>
      </c>
      <c r="D84" s="33">
        <v>44</v>
      </c>
      <c r="E84" s="33">
        <v>0</v>
      </c>
      <c r="F84" s="33">
        <v>44</v>
      </c>
      <c r="G84" s="33">
        <v>13400</v>
      </c>
      <c r="H84" s="36" t="s">
        <v>153</v>
      </c>
      <c r="I84" s="33">
        <v>13400</v>
      </c>
      <c r="J84" s="33">
        <v>0</v>
      </c>
      <c r="M84" s="33" t="s">
        <v>201</v>
      </c>
      <c r="P84" s="33" t="s">
        <v>201</v>
      </c>
      <c r="S84" s="33" t="s">
        <v>201</v>
      </c>
      <c r="V84" s="33" t="s">
        <v>201</v>
      </c>
      <c r="Y84" s="33" t="s">
        <v>201</v>
      </c>
    </row>
    <row r="85" spans="1:25" hidden="1" x14ac:dyDescent="0.25">
      <c r="A85" s="33">
        <v>82</v>
      </c>
      <c r="B85" s="33" t="s">
        <v>203</v>
      </c>
      <c r="C85" s="33">
        <v>28</v>
      </c>
      <c r="D85" s="33">
        <v>46</v>
      </c>
      <c r="E85" s="33">
        <v>0</v>
      </c>
      <c r="F85" s="33">
        <v>46</v>
      </c>
      <c r="G85" s="33">
        <v>13100</v>
      </c>
      <c r="H85" s="36" t="s">
        <v>153</v>
      </c>
      <c r="I85" s="33">
        <v>13100</v>
      </c>
      <c r="J85" s="33">
        <v>0</v>
      </c>
      <c r="M85" s="33" t="s">
        <v>201</v>
      </c>
      <c r="P85" s="33" t="s">
        <v>201</v>
      </c>
      <c r="S85" s="33" t="s">
        <v>201</v>
      </c>
      <c r="V85" s="33" t="s">
        <v>201</v>
      </c>
      <c r="Y85" s="33" t="s">
        <v>201</v>
      </c>
    </row>
    <row r="86" spans="1:25" hidden="1" x14ac:dyDescent="0.25">
      <c r="A86" s="33">
        <v>83</v>
      </c>
      <c r="B86" s="33" t="s">
        <v>203</v>
      </c>
      <c r="C86" s="33">
        <v>28</v>
      </c>
      <c r="D86" s="33">
        <v>107</v>
      </c>
      <c r="E86" s="33">
        <v>15</v>
      </c>
      <c r="F86" s="33">
        <v>92</v>
      </c>
      <c r="G86" s="33">
        <v>26340</v>
      </c>
      <c r="H86" s="36" t="s">
        <v>149</v>
      </c>
      <c r="I86" s="36">
        <v>300</v>
      </c>
      <c r="J86" s="33">
        <v>0</v>
      </c>
      <c r="K86" s="36" t="s">
        <v>155</v>
      </c>
      <c r="L86" s="33">
        <v>12900</v>
      </c>
      <c r="M86" s="33">
        <v>1.9375</v>
      </c>
      <c r="N86" s="36" t="s">
        <v>159</v>
      </c>
      <c r="O86" s="33">
        <v>8400</v>
      </c>
      <c r="P86" s="33">
        <v>1.512</v>
      </c>
      <c r="Q86" s="33" t="s">
        <v>155</v>
      </c>
      <c r="R86" s="33">
        <v>4740</v>
      </c>
      <c r="S86" s="33">
        <v>1.9375</v>
      </c>
      <c r="V86" s="33" t="s">
        <v>201</v>
      </c>
      <c r="Y86" s="33" t="s">
        <v>201</v>
      </c>
    </row>
    <row r="87" spans="1:25" hidden="1" x14ac:dyDescent="0.25">
      <c r="A87" s="33">
        <v>84</v>
      </c>
      <c r="B87" s="33" t="s">
        <v>203</v>
      </c>
      <c r="C87" s="33">
        <v>28</v>
      </c>
      <c r="D87" s="33">
        <v>37</v>
      </c>
      <c r="E87" s="33">
        <v>0</v>
      </c>
      <c r="F87" s="33">
        <v>37</v>
      </c>
      <c r="G87" s="33">
        <v>18000</v>
      </c>
      <c r="H87" s="36" t="s">
        <v>149</v>
      </c>
      <c r="I87" s="33">
        <v>400</v>
      </c>
      <c r="J87" s="33">
        <v>0</v>
      </c>
      <c r="K87" s="36" t="s">
        <v>69</v>
      </c>
      <c r="L87" s="33">
        <v>17600</v>
      </c>
      <c r="M87" s="33">
        <v>5.2817600000000002</v>
      </c>
      <c r="P87" s="33" t="s">
        <v>201</v>
      </c>
      <c r="S87" s="33" t="s">
        <v>201</v>
      </c>
      <c r="V87" s="33" t="s">
        <v>201</v>
      </c>
      <c r="Y87" s="33" t="s">
        <v>201</v>
      </c>
    </row>
    <row r="88" spans="1:25" hidden="1" x14ac:dyDescent="0.25">
      <c r="A88" s="33">
        <v>85</v>
      </c>
      <c r="B88" s="33" t="s">
        <v>203</v>
      </c>
      <c r="C88" s="33">
        <v>28</v>
      </c>
      <c r="D88" s="33">
        <v>35.7273</v>
      </c>
      <c r="E88" s="33">
        <v>0</v>
      </c>
      <c r="F88" s="33">
        <v>35.7273</v>
      </c>
      <c r="G88" s="33">
        <v>13100</v>
      </c>
      <c r="H88" s="36" t="s">
        <v>154</v>
      </c>
      <c r="I88" s="33">
        <v>13100</v>
      </c>
      <c r="J88" s="33">
        <v>2.2925000000000001E-2</v>
      </c>
      <c r="M88" s="33" t="s">
        <v>201</v>
      </c>
      <c r="P88" s="33" t="s">
        <v>201</v>
      </c>
      <c r="S88" s="33" t="s">
        <v>201</v>
      </c>
      <c r="V88" s="33" t="s">
        <v>201</v>
      </c>
      <c r="Y88" s="33" t="s">
        <v>201</v>
      </c>
    </row>
    <row r="89" spans="1:25" hidden="1" x14ac:dyDescent="0.25">
      <c r="A89" s="33">
        <v>86</v>
      </c>
      <c r="B89" s="33" t="s">
        <v>203</v>
      </c>
      <c r="C89" s="33">
        <v>29</v>
      </c>
      <c r="D89" s="33">
        <v>56</v>
      </c>
      <c r="E89" s="33">
        <v>0</v>
      </c>
      <c r="F89" s="33">
        <v>56</v>
      </c>
      <c r="G89" s="33">
        <v>16900</v>
      </c>
      <c r="H89" s="36" t="s">
        <v>153</v>
      </c>
      <c r="I89" s="33">
        <v>16900</v>
      </c>
      <c r="J89" s="33">
        <v>0</v>
      </c>
      <c r="M89" s="33" t="s">
        <v>201</v>
      </c>
      <c r="P89" s="33" t="s">
        <v>201</v>
      </c>
      <c r="S89" s="33" t="s">
        <v>201</v>
      </c>
      <c r="V89" s="33" t="s">
        <v>201</v>
      </c>
      <c r="Y89" s="33" t="s">
        <v>201</v>
      </c>
    </row>
    <row r="90" spans="1:25" hidden="1" x14ac:dyDescent="0.25">
      <c r="A90" s="33">
        <v>87</v>
      </c>
      <c r="B90" s="33" t="s">
        <v>203</v>
      </c>
      <c r="C90" s="33">
        <v>29</v>
      </c>
      <c r="D90" s="33">
        <v>88</v>
      </c>
      <c r="E90" s="33">
        <v>8</v>
      </c>
      <c r="F90" s="33">
        <v>80</v>
      </c>
      <c r="G90" s="33">
        <v>22080</v>
      </c>
      <c r="H90" s="36" t="s">
        <v>149</v>
      </c>
      <c r="I90" s="33">
        <v>1150</v>
      </c>
      <c r="J90" s="33">
        <v>0</v>
      </c>
      <c r="K90" s="36" t="s">
        <v>155</v>
      </c>
      <c r="L90" s="33">
        <v>9770</v>
      </c>
      <c r="M90" s="33">
        <v>1.9375</v>
      </c>
      <c r="N90" s="36" t="s">
        <v>159</v>
      </c>
      <c r="O90" s="33">
        <v>11160</v>
      </c>
      <c r="P90" s="33">
        <v>2.0087999999999999</v>
      </c>
      <c r="S90" s="33" t="s">
        <v>201</v>
      </c>
      <c r="V90" s="33" t="s">
        <v>201</v>
      </c>
      <c r="Y90" s="33" t="s">
        <v>201</v>
      </c>
    </row>
    <row r="91" spans="1:25" hidden="1" x14ac:dyDescent="0.25">
      <c r="A91" s="33">
        <v>88</v>
      </c>
      <c r="B91" s="33" t="s">
        <v>203</v>
      </c>
      <c r="C91" s="33">
        <v>29</v>
      </c>
      <c r="D91" s="33">
        <v>32</v>
      </c>
      <c r="E91" s="33">
        <v>0</v>
      </c>
      <c r="F91" s="33">
        <v>32</v>
      </c>
      <c r="G91" s="33">
        <v>15500</v>
      </c>
      <c r="H91" s="36" t="s">
        <v>149</v>
      </c>
      <c r="I91" s="33">
        <v>400</v>
      </c>
      <c r="J91" s="33">
        <v>0</v>
      </c>
      <c r="K91" s="36" t="s">
        <v>69</v>
      </c>
      <c r="L91" s="33">
        <v>15100</v>
      </c>
      <c r="M91" s="33">
        <v>4.5315099999999999</v>
      </c>
      <c r="P91" s="33" t="s">
        <v>201</v>
      </c>
      <c r="S91" s="33" t="s">
        <v>201</v>
      </c>
      <c r="V91" s="33" t="s">
        <v>201</v>
      </c>
      <c r="Y91" s="33" t="s">
        <v>201</v>
      </c>
    </row>
    <row r="92" spans="1:25" hidden="1" x14ac:dyDescent="0.25">
      <c r="A92" s="33">
        <v>89</v>
      </c>
      <c r="B92" s="33" t="s">
        <v>203</v>
      </c>
      <c r="C92" s="33">
        <v>29</v>
      </c>
      <c r="D92" s="33">
        <v>46.090899999999998</v>
      </c>
      <c r="E92" s="33">
        <v>0</v>
      </c>
      <c r="F92" s="33">
        <v>46.090899999999998</v>
      </c>
      <c r="G92" s="33">
        <v>16900</v>
      </c>
      <c r="H92" s="36" t="s">
        <v>154</v>
      </c>
      <c r="I92" s="33">
        <v>16900</v>
      </c>
      <c r="J92" s="33">
        <v>2.9574999999999997E-2</v>
      </c>
      <c r="M92" s="33" t="s">
        <v>201</v>
      </c>
      <c r="P92" s="33" t="s">
        <v>201</v>
      </c>
      <c r="S92" s="33" t="s">
        <v>201</v>
      </c>
      <c r="V92" s="33" t="s">
        <v>201</v>
      </c>
      <c r="Y92" s="33" t="s">
        <v>201</v>
      </c>
    </row>
    <row r="93" spans="1:25" hidden="1" x14ac:dyDescent="0.25">
      <c r="A93" s="33">
        <v>90</v>
      </c>
      <c r="B93" s="33" t="s">
        <v>203</v>
      </c>
      <c r="C93" s="33">
        <v>30</v>
      </c>
      <c r="D93" s="33">
        <v>37</v>
      </c>
      <c r="E93" s="33">
        <v>0</v>
      </c>
      <c r="F93" s="33">
        <v>37</v>
      </c>
      <c r="G93" s="33">
        <v>13400</v>
      </c>
      <c r="H93" s="36" t="s">
        <v>149</v>
      </c>
      <c r="I93" s="33">
        <v>300</v>
      </c>
      <c r="J93" s="33">
        <v>0</v>
      </c>
      <c r="K93" s="36" t="s">
        <v>69</v>
      </c>
      <c r="L93" s="33">
        <v>13100</v>
      </c>
      <c r="M93" s="33">
        <v>3.9313099999999994</v>
      </c>
      <c r="P93" s="33" t="s">
        <v>201</v>
      </c>
      <c r="S93" s="33" t="s">
        <v>201</v>
      </c>
      <c r="V93" s="33" t="s">
        <v>201</v>
      </c>
      <c r="Y93" s="33" t="s">
        <v>201</v>
      </c>
    </row>
    <row r="94" spans="1:25" hidden="1" x14ac:dyDescent="0.25">
      <c r="A94" s="33">
        <v>91</v>
      </c>
      <c r="B94" s="33" t="s">
        <v>203</v>
      </c>
      <c r="C94" s="33">
        <v>30</v>
      </c>
      <c r="D94" s="33">
        <v>39</v>
      </c>
      <c r="E94" s="33">
        <v>0</v>
      </c>
      <c r="F94" s="33">
        <v>39</v>
      </c>
      <c r="G94" s="33">
        <v>14300</v>
      </c>
      <c r="H94" s="36" t="s">
        <v>154</v>
      </c>
      <c r="I94" s="33">
        <v>14300</v>
      </c>
      <c r="J94" s="33">
        <v>2.5025000000000002E-2</v>
      </c>
      <c r="M94" s="33" t="s">
        <v>201</v>
      </c>
      <c r="P94" s="33" t="s">
        <v>201</v>
      </c>
      <c r="S94" s="33" t="s">
        <v>201</v>
      </c>
      <c r="V94" s="33" t="s">
        <v>201</v>
      </c>
      <c r="Y94" s="33" t="s">
        <v>201</v>
      </c>
    </row>
    <row r="95" spans="1:25" hidden="1" x14ac:dyDescent="0.25">
      <c r="A95" s="33">
        <v>92</v>
      </c>
      <c r="B95" s="33" t="s">
        <v>203</v>
      </c>
      <c r="C95" s="33">
        <v>30</v>
      </c>
      <c r="D95" s="33">
        <v>46</v>
      </c>
      <c r="E95" s="33">
        <v>0</v>
      </c>
      <c r="F95" s="33">
        <v>46</v>
      </c>
      <c r="G95" s="33">
        <v>14300</v>
      </c>
      <c r="H95" s="36" t="s">
        <v>153</v>
      </c>
      <c r="I95" s="33">
        <v>14300</v>
      </c>
      <c r="J95" s="33">
        <v>0</v>
      </c>
      <c r="M95" s="33" t="s">
        <v>201</v>
      </c>
      <c r="P95" s="33" t="s">
        <v>201</v>
      </c>
      <c r="S95" s="33" t="s">
        <v>201</v>
      </c>
      <c r="V95" s="33" t="s">
        <v>201</v>
      </c>
      <c r="Y95" s="33" t="s">
        <v>201</v>
      </c>
    </row>
    <row r="96" spans="1:25" hidden="1" x14ac:dyDescent="0.25">
      <c r="A96" s="33">
        <v>93</v>
      </c>
      <c r="B96" s="33" t="s">
        <v>203</v>
      </c>
      <c r="C96" s="33">
        <v>30</v>
      </c>
      <c r="D96" s="33">
        <v>54</v>
      </c>
      <c r="E96" s="33">
        <v>4</v>
      </c>
      <c r="F96" s="33">
        <v>50</v>
      </c>
      <c r="G96" s="33">
        <v>15800</v>
      </c>
      <c r="H96" s="36" t="s">
        <v>149</v>
      </c>
      <c r="I96" s="33">
        <v>2300</v>
      </c>
      <c r="J96" s="33">
        <v>0</v>
      </c>
      <c r="K96" s="36" t="s">
        <v>159</v>
      </c>
      <c r="L96" s="33">
        <v>13500</v>
      </c>
      <c r="M96" s="33">
        <v>2.4299999999999997</v>
      </c>
      <c r="P96" s="33" t="s">
        <v>201</v>
      </c>
      <c r="S96" s="33" t="s">
        <v>201</v>
      </c>
      <c r="V96" s="33" t="s">
        <v>201</v>
      </c>
      <c r="Y96" s="33" t="s">
        <v>201</v>
      </c>
    </row>
    <row r="97" spans="1:25" hidden="1" x14ac:dyDescent="0.25">
      <c r="A97" s="33">
        <v>94</v>
      </c>
      <c r="B97" s="33" t="s">
        <v>203</v>
      </c>
      <c r="C97" s="33">
        <v>31</v>
      </c>
      <c r="D97" s="33">
        <v>45</v>
      </c>
      <c r="E97" s="33">
        <v>0</v>
      </c>
      <c r="F97" s="33">
        <v>45</v>
      </c>
      <c r="G97" s="33">
        <v>14600</v>
      </c>
      <c r="H97" s="36" t="s">
        <v>153</v>
      </c>
      <c r="I97" s="33">
        <v>14600</v>
      </c>
      <c r="J97" s="33">
        <v>0</v>
      </c>
      <c r="M97" s="33" t="s">
        <v>201</v>
      </c>
      <c r="P97" s="33" t="s">
        <v>201</v>
      </c>
      <c r="S97" s="33" t="s">
        <v>201</v>
      </c>
      <c r="V97" s="33" t="s">
        <v>201</v>
      </c>
      <c r="Y97" s="33" t="s">
        <v>201</v>
      </c>
    </row>
    <row r="98" spans="1:25" hidden="1" x14ac:dyDescent="0.25">
      <c r="A98" s="33">
        <v>95</v>
      </c>
      <c r="B98" s="33" t="s">
        <v>203</v>
      </c>
      <c r="C98" s="33">
        <v>31</v>
      </c>
      <c r="D98" s="33">
        <v>83</v>
      </c>
      <c r="E98" s="33">
        <v>39</v>
      </c>
      <c r="F98" s="33">
        <v>44</v>
      </c>
      <c r="G98" s="33">
        <v>16720</v>
      </c>
      <c r="H98" s="36" t="s">
        <v>149</v>
      </c>
      <c r="I98" s="33">
        <v>2550</v>
      </c>
      <c r="J98" s="33">
        <v>0</v>
      </c>
      <c r="K98" s="36" t="s">
        <v>159</v>
      </c>
      <c r="L98" s="33">
        <v>14170</v>
      </c>
      <c r="M98" s="33">
        <v>2.5505999999999998</v>
      </c>
      <c r="P98" s="33" t="s">
        <v>201</v>
      </c>
      <c r="S98" s="33" t="s">
        <v>201</v>
      </c>
      <c r="V98" s="33" t="s">
        <v>201</v>
      </c>
      <c r="Y98" s="33" t="s">
        <v>201</v>
      </c>
    </row>
    <row r="99" spans="1:25" hidden="1" x14ac:dyDescent="0.25">
      <c r="A99" s="33">
        <v>96</v>
      </c>
      <c r="B99" s="33" t="s">
        <v>203</v>
      </c>
      <c r="C99" s="33">
        <v>31</v>
      </c>
      <c r="D99" s="33">
        <v>21</v>
      </c>
      <c r="E99" s="33">
        <v>0</v>
      </c>
      <c r="F99" s="33">
        <v>21</v>
      </c>
      <c r="G99" s="33">
        <v>16400</v>
      </c>
      <c r="H99" s="36" t="s">
        <v>149</v>
      </c>
      <c r="I99" s="33">
        <v>100</v>
      </c>
      <c r="J99" s="33">
        <v>0</v>
      </c>
      <c r="K99" s="36" t="s">
        <v>69</v>
      </c>
      <c r="L99" s="33">
        <v>16300</v>
      </c>
      <c r="M99" s="33">
        <v>4.8916300000000001</v>
      </c>
      <c r="P99" s="33" t="s">
        <v>201</v>
      </c>
      <c r="S99" s="33" t="s">
        <v>201</v>
      </c>
      <c r="V99" s="33" t="s">
        <v>201</v>
      </c>
      <c r="Y99" s="33" t="s">
        <v>201</v>
      </c>
    </row>
    <row r="100" spans="1:25" hidden="1" x14ac:dyDescent="0.25">
      <c r="A100" s="33">
        <v>97</v>
      </c>
      <c r="B100" s="33" t="s">
        <v>203</v>
      </c>
      <c r="C100" s="33">
        <v>31</v>
      </c>
      <c r="D100" s="33">
        <v>39.818199999999997</v>
      </c>
      <c r="E100" s="33">
        <v>0</v>
      </c>
      <c r="F100" s="33">
        <v>39.818199999999997</v>
      </c>
      <c r="G100" s="33">
        <v>14600</v>
      </c>
      <c r="H100" s="36" t="s">
        <v>154</v>
      </c>
      <c r="I100" s="33">
        <v>14600</v>
      </c>
      <c r="J100" s="33">
        <v>2.555E-2</v>
      </c>
      <c r="M100" s="33" t="s">
        <v>201</v>
      </c>
      <c r="P100" s="33" t="s">
        <v>201</v>
      </c>
      <c r="S100" s="33" t="s">
        <v>201</v>
      </c>
      <c r="V100" s="33" t="s">
        <v>201</v>
      </c>
      <c r="Y100" s="33" t="s">
        <v>201</v>
      </c>
    </row>
    <row r="101" spans="1:25" hidden="1" x14ac:dyDescent="0.25">
      <c r="A101" s="33">
        <v>98</v>
      </c>
      <c r="B101" s="33" t="s">
        <v>203</v>
      </c>
      <c r="C101" s="33">
        <v>32</v>
      </c>
      <c r="D101" s="33">
        <v>55</v>
      </c>
      <c r="E101" s="33">
        <v>0</v>
      </c>
      <c r="F101" s="33">
        <v>55</v>
      </c>
      <c r="G101" s="33">
        <v>14800</v>
      </c>
      <c r="H101" s="36" t="s">
        <v>153</v>
      </c>
      <c r="I101" s="33">
        <v>14800</v>
      </c>
      <c r="J101" s="33">
        <v>0</v>
      </c>
      <c r="M101" s="33" t="s">
        <v>201</v>
      </c>
      <c r="P101" s="33" t="s">
        <v>201</v>
      </c>
      <c r="S101" s="33" t="s">
        <v>201</v>
      </c>
      <c r="V101" s="33" t="s">
        <v>201</v>
      </c>
      <c r="Y101" s="33" t="s">
        <v>201</v>
      </c>
    </row>
    <row r="102" spans="1:25" hidden="1" x14ac:dyDescent="0.25">
      <c r="A102" s="33">
        <v>99</v>
      </c>
      <c r="B102" s="33" t="s">
        <v>203</v>
      </c>
      <c r="C102" s="33">
        <v>32</v>
      </c>
      <c r="D102" s="33">
        <v>57</v>
      </c>
      <c r="E102" s="33">
        <v>13</v>
      </c>
      <c r="F102" s="33">
        <v>44</v>
      </c>
      <c r="G102" s="33">
        <v>20300</v>
      </c>
      <c r="H102" s="36" t="s">
        <v>149</v>
      </c>
      <c r="I102" s="33">
        <v>280</v>
      </c>
      <c r="J102" s="33">
        <v>0</v>
      </c>
      <c r="K102" s="36" t="s">
        <v>156</v>
      </c>
      <c r="L102" s="33">
        <v>1310</v>
      </c>
      <c r="M102" s="33">
        <v>1.9375</v>
      </c>
      <c r="N102" s="36" t="s">
        <v>159</v>
      </c>
      <c r="O102" s="33">
        <v>16710</v>
      </c>
      <c r="P102" s="33">
        <v>3.0078</v>
      </c>
      <c r="Q102" s="33" t="s">
        <v>155</v>
      </c>
      <c r="R102" s="33">
        <v>2000</v>
      </c>
      <c r="S102" s="33">
        <v>1.9375</v>
      </c>
      <c r="V102" s="33" t="s">
        <v>201</v>
      </c>
      <c r="Y102" s="33" t="s">
        <v>201</v>
      </c>
    </row>
    <row r="103" spans="1:25" hidden="1" x14ac:dyDescent="0.25">
      <c r="A103" s="33">
        <v>100</v>
      </c>
      <c r="B103" s="33" t="s">
        <v>203</v>
      </c>
      <c r="C103" s="33">
        <v>32</v>
      </c>
      <c r="D103" s="33">
        <v>32</v>
      </c>
      <c r="E103" s="33">
        <v>0</v>
      </c>
      <c r="F103" s="33">
        <v>32</v>
      </c>
      <c r="G103" s="33">
        <v>20600</v>
      </c>
      <c r="H103" s="36" t="s">
        <v>149</v>
      </c>
      <c r="I103" s="33">
        <v>400</v>
      </c>
      <c r="J103" s="33">
        <v>0</v>
      </c>
      <c r="K103" s="36" t="s">
        <v>69</v>
      </c>
      <c r="L103" s="33">
        <v>20200</v>
      </c>
      <c r="M103" s="33">
        <v>6.0620199999999995</v>
      </c>
      <c r="P103" s="33" t="s">
        <v>201</v>
      </c>
      <c r="S103" s="33" t="s">
        <v>201</v>
      </c>
      <c r="V103" s="33" t="s">
        <v>201</v>
      </c>
      <c r="Y103" s="33" t="s">
        <v>201</v>
      </c>
    </row>
    <row r="104" spans="1:25" hidden="1" x14ac:dyDescent="0.25">
      <c r="A104" s="33">
        <v>101</v>
      </c>
      <c r="B104" s="33" t="s">
        <v>203</v>
      </c>
      <c r="C104" s="33">
        <v>32</v>
      </c>
      <c r="D104" s="33">
        <v>40.363599999999998</v>
      </c>
      <c r="E104" s="33">
        <v>0</v>
      </c>
      <c r="F104" s="33">
        <v>40.363599999999998</v>
      </c>
      <c r="G104" s="33">
        <v>14800</v>
      </c>
      <c r="H104" s="36" t="s">
        <v>154</v>
      </c>
      <c r="I104" s="33">
        <v>14800</v>
      </c>
      <c r="J104" s="33">
        <v>2.5900000000000003E-2</v>
      </c>
      <c r="M104" s="33" t="s">
        <v>201</v>
      </c>
      <c r="P104" s="33" t="s">
        <v>201</v>
      </c>
      <c r="S104" s="33" t="s">
        <v>201</v>
      </c>
      <c r="V104" s="33" t="s">
        <v>201</v>
      </c>
      <c r="Y104" s="33" t="s">
        <v>201</v>
      </c>
    </row>
    <row r="105" spans="1:25" hidden="1" x14ac:dyDescent="0.25">
      <c r="A105" s="33">
        <v>102</v>
      </c>
      <c r="B105" s="33" t="s">
        <v>202</v>
      </c>
      <c r="C105" s="33">
        <v>33</v>
      </c>
      <c r="D105" s="33">
        <v>122</v>
      </c>
      <c r="E105" s="33">
        <v>0</v>
      </c>
      <c r="F105" s="33">
        <v>122</v>
      </c>
      <c r="G105" s="33">
        <v>126300</v>
      </c>
      <c r="H105" s="36" t="s">
        <v>149</v>
      </c>
      <c r="I105" s="33">
        <v>300</v>
      </c>
      <c r="J105" s="33">
        <v>0</v>
      </c>
      <c r="K105" s="36" t="s">
        <v>69</v>
      </c>
      <c r="L105" s="33">
        <v>126000</v>
      </c>
      <c r="M105" s="33">
        <v>37.812599999999996</v>
      </c>
      <c r="P105" s="33" t="s">
        <v>201</v>
      </c>
      <c r="S105" s="33" t="s">
        <v>201</v>
      </c>
      <c r="V105" s="33" t="s">
        <v>201</v>
      </c>
      <c r="Y105" s="33" t="s">
        <v>201</v>
      </c>
    </row>
    <row r="106" spans="1:25" hidden="1" x14ac:dyDescent="0.25">
      <c r="A106" s="33">
        <v>103</v>
      </c>
      <c r="B106" s="33" t="s">
        <v>202</v>
      </c>
      <c r="C106" s="33">
        <v>33</v>
      </c>
      <c r="D106" s="33">
        <v>218</v>
      </c>
      <c r="E106" s="33">
        <v>26</v>
      </c>
      <c r="F106" s="33">
        <v>192</v>
      </c>
      <c r="G106" s="33">
        <v>166950</v>
      </c>
      <c r="H106" s="36" t="s">
        <v>149</v>
      </c>
      <c r="I106" s="33">
        <v>1850</v>
      </c>
      <c r="J106" s="33">
        <v>0</v>
      </c>
      <c r="K106" s="36" t="s">
        <v>155</v>
      </c>
      <c r="L106" s="33">
        <v>17550</v>
      </c>
      <c r="M106" s="33">
        <v>1.9375</v>
      </c>
      <c r="N106" s="36" t="s">
        <v>159</v>
      </c>
      <c r="O106" s="33">
        <v>140550</v>
      </c>
      <c r="P106" s="33">
        <v>25.298999999999999</v>
      </c>
      <c r="Q106" s="33" t="s">
        <v>156</v>
      </c>
      <c r="R106" s="33">
        <v>7000</v>
      </c>
      <c r="S106" s="33">
        <v>1.9375</v>
      </c>
      <c r="V106" s="33" t="s">
        <v>201</v>
      </c>
      <c r="Y106" s="33" t="s">
        <v>201</v>
      </c>
    </row>
    <row r="107" spans="1:25" hidden="1" x14ac:dyDescent="0.25">
      <c r="A107" s="33">
        <v>104</v>
      </c>
      <c r="B107" s="33" t="s">
        <v>202</v>
      </c>
      <c r="C107" s="33">
        <v>34</v>
      </c>
      <c r="D107" s="33">
        <v>130</v>
      </c>
      <c r="E107" s="33">
        <v>0</v>
      </c>
      <c r="F107" s="33">
        <v>130</v>
      </c>
      <c r="G107" s="33">
        <v>143300</v>
      </c>
      <c r="H107" s="36" t="s">
        <v>149</v>
      </c>
      <c r="I107" s="33">
        <v>300</v>
      </c>
      <c r="J107" s="33">
        <v>0</v>
      </c>
      <c r="K107" s="36" t="s">
        <v>69</v>
      </c>
      <c r="L107" s="33">
        <v>143000</v>
      </c>
      <c r="M107" s="33">
        <v>42.914299999999997</v>
      </c>
      <c r="P107" s="33" t="s">
        <v>201</v>
      </c>
      <c r="S107" s="33" t="s">
        <v>201</v>
      </c>
      <c r="V107" s="33" t="s">
        <v>201</v>
      </c>
      <c r="Y107" s="33" t="s">
        <v>201</v>
      </c>
    </row>
    <row r="108" spans="1:25" hidden="1" x14ac:dyDescent="0.25">
      <c r="A108" s="33">
        <v>105</v>
      </c>
      <c r="B108" s="33" t="s">
        <v>202</v>
      </c>
      <c r="C108" s="33">
        <v>34</v>
      </c>
      <c r="D108" s="33">
        <v>171</v>
      </c>
      <c r="E108" s="33">
        <v>52</v>
      </c>
      <c r="F108" s="33">
        <v>119</v>
      </c>
      <c r="G108" s="33">
        <v>144910</v>
      </c>
      <c r="H108" s="36" t="s">
        <v>149</v>
      </c>
      <c r="I108" s="33">
        <v>1800</v>
      </c>
      <c r="J108" s="33">
        <v>0</v>
      </c>
      <c r="K108" s="36" t="s">
        <v>159</v>
      </c>
      <c r="L108" s="33">
        <v>1770</v>
      </c>
      <c r="M108" s="33">
        <v>0.31859999999999999</v>
      </c>
      <c r="N108" s="36" t="s">
        <v>160</v>
      </c>
      <c r="O108" s="33">
        <v>141340</v>
      </c>
      <c r="P108" s="33">
        <v>25.441199999999998</v>
      </c>
      <c r="S108" s="33" t="s">
        <v>201</v>
      </c>
      <c r="V108" s="33" t="s">
        <v>201</v>
      </c>
      <c r="Y108" s="33" t="s">
        <v>201</v>
      </c>
    </row>
    <row r="109" spans="1:25" hidden="1" x14ac:dyDescent="0.25">
      <c r="A109" s="33">
        <v>106</v>
      </c>
      <c r="B109" s="33" t="s">
        <v>202</v>
      </c>
      <c r="C109" s="33">
        <v>35</v>
      </c>
      <c r="D109" s="33">
        <v>143</v>
      </c>
      <c r="E109" s="33">
        <v>0</v>
      </c>
      <c r="F109" s="33">
        <v>143</v>
      </c>
      <c r="G109" s="33">
        <v>144300</v>
      </c>
      <c r="H109" s="36" t="s">
        <v>149</v>
      </c>
      <c r="I109" s="33">
        <v>300</v>
      </c>
      <c r="J109" s="33">
        <v>0</v>
      </c>
      <c r="K109" s="36" t="s">
        <v>69</v>
      </c>
      <c r="L109" s="33">
        <v>144000</v>
      </c>
      <c r="M109" s="33">
        <v>43.214399999999998</v>
      </c>
      <c r="P109" s="33" t="s">
        <v>201</v>
      </c>
      <c r="S109" s="33" t="s">
        <v>201</v>
      </c>
      <c r="V109" s="33" t="s">
        <v>201</v>
      </c>
      <c r="Y109" s="33" t="s">
        <v>201</v>
      </c>
    </row>
    <row r="110" spans="1:25" hidden="1" x14ac:dyDescent="0.25">
      <c r="A110" s="33">
        <v>107</v>
      </c>
      <c r="B110" s="33" t="s">
        <v>202</v>
      </c>
      <c r="C110" s="33">
        <v>35</v>
      </c>
      <c r="D110" s="33">
        <v>143</v>
      </c>
      <c r="E110" s="33">
        <v>13</v>
      </c>
      <c r="F110" s="33">
        <v>130</v>
      </c>
      <c r="G110" s="33">
        <v>196500</v>
      </c>
      <c r="H110" s="36" t="s">
        <v>149</v>
      </c>
      <c r="I110" s="33">
        <v>2500</v>
      </c>
      <c r="J110" s="33">
        <v>0</v>
      </c>
      <c r="K110" s="36" t="s">
        <v>160</v>
      </c>
      <c r="L110" s="36">
        <v>139000</v>
      </c>
      <c r="M110" s="33">
        <v>25.02</v>
      </c>
      <c r="N110" s="36" t="s">
        <v>159</v>
      </c>
      <c r="O110" s="33">
        <v>55000</v>
      </c>
      <c r="P110" s="33">
        <v>9.9</v>
      </c>
      <c r="S110" s="33" t="s">
        <v>201</v>
      </c>
      <c r="V110" s="33" t="s">
        <v>201</v>
      </c>
      <c r="Y110" s="33" t="s">
        <v>201</v>
      </c>
    </row>
    <row r="111" spans="1:25" hidden="1" x14ac:dyDescent="0.25">
      <c r="A111" s="33">
        <v>108</v>
      </c>
      <c r="B111" s="33" t="s">
        <v>202</v>
      </c>
      <c r="C111" s="33">
        <v>36</v>
      </c>
      <c r="D111" s="33">
        <v>260</v>
      </c>
      <c r="E111" s="33">
        <v>46</v>
      </c>
      <c r="F111" s="33">
        <v>214</v>
      </c>
      <c r="G111" s="33">
        <v>238090</v>
      </c>
      <c r="H111" s="36" t="s">
        <v>149</v>
      </c>
      <c r="I111" s="33">
        <v>5100</v>
      </c>
      <c r="J111" s="33">
        <v>0</v>
      </c>
      <c r="K111" s="36" t="s">
        <v>159</v>
      </c>
      <c r="L111" s="33">
        <v>142710</v>
      </c>
      <c r="M111" s="33">
        <v>25.687799999999999</v>
      </c>
      <c r="N111" s="36" t="s">
        <v>160</v>
      </c>
      <c r="O111" s="33">
        <v>83950</v>
      </c>
      <c r="P111" s="33">
        <v>15.111000000000001</v>
      </c>
      <c r="Q111" s="33" t="s">
        <v>159</v>
      </c>
      <c r="R111" s="33">
        <v>6330</v>
      </c>
      <c r="S111" s="33">
        <v>1.1394</v>
      </c>
      <c r="V111" s="33" t="s">
        <v>201</v>
      </c>
      <c r="Y111" s="33" t="s">
        <v>201</v>
      </c>
    </row>
    <row r="112" spans="1:25" hidden="1" x14ac:dyDescent="0.25">
      <c r="A112" s="33">
        <v>109</v>
      </c>
      <c r="B112" s="33" t="s">
        <v>202</v>
      </c>
      <c r="C112" s="33">
        <v>36</v>
      </c>
      <c r="D112" s="33">
        <v>183</v>
      </c>
      <c r="E112" s="33">
        <v>0</v>
      </c>
      <c r="F112" s="33">
        <v>183</v>
      </c>
      <c r="G112" s="33">
        <v>197300</v>
      </c>
      <c r="H112" s="36" t="s">
        <v>149</v>
      </c>
      <c r="I112" s="33">
        <v>300</v>
      </c>
      <c r="J112" s="33">
        <v>0</v>
      </c>
      <c r="K112" s="36" t="s">
        <v>69</v>
      </c>
      <c r="L112" s="33">
        <v>197000</v>
      </c>
      <c r="M112" s="33">
        <v>59.119699999999995</v>
      </c>
      <c r="P112" s="33" t="s">
        <v>201</v>
      </c>
      <c r="S112" s="33" t="s">
        <v>201</v>
      </c>
      <c r="V112" s="33" t="s">
        <v>201</v>
      </c>
      <c r="Y112" s="33" t="s">
        <v>201</v>
      </c>
    </row>
    <row r="113" spans="1:25" hidden="1" x14ac:dyDescent="0.25">
      <c r="A113" s="33">
        <v>110</v>
      </c>
      <c r="B113" s="33" t="s">
        <v>202</v>
      </c>
      <c r="C113" s="33">
        <v>37</v>
      </c>
      <c r="D113" s="33">
        <v>182</v>
      </c>
      <c r="E113" s="33">
        <v>0</v>
      </c>
      <c r="F113" s="33">
        <v>182</v>
      </c>
      <c r="G113" s="33">
        <v>177200</v>
      </c>
      <c r="H113" s="36" t="s">
        <v>149</v>
      </c>
      <c r="I113" s="33">
        <v>200</v>
      </c>
      <c r="J113" s="33">
        <v>0</v>
      </c>
      <c r="K113" s="36" t="s">
        <v>69</v>
      </c>
      <c r="L113" s="33">
        <v>177000</v>
      </c>
      <c r="M113" s="33">
        <v>53.117699999999999</v>
      </c>
      <c r="P113" s="33" t="s">
        <v>201</v>
      </c>
      <c r="S113" s="33" t="s">
        <v>201</v>
      </c>
      <c r="V113" s="33" t="s">
        <v>201</v>
      </c>
      <c r="Y113" s="33" t="s">
        <v>201</v>
      </c>
    </row>
    <row r="114" spans="1:25" hidden="1" x14ac:dyDescent="0.25">
      <c r="A114" s="33">
        <v>111</v>
      </c>
      <c r="B114" s="33" t="s">
        <v>202</v>
      </c>
      <c r="C114" s="33">
        <v>37</v>
      </c>
      <c r="D114" s="33">
        <v>321</v>
      </c>
      <c r="E114" s="33">
        <v>108</v>
      </c>
      <c r="F114" s="33">
        <v>213</v>
      </c>
      <c r="G114" s="33">
        <v>263020</v>
      </c>
      <c r="H114" s="36" t="s">
        <v>149</v>
      </c>
      <c r="I114" s="33">
        <v>1350</v>
      </c>
      <c r="J114" s="33">
        <v>0</v>
      </c>
      <c r="K114" s="36" t="s">
        <v>155</v>
      </c>
      <c r="L114" s="33">
        <v>2670</v>
      </c>
      <c r="M114" s="33">
        <v>1.9375</v>
      </c>
      <c r="N114" s="36" t="s">
        <v>159</v>
      </c>
      <c r="O114" s="33">
        <v>205000</v>
      </c>
      <c r="P114" s="33">
        <v>36.9</v>
      </c>
      <c r="Q114" s="33" t="s">
        <v>155</v>
      </c>
      <c r="R114" s="33">
        <v>54000</v>
      </c>
      <c r="S114" s="33">
        <v>1.9375</v>
      </c>
      <c r="V114" s="33" t="s">
        <v>201</v>
      </c>
      <c r="Y114" s="33" t="s">
        <v>201</v>
      </c>
    </row>
    <row r="115" spans="1:25" hidden="1" x14ac:dyDescent="0.25">
      <c r="A115" s="33">
        <v>112</v>
      </c>
      <c r="B115" s="33" t="s">
        <v>202</v>
      </c>
      <c r="C115" s="33">
        <v>38</v>
      </c>
      <c r="D115" s="33">
        <v>130</v>
      </c>
      <c r="E115" s="33">
        <v>0</v>
      </c>
      <c r="F115" s="33">
        <v>130</v>
      </c>
      <c r="G115" s="33">
        <v>155300</v>
      </c>
      <c r="H115" s="36" t="s">
        <v>149</v>
      </c>
      <c r="I115" s="33">
        <v>300</v>
      </c>
      <c r="J115" s="33">
        <v>0</v>
      </c>
      <c r="K115" s="36" t="s">
        <v>69</v>
      </c>
      <c r="L115" s="33">
        <v>155000</v>
      </c>
      <c r="M115" s="33">
        <v>46.515499999999996</v>
      </c>
      <c r="P115" s="33" t="s">
        <v>201</v>
      </c>
      <c r="S115" s="33" t="s">
        <v>201</v>
      </c>
      <c r="V115" s="33" t="s">
        <v>201</v>
      </c>
      <c r="Y115" s="33" t="s">
        <v>201</v>
      </c>
    </row>
    <row r="116" spans="1:25" hidden="1" x14ac:dyDescent="0.25">
      <c r="A116" s="33">
        <v>113</v>
      </c>
      <c r="B116" s="33" t="s">
        <v>202</v>
      </c>
      <c r="C116" s="33">
        <v>38</v>
      </c>
      <c r="D116" s="33">
        <v>149</v>
      </c>
      <c r="E116" s="33">
        <v>27</v>
      </c>
      <c r="F116" s="33">
        <v>122</v>
      </c>
      <c r="G116" s="33">
        <v>120520</v>
      </c>
      <c r="H116" s="36" t="s">
        <v>149</v>
      </c>
      <c r="I116" s="33">
        <v>2400</v>
      </c>
      <c r="J116" s="33">
        <v>0</v>
      </c>
      <c r="K116" s="36" t="s">
        <v>159</v>
      </c>
      <c r="L116" s="33">
        <v>112980</v>
      </c>
      <c r="M116" s="33">
        <v>20.336400000000001</v>
      </c>
      <c r="N116" s="36" t="s">
        <v>155</v>
      </c>
      <c r="O116" s="33">
        <v>5140</v>
      </c>
      <c r="P116" s="33">
        <v>1.9375</v>
      </c>
      <c r="S116" s="33" t="s">
        <v>201</v>
      </c>
      <c r="V116" s="33" t="s">
        <v>201</v>
      </c>
      <c r="Y116" s="33" t="s">
        <v>201</v>
      </c>
    </row>
    <row r="117" spans="1:25" hidden="1" x14ac:dyDescent="0.25">
      <c r="A117" s="33">
        <v>114</v>
      </c>
      <c r="B117" s="33" t="s">
        <v>202</v>
      </c>
      <c r="C117" s="33">
        <v>39</v>
      </c>
      <c r="D117" s="33">
        <v>130</v>
      </c>
      <c r="E117" s="33">
        <v>0</v>
      </c>
      <c r="F117" s="33">
        <v>130</v>
      </c>
      <c r="G117" s="33">
        <v>161100</v>
      </c>
      <c r="H117" s="36" t="s">
        <v>149</v>
      </c>
      <c r="I117" s="33">
        <v>100</v>
      </c>
      <c r="J117" s="33">
        <v>0</v>
      </c>
      <c r="K117" s="36" t="s">
        <v>69</v>
      </c>
      <c r="L117" s="33">
        <v>161000</v>
      </c>
      <c r="M117" s="33">
        <v>48.316099999999999</v>
      </c>
      <c r="P117" s="33" t="s">
        <v>201</v>
      </c>
      <c r="S117" s="33" t="s">
        <v>201</v>
      </c>
      <c r="V117" s="33" t="s">
        <v>201</v>
      </c>
      <c r="Y117" s="33" t="s">
        <v>201</v>
      </c>
    </row>
    <row r="118" spans="1:25" hidden="1" x14ac:dyDescent="0.25">
      <c r="A118" s="33">
        <v>115</v>
      </c>
      <c r="B118" s="33" t="s">
        <v>202</v>
      </c>
      <c r="C118" s="33">
        <v>39</v>
      </c>
      <c r="D118" s="33">
        <v>215</v>
      </c>
      <c r="E118" s="33">
        <v>76</v>
      </c>
      <c r="F118" s="33">
        <v>139</v>
      </c>
      <c r="G118" s="33">
        <v>233110</v>
      </c>
      <c r="H118" s="36" t="s">
        <v>149</v>
      </c>
      <c r="I118" s="33">
        <v>750</v>
      </c>
      <c r="J118" s="33">
        <v>0</v>
      </c>
      <c r="K118" s="36" t="s">
        <v>155</v>
      </c>
      <c r="L118" s="33">
        <v>12360</v>
      </c>
      <c r="M118" s="33">
        <v>1.9375</v>
      </c>
      <c r="N118" s="36" t="s">
        <v>159</v>
      </c>
      <c r="O118" s="33">
        <v>220000</v>
      </c>
      <c r="P118" s="33">
        <v>39.6</v>
      </c>
      <c r="S118" s="33" t="s">
        <v>201</v>
      </c>
      <c r="V118" s="33" t="s">
        <v>201</v>
      </c>
      <c r="Y118" s="33" t="s">
        <v>201</v>
      </c>
    </row>
    <row r="119" spans="1:25" hidden="1" x14ac:dyDescent="0.25">
      <c r="A119" s="33">
        <v>116</v>
      </c>
      <c r="B119" s="33" t="s">
        <v>204</v>
      </c>
      <c r="C119" s="33">
        <v>40</v>
      </c>
      <c r="D119" s="33">
        <v>389</v>
      </c>
      <c r="E119" s="33">
        <v>34</v>
      </c>
      <c r="F119" s="33">
        <v>355</v>
      </c>
      <c r="G119" s="33">
        <v>743600</v>
      </c>
      <c r="H119" s="36" t="s">
        <v>169</v>
      </c>
      <c r="I119" s="33">
        <v>23000</v>
      </c>
      <c r="J119" s="33">
        <v>43.699999999999996</v>
      </c>
      <c r="K119" s="36" t="s">
        <v>160</v>
      </c>
      <c r="L119" s="33">
        <v>715000</v>
      </c>
      <c r="M119" s="33">
        <v>128.69999999999999</v>
      </c>
      <c r="N119" s="36" t="s">
        <v>168</v>
      </c>
      <c r="O119" s="33">
        <v>5600</v>
      </c>
      <c r="P119" s="33">
        <v>5.6</v>
      </c>
      <c r="Y119" s="33"/>
    </row>
    <row r="120" spans="1:25" hidden="1" x14ac:dyDescent="0.25">
      <c r="A120" s="33">
        <v>117</v>
      </c>
      <c r="B120" s="33" t="s">
        <v>204</v>
      </c>
      <c r="C120" s="33">
        <v>40</v>
      </c>
      <c r="D120" s="33">
        <v>453</v>
      </c>
      <c r="E120" s="33">
        <v>30</v>
      </c>
      <c r="F120" s="33">
        <v>423</v>
      </c>
      <c r="G120" s="33">
        <v>738800</v>
      </c>
      <c r="H120" s="36" t="s">
        <v>154</v>
      </c>
      <c r="I120" s="33">
        <v>19000</v>
      </c>
      <c r="J120" s="33">
        <v>3.3250000000000002E-2</v>
      </c>
      <c r="K120" s="36" t="s">
        <v>160</v>
      </c>
      <c r="L120" s="33">
        <v>715000</v>
      </c>
      <c r="M120" s="33">
        <v>128.69999999999999</v>
      </c>
      <c r="N120" s="36" t="s">
        <v>149</v>
      </c>
      <c r="O120" s="33">
        <v>4800</v>
      </c>
      <c r="P120" s="33">
        <v>0</v>
      </c>
      <c r="Y120" s="33"/>
    </row>
    <row r="121" spans="1:25" hidden="1" x14ac:dyDescent="0.25">
      <c r="A121" s="33">
        <v>118</v>
      </c>
      <c r="B121" s="33" t="s">
        <v>204</v>
      </c>
      <c r="C121" s="33">
        <v>40</v>
      </c>
      <c r="D121" s="33">
        <v>387</v>
      </c>
      <c r="E121" s="33">
        <v>36</v>
      </c>
      <c r="F121" s="33">
        <v>351</v>
      </c>
      <c r="G121" s="33">
        <v>742980</v>
      </c>
      <c r="H121" s="36" t="s">
        <v>169</v>
      </c>
      <c r="I121" s="33">
        <v>23000</v>
      </c>
      <c r="J121" s="33">
        <v>43.699999999999996</v>
      </c>
      <c r="K121" s="36" t="s">
        <v>160</v>
      </c>
      <c r="L121" s="33">
        <v>715000</v>
      </c>
      <c r="M121" s="33">
        <v>128.69999999999999</v>
      </c>
      <c r="N121" s="36" t="s">
        <v>158</v>
      </c>
      <c r="O121" s="33">
        <v>4680</v>
      </c>
      <c r="P121" s="33">
        <v>1.9375</v>
      </c>
      <c r="Q121" s="33" t="s">
        <v>149</v>
      </c>
      <c r="R121" s="33">
        <v>300</v>
      </c>
      <c r="S121" s="33">
        <v>0</v>
      </c>
      <c r="Y121" s="33"/>
    </row>
    <row r="122" spans="1:25" hidden="1" x14ac:dyDescent="0.25">
      <c r="A122" s="43">
        <v>119</v>
      </c>
      <c r="B122" s="43" t="s">
        <v>204</v>
      </c>
      <c r="C122" s="44">
        <v>40</v>
      </c>
      <c r="D122" s="44">
        <v>400</v>
      </c>
      <c r="E122" s="44">
        <v>34</v>
      </c>
      <c r="F122" s="44">
        <v>366</v>
      </c>
      <c r="G122" s="44">
        <v>742800</v>
      </c>
      <c r="H122" s="45" t="s">
        <v>169</v>
      </c>
      <c r="I122" s="44">
        <v>27800</v>
      </c>
      <c r="J122" s="44">
        <v>52.82</v>
      </c>
      <c r="K122" s="45" t="s">
        <v>160</v>
      </c>
      <c r="L122" s="44">
        <v>715000</v>
      </c>
      <c r="M122" s="46">
        <v>128.69999999999999</v>
      </c>
      <c r="N122" s="45"/>
      <c r="O122" s="44"/>
      <c r="P122" s="47"/>
      <c r="Q122" s="47"/>
      <c r="R122" s="47"/>
      <c r="S122" s="47"/>
      <c r="T122" s="47"/>
      <c r="U122" s="47"/>
      <c r="V122" s="47"/>
      <c r="Y122" s="33"/>
    </row>
    <row r="123" spans="1:25" hidden="1" x14ac:dyDescent="0.25">
      <c r="A123" s="33">
        <v>120</v>
      </c>
      <c r="B123" s="33" t="s">
        <v>204</v>
      </c>
      <c r="C123" s="47">
        <v>40</v>
      </c>
      <c r="D123" s="47">
        <v>395</v>
      </c>
      <c r="E123" s="47">
        <v>34</v>
      </c>
      <c r="F123" s="47">
        <v>361</v>
      </c>
      <c r="G123" s="47">
        <v>743600</v>
      </c>
      <c r="H123" s="48" t="s">
        <v>169</v>
      </c>
      <c r="I123" s="47">
        <v>23000</v>
      </c>
      <c r="J123" s="47">
        <v>43.699999999999996</v>
      </c>
      <c r="K123" s="48" t="s">
        <v>160</v>
      </c>
      <c r="L123" s="47">
        <v>715000</v>
      </c>
      <c r="M123" s="47">
        <v>128.69999999999999</v>
      </c>
      <c r="N123" s="48" t="s">
        <v>168</v>
      </c>
      <c r="O123" s="47">
        <v>5600</v>
      </c>
      <c r="P123" s="47">
        <v>5.6</v>
      </c>
      <c r="Q123" s="48"/>
      <c r="R123" s="47"/>
      <c r="S123" s="47"/>
      <c r="T123" s="47"/>
      <c r="U123" s="47"/>
      <c r="V123" s="47"/>
      <c r="Y123" s="33"/>
    </row>
    <row r="124" spans="1:25" hidden="1" x14ac:dyDescent="0.25">
      <c r="A124" s="33">
        <v>121</v>
      </c>
      <c r="B124" s="33" t="s">
        <v>204</v>
      </c>
      <c r="C124" s="47">
        <v>40</v>
      </c>
      <c r="D124" s="47">
        <v>433</v>
      </c>
      <c r="E124" s="47">
        <v>31</v>
      </c>
      <c r="F124" s="47">
        <v>402</v>
      </c>
      <c r="G124" s="47">
        <v>742800</v>
      </c>
      <c r="H124" s="48" t="s">
        <v>169</v>
      </c>
      <c r="I124" s="47">
        <v>23000</v>
      </c>
      <c r="J124" s="47">
        <v>43.699999999999996</v>
      </c>
      <c r="K124" s="48" t="s">
        <v>160</v>
      </c>
      <c r="L124" s="47">
        <v>715000</v>
      </c>
      <c r="M124" s="47">
        <v>128.69999999999999</v>
      </c>
      <c r="N124" s="48" t="s">
        <v>149</v>
      </c>
      <c r="O124" s="47">
        <v>4800</v>
      </c>
      <c r="P124" s="47">
        <v>0</v>
      </c>
      <c r="Q124" s="48"/>
      <c r="R124" s="47"/>
      <c r="S124" s="47"/>
      <c r="T124" s="47"/>
      <c r="U124" s="47"/>
      <c r="V124" s="47"/>
      <c r="Y124" s="33"/>
    </row>
    <row r="125" spans="1:25" hidden="1" x14ac:dyDescent="0.25">
      <c r="A125" s="33">
        <v>122</v>
      </c>
      <c r="B125" s="33" t="s">
        <v>204</v>
      </c>
      <c r="C125" s="47">
        <v>40</v>
      </c>
      <c r="D125" s="47">
        <v>279</v>
      </c>
      <c r="E125" s="47">
        <v>105</v>
      </c>
      <c r="F125" s="47">
        <v>174</v>
      </c>
      <c r="G125" s="47">
        <v>579760</v>
      </c>
      <c r="H125" s="48" t="s">
        <v>69</v>
      </c>
      <c r="I125" s="47">
        <v>28700</v>
      </c>
      <c r="J125" s="47">
        <v>8.6128699999999991</v>
      </c>
      <c r="K125" s="48" t="s">
        <v>149</v>
      </c>
      <c r="L125" s="47">
        <v>1380</v>
      </c>
      <c r="M125" s="47">
        <v>0</v>
      </c>
      <c r="N125" s="48" t="s">
        <v>163</v>
      </c>
      <c r="O125" s="47">
        <v>500000</v>
      </c>
      <c r="P125" s="47">
        <v>51</v>
      </c>
      <c r="Q125" s="48" t="s">
        <v>159</v>
      </c>
      <c r="R125" s="47">
        <v>45000</v>
      </c>
      <c r="S125" s="47">
        <v>8.1</v>
      </c>
      <c r="T125" s="47" t="s">
        <v>158</v>
      </c>
      <c r="U125" s="47">
        <v>4680</v>
      </c>
      <c r="V125" s="47">
        <v>1.9375</v>
      </c>
      <c r="Y125" s="33"/>
    </row>
    <row r="126" spans="1:25" hidden="1" x14ac:dyDescent="0.25">
      <c r="A126" s="33">
        <v>123</v>
      </c>
      <c r="B126" s="33" t="s">
        <v>204</v>
      </c>
      <c r="C126" s="47">
        <v>40</v>
      </c>
      <c r="D126" s="47">
        <v>295</v>
      </c>
      <c r="E126" s="47">
        <v>110</v>
      </c>
      <c r="F126" s="47">
        <v>185</v>
      </c>
      <c r="G126" s="47">
        <v>589510</v>
      </c>
      <c r="H126" s="48" t="s">
        <v>149</v>
      </c>
      <c r="I126" s="47">
        <v>1830</v>
      </c>
      <c r="J126" s="47">
        <v>0</v>
      </c>
      <c r="K126" s="48" t="s">
        <v>159</v>
      </c>
      <c r="L126" s="47">
        <v>83000</v>
      </c>
      <c r="M126" s="47">
        <v>14.94</v>
      </c>
      <c r="N126" s="48" t="s">
        <v>163</v>
      </c>
      <c r="O126" s="47">
        <v>500000</v>
      </c>
      <c r="P126" s="47">
        <v>51</v>
      </c>
      <c r="Q126" s="48" t="s">
        <v>158</v>
      </c>
      <c r="R126" s="47">
        <v>4680</v>
      </c>
      <c r="S126" s="47">
        <v>1.9375</v>
      </c>
      <c r="T126" s="47"/>
      <c r="U126" s="47"/>
      <c r="V126" s="47"/>
      <c r="Y126" s="33"/>
    </row>
    <row r="127" spans="1:25" hidden="1" x14ac:dyDescent="0.25">
      <c r="A127" s="33">
        <v>124</v>
      </c>
      <c r="B127" s="33" t="s">
        <v>204</v>
      </c>
      <c r="C127" s="47">
        <v>40</v>
      </c>
      <c r="D127" s="47">
        <v>275</v>
      </c>
      <c r="E127" s="47">
        <v>95</v>
      </c>
      <c r="F127" s="47">
        <v>180</v>
      </c>
      <c r="G127" s="47">
        <v>571200</v>
      </c>
      <c r="H127" s="48" t="s">
        <v>69</v>
      </c>
      <c r="I127" s="47">
        <v>28700</v>
      </c>
      <c r="J127" s="47">
        <v>8.6128699999999991</v>
      </c>
      <c r="K127" s="48" t="s">
        <v>149</v>
      </c>
      <c r="L127" s="47">
        <v>1000</v>
      </c>
      <c r="M127" s="47">
        <v>0</v>
      </c>
      <c r="N127" s="48" t="s">
        <v>163</v>
      </c>
      <c r="O127" s="47">
        <v>500000</v>
      </c>
      <c r="P127" s="47">
        <v>51</v>
      </c>
      <c r="Q127" s="48" t="s">
        <v>169</v>
      </c>
      <c r="R127" s="47">
        <v>41500</v>
      </c>
      <c r="S127" s="47">
        <v>78.849999999999994</v>
      </c>
      <c r="T127" s="47"/>
      <c r="U127" s="47"/>
      <c r="V127" s="47"/>
      <c r="Y127" s="33"/>
    </row>
    <row r="128" spans="1:25" hidden="1" x14ac:dyDescent="0.25">
      <c r="A128" s="33">
        <v>125</v>
      </c>
      <c r="B128" s="33" t="s">
        <v>204</v>
      </c>
      <c r="C128" s="47">
        <v>40</v>
      </c>
      <c r="D128" s="47">
        <v>453.49052517596101</v>
      </c>
      <c r="E128" s="47">
        <v>30.032485110990795</v>
      </c>
      <c r="F128" s="47">
        <v>423.45804006497019</v>
      </c>
      <c r="G128" s="47">
        <v>738800</v>
      </c>
      <c r="H128" s="48" t="s">
        <v>154</v>
      </c>
      <c r="I128" s="47">
        <v>19000</v>
      </c>
      <c r="J128" s="47">
        <v>3.3250000000000002E-2</v>
      </c>
      <c r="K128" s="48" t="s">
        <v>160</v>
      </c>
      <c r="L128" s="47">
        <v>715000</v>
      </c>
      <c r="M128" s="47">
        <v>128.69999999999999</v>
      </c>
      <c r="N128" s="48" t="s">
        <v>168</v>
      </c>
      <c r="O128" s="47">
        <v>5600</v>
      </c>
      <c r="P128" s="47">
        <v>5.6</v>
      </c>
      <c r="Q128" s="48"/>
      <c r="R128" s="47"/>
      <c r="S128" s="47"/>
      <c r="T128" s="47"/>
      <c r="U128" s="47"/>
      <c r="V128" s="47"/>
      <c r="Y128" s="33"/>
    </row>
    <row r="129" spans="1:25" hidden="1" x14ac:dyDescent="0.25">
      <c r="A129" s="33">
        <v>126</v>
      </c>
      <c r="B129" s="33" t="s">
        <v>204</v>
      </c>
      <c r="C129" s="47">
        <v>40</v>
      </c>
      <c r="D129" s="47">
        <v>263</v>
      </c>
      <c r="E129" s="47">
        <v>98</v>
      </c>
      <c r="F129" s="47">
        <v>165</v>
      </c>
      <c r="G129" s="47">
        <v>570200</v>
      </c>
      <c r="H129" s="48" t="s">
        <v>169</v>
      </c>
      <c r="I129" s="47">
        <v>70200</v>
      </c>
      <c r="J129" s="47">
        <v>133.38</v>
      </c>
      <c r="K129" s="48" t="s">
        <v>163</v>
      </c>
      <c r="L129" s="47">
        <v>500000</v>
      </c>
      <c r="M129" s="47">
        <v>51</v>
      </c>
      <c r="N129" s="48"/>
      <c r="O129" s="47"/>
      <c r="P129" s="47"/>
      <c r="Q129" s="48"/>
      <c r="R129" s="47"/>
      <c r="S129" s="47"/>
      <c r="T129" s="47"/>
      <c r="U129" s="47"/>
      <c r="V129" s="47"/>
      <c r="Y129" s="33"/>
    </row>
    <row r="130" spans="1:25" hidden="1" x14ac:dyDescent="0.25">
      <c r="A130" s="33">
        <v>127</v>
      </c>
      <c r="B130" s="33" t="s">
        <v>204</v>
      </c>
      <c r="C130" s="47">
        <v>40</v>
      </c>
      <c r="D130" s="47">
        <v>267</v>
      </c>
      <c r="E130" s="47">
        <v>108</v>
      </c>
      <c r="F130" s="47">
        <v>159</v>
      </c>
      <c r="G130" s="47">
        <v>578760</v>
      </c>
      <c r="H130" s="48" t="s">
        <v>169</v>
      </c>
      <c r="I130" s="47">
        <v>28700</v>
      </c>
      <c r="J130" s="47">
        <v>54.529999999999994</v>
      </c>
      <c r="K130" s="48" t="s">
        <v>163</v>
      </c>
      <c r="L130" s="47">
        <v>500000</v>
      </c>
      <c r="M130" s="47">
        <v>51</v>
      </c>
      <c r="N130" s="48" t="s">
        <v>159</v>
      </c>
      <c r="O130" s="47">
        <v>45000</v>
      </c>
      <c r="P130" s="47">
        <v>8.1</v>
      </c>
      <c r="Q130" s="48" t="s">
        <v>158</v>
      </c>
      <c r="R130" s="47">
        <v>4680</v>
      </c>
      <c r="S130" s="47">
        <v>1.9375</v>
      </c>
      <c r="T130" s="47" t="s">
        <v>149</v>
      </c>
      <c r="U130" s="47">
        <v>380</v>
      </c>
      <c r="V130" s="47">
        <v>0</v>
      </c>
      <c r="Y130" s="33"/>
    </row>
    <row r="131" spans="1:25" hidden="1" x14ac:dyDescent="0.25">
      <c r="A131" s="33">
        <v>128</v>
      </c>
      <c r="B131" s="33" t="s">
        <v>204</v>
      </c>
      <c r="C131" s="47">
        <v>40</v>
      </c>
      <c r="D131" s="47">
        <v>290.99999999999994</v>
      </c>
      <c r="E131" s="47">
        <v>99.999999999999986</v>
      </c>
      <c r="F131" s="47">
        <v>190.99999999999997</v>
      </c>
      <c r="G131" s="47">
        <v>580950</v>
      </c>
      <c r="H131" s="48" t="s">
        <v>149</v>
      </c>
      <c r="I131" s="47">
        <v>1450</v>
      </c>
      <c r="J131" s="47">
        <v>0</v>
      </c>
      <c r="K131" s="48" t="s">
        <v>159</v>
      </c>
      <c r="L131" s="47">
        <v>38000</v>
      </c>
      <c r="M131" s="47">
        <v>6.84</v>
      </c>
      <c r="N131" s="48" t="s">
        <v>163</v>
      </c>
      <c r="O131" s="47">
        <v>500000</v>
      </c>
      <c r="P131" s="47">
        <v>51</v>
      </c>
      <c r="Q131" s="48" t="s">
        <v>169</v>
      </c>
      <c r="R131" s="47">
        <v>41500</v>
      </c>
      <c r="S131" s="47">
        <v>78.849999999999994</v>
      </c>
      <c r="T131" s="47"/>
      <c r="U131" s="47"/>
      <c r="V131" s="47"/>
      <c r="Y131" s="33"/>
    </row>
    <row r="132" spans="1:25" hidden="1" x14ac:dyDescent="0.25">
      <c r="A132" s="33">
        <v>129</v>
      </c>
      <c r="B132" s="33" t="s">
        <v>204</v>
      </c>
      <c r="C132" s="47">
        <v>40</v>
      </c>
      <c r="D132" s="47">
        <v>453.11036816459119</v>
      </c>
      <c r="E132" s="47">
        <v>30.007309149972926</v>
      </c>
      <c r="F132" s="47">
        <v>423.10305901461828</v>
      </c>
      <c r="G132" s="47">
        <v>738800</v>
      </c>
      <c r="H132" s="48" t="s">
        <v>154</v>
      </c>
      <c r="I132" s="47">
        <v>19000</v>
      </c>
      <c r="J132" s="47">
        <v>3.3250000000000002E-2</v>
      </c>
      <c r="K132" s="48" t="s">
        <v>160</v>
      </c>
      <c r="L132" s="47">
        <v>715000</v>
      </c>
      <c r="M132" s="47">
        <v>128.69999999999999</v>
      </c>
      <c r="N132" s="48" t="s">
        <v>158</v>
      </c>
      <c r="O132" s="47">
        <v>4680</v>
      </c>
      <c r="P132" s="47">
        <v>1.9375</v>
      </c>
      <c r="Q132" s="48" t="s">
        <v>149</v>
      </c>
      <c r="R132" s="47">
        <v>300</v>
      </c>
      <c r="S132" s="47">
        <v>0</v>
      </c>
      <c r="T132" s="47"/>
      <c r="U132" s="47"/>
      <c r="V132" s="47"/>
      <c r="Y132" s="33"/>
    </row>
    <row r="133" spans="1:25" hidden="1" x14ac:dyDescent="0.25">
      <c r="A133" s="33">
        <v>130</v>
      </c>
      <c r="B133" s="33" t="s">
        <v>204</v>
      </c>
      <c r="C133" s="47">
        <v>40</v>
      </c>
      <c r="D133" s="47">
        <v>453</v>
      </c>
      <c r="E133" s="47">
        <v>30</v>
      </c>
      <c r="F133" s="47">
        <v>423</v>
      </c>
      <c r="G133" s="47">
        <v>738800</v>
      </c>
      <c r="H133" s="48" t="s">
        <v>154</v>
      </c>
      <c r="I133" s="47">
        <v>19000</v>
      </c>
      <c r="J133" s="47">
        <v>3.3250000000000002E-2</v>
      </c>
      <c r="K133" s="48" t="s">
        <v>160</v>
      </c>
      <c r="L133" s="47">
        <v>715000</v>
      </c>
      <c r="M133" s="47">
        <v>128.69999999999999</v>
      </c>
      <c r="N133" s="48" t="s">
        <v>169</v>
      </c>
      <c r="O133" s="47">
        <v>4800</v>
      </c>
      <c r="P133" s="47">
        <v>9.1199999999999992</v>
      </c>
      <c r="Q133" s="48"/>
      <c r="R133" s="47"/>
      <c r="S133" s="47"/>
      <c r="T133" s="47"/>
      <c r="U133" s="47"/>
      <c r="V133" s="47"/>
      <c r="Y133" s="33"/>
    </row>
    <row r="134" spans="1:25" hidden="1" x14ac:dyDescent="0.25">
      <c r="A134" s="33">
        <v>131</v>
      </c>
      <c r="B134" s="33" t="s">
        <v>204</v>
      </c>
      <c r="C134" s="47">
        <v>40</v>
      </c>
      <c r="D134" s="47">
        <v>387</v>
      </c>
      <c r="E134" s="47">
        <v>35</v>
      </c>
      <c r="F134" s="47">
        <v>352</v>
      </c>
      <c r="G134" s="47">
        <v>740720</v>
      </c>
      <c r="H134" s="48" t="s">
        <v>149</v>
      </c>
      <c r="I134" s="47">
        <v>1100</v>
      </c>
      <c r="J134" s="47">
        <v>0</v>
      </c>
      <c r="K134" s="48" t="s">
        <v>159</v>
      </c>
      <c r="L134" s="47">
        <v>19020</v>
      </c>
      <c r="M134" s="47">
        <v>3.4236</v>
      </c>
      <c r="N134" s="48" t="s">
        <v>160</v>
      </c>
      <c r="O134" s="47">
        <v>715000</v>
      </c>
      <c r="P134" s="47">
        <v>128.69999999999999</v>
      </c>
      <c r="Q134" s="48" t="s">
        <v>168</v>
      </c>
      <c r="R134" s="47">
        <v>5600</v>
      </c>
      <c r="S134" s="47">
        <v>5.6</v>
      </c>
      <c r="T134" s="47"/>
      <c r="U134" s="47"/>
      <c r="V134" s="47"/>
      <c r="Y134" s="33"/>
    </row>
    <row r="135" spans="1:25" hidden="1" x14ac:dyDescent="0.25">
      <c r="A135" s="33">
        <v>132</v>
      </c>
      <c r="B135" s="33" t="s">
        <v>204</v>
      </c>
      <c r="C135" s="47">
        <v>40</v>
      </c>
      <c r="D135" s="47">
        <v>574</v>
      </c>
      <c r="E135" s="47">
        <v>0</v>
      </c>
      <c r="F135" s="47">
        <v>574</v>
      </c>
      <c r="G135" s="47">
        <v>639400</v>
      </c>
      <c r="H135" s="48" t="s">
        <v>149</v>
      </c>
      <c r="I135" s="47">
        <v>400</v>
      </c>
      <c r="J135" s="47">
        <v>0</v>
      </c>
      <c r="K135" s="48" t="s">
        <v>69</v>
      </c>
      <c r="L135" s="47">
        <v>639000</v>
      </c>
      <c r="M135" s="47">
        <v>191.76389999999998</v>
      </c>
      <c r="N135" s="48"/>
      <c r="O135" s="47"/>
      <c r="P135" s="47"/>
      <c r="Q135" s="48"/>
      <c r="R135" s="47"/>
      <c r="S135" s="47"/>
      <c r="T135" s="47"/>
      <c r="U135" s="47"/>
      <c r="V135" s="47"/>
      <c r="Y135" s="33"/>
    </row>
    <row r="136" spans="1:25" hidden="1" x14ac:dyDescent="0.25">
      <c r="A136" s="33">
        <v>133</v>
      </c>
      <c r="B136" s="33" t="s">
        <v>204</v>
      </c>
      <c r="C136" s="47">
        <v>40</v>
      </c>
      <c r="D136" s="47">
        <v>391</v>
      </c>
      <c r="E136" s="47">
        <v>37</v>
      </c>
      <c r="F136" s="47">
        <v>354</v>
      </c>
      <c r="G136" s="47">
        <v>740100</v>
      </c>
      <c r="H136" s="48" t="s">
        <v>149</v>
      </c>
      <c r="I136" s="47">
        <v>1400</v>
      </c>
      <c r="J136" s="47">
        <v>0</v>
      </c>
      <c r="K136" s="48" t="s">
        <v>159</v>
      </c>
      <c r="L136" s="47">
        <v>19020</v>
      </c>
      <c r="M136" s="47">
        <v>3.4236</v>
      </c>
      <c r="N136" s="48" t="s">
        <v>160</v>
      </c>
      <c r="O136" s="47">
        <v>715000</v>
      </c>
      <c r="P136" s="47">
        <v>128.69999999999999</v>
      </c>
      <c r="Q136" s="48" t="s">
        <v>158</v>
      </c>
      <c r="R136" s="47">
        <v>4680</v>
      </c>
      <c r="S136" s="47">
        <v>1.9375</v>
      </c>
      <c r="T136" s="47"/>
      <c r="U136" s="47"/>
      <c r="V136" s="47"/>
      <c r="Y136" s="33"/>
    </row>
    <row r="137" spans="1:25" hidden="1" x14ac:dyDescent="0.25">
      <c r="A137" s="33">
        <v>134</v>
      </c>
      <c r="B137" s="33" t="s">
        <v>204</v>
      </c>
      <c r="C137" s="47">
        <v>40</v>
      </c>
      <c r="D137" s="47">
        <v>399</v>
      </c>
      <c r="E137" s="47">
        <v>35</v>
      </c>
      <c r="F137" s="47">
        <v>364</v>
      </c>
      <c r="G137" s="47">
        <v>740720</v>
      </c>
      <c r="H137" s="48" t="s">
        <v>149</v>
      </c>
      <c r="I137" s="47">
        <v>1100</v>
      </c>
      <c r="J137" s="47">
        <v>0</v>
      </c>
      <c r="K137" s="48" t="s">
        <v>159</v>
      </c>
      <c r="L137" s="47">
        <v>19020</v>
      </c>
      <c r="M137" s="47">
        <v>3.4236</v>
      </c>
      <c r="N137" s="48" t="s">
        <v>160</v>
      </c>
      <c r="O137" s="47">
        <v>715000</v>
      </c>
      <c r="P137" s="47">
        <v>128.69999999999999</v>
      </c>
      <c r="Q137" s="48" t="s">
        <v>168</v>
      </c>
      <c r="R137" s="47">
        <v>5600</v>
      </c>
      <c r="S137" s="47">
        <v>5.6</v>
      </c>
      <c r="T137" s="47"/>
      <c r="U137" s="47"/>
      <c r="V137" s="47"/>
      <c r="Y137" s="33"/>
    </row>
    <row r="138" spans="1:25" hidden="1" x14ac:dyDescent="0.25">
      <c r="A138" s="33">
        <v>135</v>
      </c>
      <c r="B138" s="33" t="s">
        <v>204</v>
      </c>
      <c r="C138" s="47">
        <v>40</v>
      </c>
      <c r="D138" s="47">
        <v>463</v>
      </c>
      <c r="E138" s="47">
        <v>30</v>
      </c>
      <c r="F138" s="47">
        <v>433</v>
      </c>
      <c r="G138" s="47">
        <v>738800</v>
      </c>
      <c r="H138" s="48" t="s">
        <v>153</v>
      </c>
      <c r="I138" s="47">
        <v>19000</v>
      </c>
      <c r="J138" s="47">
        <v>0</v>
      </c>
      <c r="K138" s="48" t="s">
        <v>160</v>
      </c>
      <c r="L138" s="47">
        <v>715000</v>
      </c>
      <c r="M138" s="47">
        <v>128.69999999999999</v>
      </c>
      <c r="N138" s="48" t="s">
        <v>149</v>
      </c>
      <c r="O138" s="47">
        <v>4800</v>
      </c>
      <c r="P138" s="47">
        <v>0</v>
      </c>
      <c r="Q138" s="48"/>
      <c r="R138" s="47"/>
      <c r="S138" s="47"/>
      <c r="T138" s="47"/>
      <c r="U138" s="47"/>
      <c r="V138" s="47"/>
      <c r="Y138" s="33"/>
    </row>
    <row r="139" spans="1:25" hidden="1" x14ac:dyDescent="0.25">
      <c r="A139" s="33">
        <v>136</v>
      </c>
      <c r="B139" s="33" t="s">
        <v>204</v>
      </c>
      <c r="C139" s="47">
        <v>40</v>
      </c>
      <c r="D139" s="47">
        <v>437</v>
      </c>
      <c r="E139" s="47">
        <v>32</v>
      </c>
      <c r="F139" s="47">
        <v>405</v>
      </c>
      <c r="G139" s="47">
        <v>739920</v>
      </c>
      <c r="H139" s="48" t="s">
        <v>149</v>
      </c>
      <c r="I139" s="47">
        <v>5900</v>
      </c>
      <c r="J139" s="47">
        <v>0</v>
      </c>
      <c r="K139" s="48" t="s">
        <v>159</v>
      </c>
      <c r="L139" s="47">
        <v>19020</v>
      </c>
      <c r="M139" s="47">
        <v>3.4236</v>
      </c>
      <c r="N139" s="48" t="s">
        <v>160</v>
      </c>
      <c r="O139" s="47">
        <v>715000</v>
      </c>
      <c r="P139" s="47">
        <v>128.69999999999999</v>
      </c>
      <c r="Q139" s="48"/>
      <c r="R139" s="47"/>
      <c r="S139" s="47"/>
      <c r="T139" s="47"/>
      <c r="U139" s="47"/>
      <c r="V139" s="47"/>
      <c r="Y139" s="33"/>
    </row>
    <row r="140" spans="1:25" hidden="1" x14ac:dyDescent="0.25">
      <c r="A140" s="33">
        <v>137</v>
      </c>
      <c r="B140" s="33" t="s">
        <v>204</v>
      </c>
      <c r="C140" s="47">
        <v>40</v>
      </c>
      <c r="D140" s="47">
        <v>389</v>
      </c>
      <c r="E140" s="47">
        <v>38</v>
      </c>
      <c r="F140" s="47">
        <v>351</v>
      </c>
      <c r="G140" s="47">
        <v>742980</v>
      </c>
      <c r="H140" s="48" t="s">
        <v>69</v>
      </c>
      <c r="I140" s="47">
        <v>23000</v>
      </c>
      <c r="J140" s="47">
        <v>6.9022999999999994</v>
      </c>
      <c r="K140" s="48" t="s">
        <v>160</v>
      </c>
      <c r="L140" s="47">
        <v>715000</v>
      </c>
      <c r="M140" s="47">
        <v>128.69999999999999</v>
      </c>
      <c r="N140" s="48" t="s">
        <v>158</v>
      </c>
      <c r="O140" s="47">
        <v>4680</v>
      </c>
      <c r="P140" s="47">
        <v>1.9375</v>
      </c>
      <c r="Q140" s="48" t="s">
        <v>149</v>
      </c>
      <c r="R140" s="47">
        <v>300</v>
      </c>
      <c r="S140" s="47">
        <v>0</v>
      </c>
      <c r="T140" s="47"/>
      <c r="U140" s="47"/>
      <c r="V140" s="47"/>
      <c r="Y140" s="33"/>
    </row>
    <row r="141" spans="1:25" hidden="1" x14ac:dyDescent="0.25">
      <c r="A141" s="33">
        <v>138</v>
      </c>
      <c r="B141" s="33" t="s">
        <v>204</v>
      </c>
      <c r="C141" s="47">
        <v>40</v>
      </c>
      <c r="D141" s="47">
        <v>402</v>
      </c>
      <c r="E141" s="47">
        <v>36</v>
      </c>
      <c r="F141" s="47">
        <v>366</v>
      </c>
      <c r="G141" s="47">
        <v>742800</v>
      </c>
      <c r="H141" s="48" t="s">
        <v>69</v>
      </c>
      <c r="I141" s="47">
        <v>23000</v>
      </c>
      <c r="J141" s="47">
        <v>6.9022999999999994</v>
      </c>
      <c r="K141" s="48" t="s">
        <v>160</v>
      </c>
      <c r="L141" s="47">
        <v>715000</v>
      </c>
      <c r="M141" s="47">
        <v>128.69999999999999</v>
      </c>
      <c r="N141" s="48" t="s">
        <v>169</v>
      </c>
      <c r="O141" s="47">
        <v>4800</v>
      </c>
      <c r="P141" s="47">
        <v>9.1199999999999992</v>
      </c>
      <c r="Q141" s="48"/>
      <c r="R141" s="47"/>
      <c r="S141" s="47"/>
      <c r="T141" s="47"/>
      <c r="U141" s="47"/>
      <c r="V141" s="47"/>
      <c r="Y141" s="33"/>
    </row>
    <row r="142" spans="1:25" hidden="1" x14ac:dyDescent="0.25">
      <c r="A142" s="33">
        <v>139</v>
      </c>
      <c r="B142" s="33" t="s">
        <v>204</v>
      </c>
      <c r="C142" s="47">
        <v>40</v>
      </c>
      <c r="D142" s="47">
        <v>384</v>
      </c>
      <c r="E142" s="47">
        <v>36</v>
      </c>
      <c r="F142" s="47">
        <v>348</v>
      </c>
      <c r="G142" s="47">
        <v>743600</v>
      </c>
      <c r="H142" s="48" t="s">
        <v>69</v>
      </c>
      <c r="I142" s="47">
        <v>23000</v>
      </c>
      <c r="J142" s="47">
        <v>6.9022999999999994</v>
      </c>
      <c r="K142" s="48" t="s">
        <v>160</v>
      </c>
      <c r="L142" s="47">
        <v>715000</v>
      </c>
      <c r="M142" s="47">
        <v>128.69999999999999</v>
      </c>
      <c r="N142" s="48" t="s">
        <v>168</v>
      </c>
      <c r="O142" s="47">
        <v>5600</v>
      </c>
      <c r="P142" s="47">
        <v>5.6</v>
      </c>
      <c r="Q142" s="48"/>
      <c r="R142" s="47"/>
      <c r="S142" s="47"/>
      <c r="T142" s="47"/>
      <c r="U142" s="47"/>
      <c r="V142" s="47"/>
      <c r="Y142" s="33"/>
    </row>
    <row r="143" spans="1:25" hidden="1" x14ac:dyDescent="0.25">
      <c r="A143" s="33">
        <v>140</v>
      </c>
      <c r="B143" s="33" t="s">
        <v>204</v>
      </c>
      <c r="C143" s="47">
        <v>40</v>
      </c>
      <c r="D143" s="47">
        <v>435</v>
      </c>
      <c r="E143" s="47">
        <v>33</v>
      </c>
      <c r="F143" s="47">
        <v>402</v>
      </c>
      <c r="G143" s="47">
        <v>742800</v>
      </c>
      <c r="H143" s="48" t="s">
        <v>69</v>
      </c>
      <c r="I143" s="47">
        <v>23000</v>
      </c>
      <c r="J143" s="47">
        <v>6.9022999999999994</v>
      </c>
      <c r="K143" s="48" t="s">
        <v>160</v>
      </c>
      <c r="L143" s="47">
        <v>715000</v>
      </c>
      <c r="M143" s="47">
        <v>128.69999999999999</v>
      </c>
      <c r="N143" s="48" t="s">
        <v>149</v>
      </c>
      <c r="O143" s="47">
        <v>4800</v>
      </c>
      <c r="P143" s="47">
        <v>0</v>
      </c>
      <c r="Q143" s="48"/>
      <c r="R143" s="47"/>
      <c r="S143" s="47"/>
      <c r="T143" s="47"/>
      <c r="U143" s="47"/>
      <c r="V143" s="47"/>
      <c r="Y143" s="33"/>
    </row>
    <row r="144" spans="1:25" hidden="1" x14ac:dyDescent="0.25">
      <c r="A144" s="33">
        <v>141</v>
      </c>
      <c r="B144" s="33" t="s">
        <v>204</v>
      </c>
      <c r="C144" s="47">
        <v>40</v>
      </c>
      <c r="D144" s="47">
        <v>416.99999999999994</v>
      </c>
      <c r="E144" s="47">
        <v>34.999999999999993</v>
      </c>
      <c r="F144" s="47">
        <v>381.99999999999994</v>
      </c>
      <c r="G144" s="47">
        <v>738980</v>
      </c>
      <c r="H144" s="48" t="s">
        <v>153</v>
      </c>
      <c r="I144" s="47">
        <v>19000</v>
      </c>
      <c r="J144" s="47">
        <v>0</v>
      </c>
      <c r="K144" s="48" t="s">
        <v>160</v>
      </c>
      <c r="L144" s="47">
        <v>715000</v>
      </c>
      <c r="M144" s="47">
        <v>128.69999999999999</v>
      </c>
      <c r="N144" s="48" t="s">
        <v>158</v>
      </c>
      <c r="O144" s="47">
        <v>4680</v>
      </c>
      <c r="P144" s="47">
        <v>1.9375</v>
      </c>
      <c r="Q144" s="48" t="s">
        <v>149</v>
      </c>
      <c r="R144" s="47">
        <v>300</v>
      </c>
      <c r="S144" s="49">
        <v>0</v>
      </c>
      <c r="T144" s="47"/>
      <c r="U144" s="47"/>
      <c r="V144" s="47"/>
      <c r="Y144" s="33"/>
    </row>
    <row r="145" spans="1:25" hidden="1" x14ac:dyDescent="0.25">
      <c r="A145" s="33">
        <v>142</v>
      </c>
      <c r="B145" s="33" t="s">
        <v>204</v>
      </c>
      <c r="C145" s="47">
        <v>40</v>
      </c>
      <c r="D145" s="49">
        <v>430</v>
      </c>
      <c r="E145" s="49">
        <v>33</v>
      </c>
      <c r="F145" s="49">
        <v>397</v>
      </c>
      <c r="G145" s="49">
        <v>738800</v>
      </c>
      <c r="H145" s="50" t="s">
        <v>153</v>
      </c>
      <c r="I145" s="49">
        <v>19000</v>
      </c>
      <c r="J145" s="47">
        <v>0</v>
      </c>
      <c r="K145" s="50" t="s">
        <v>160</v>
      </c>
      <c r="L145" s="49">
        <v>715000</v>
      </c>
      <c r="M145" s="49">
        <v>128.69999999999999</v>
      </c>
      <c r="N145" s="50" t="s">
        <v>169</v>
      </c>
      <c r="O145" s="49">
        <v>4800</v>
      </c>
      <c r="P145" s="47">
        <v>9.1199999999999992</v>
      </c>
      <c r="Q145" s="50"/>
      <c r="R145" s="49"/>
      <c r="S145" s="49"/>
      <c r="T145" s="49"/>
      <c r="U145" s="49"/>
      <c r="V145" s="47"/>
      <c r="Y145" s="33"/>
    </row>
    <row r="146" spans="1:25" hidden="1" x14ac:dyDescent="0.25">
      <c r="A146" s="33">
        <v>143</v>
      </c>
      <c r="B146" s="33" t="s">
        <v>204</v>
      </c>
      <c r="C146" s="47">
        <v>40</v>
      </c>
      <c r="D146" s="49">
        <v>425</v>
      </c>
      <c r="E146" s="49">
        <v>33</v>
      </c>
      <c r="F146" s="49">
        <v>392</v>
      </c>
      <c r="G146" s="49">
        <v>739600</v>
      </c>
      <c r="H146" s="50" t="s">
        <v>153</v>
      </c>
      <c r="I146" s="49">
        <v>19000</v>
      </c>
      <c r="J146" s="47">
        <v>0</v>
      </c>
      <c r="K146" s="50" t="s">
        <v>160</v>
      </c>
      <c r="L146" s="49">
        <v>715000</v>
      </c>
      <c r="M146" s="49">
        <v>128.69999999999999</v>
      </c>
      <c r="N146" s="50" t="s">
        <v>168</v>
      </c>
      <c r="O146" s="49">
        <v>5600</v>
      </c>
      <c r="P146" s="49">
        <v>5.6</v>
      </c>
      <c r="Q146" s="50"/>
      <c r="R146" s="49"/>
      <c r="S146" s="49"/>
      <c r="T146" s="49"/>
      <c r="U146" s="49"/>
      <c r="V146" s="47"/>
      <c r="Y146" s="33"/>
    </row>
    <row r="147" spans="1:25" hidden="1" x14ac:dyDescent="0.25">
      <c r="A147" s="33">
        <v>144</v>
      </c>
      <c r="B147" s="33" t="s">
        <v>204</v>
      </c>
      <c r="C147" s="47">
        <v>40</v>
      </c>
      <c r="D147" s="49">
        <v>397</v>
      </c>
      <c r="E147" s="49">
        <v>36</v>
      </c>
      <c r="F147" s="49">
        <v>361</v>
      </c>
      <c r="G147" s="49">
        <v>743600</v>
      </c>
      <c r="H147" s="50" t="s">
        <v>69</v>
      </c>
      <c r="I147" s="49">
        <v>23000</v>
      </c>
      <c r="J147" s="47">
        <v>6.9022999999999994</v>
      </c>
      <c r="K147" s="50" t="s">
        <v>160</v>
      </c>
      <c r="L147" s="49">
        <v>715000</v>
      </c>
      <c r="M147" s="49">
        <v>128.69999999999999</v>
      </c>
      <c r="N147" s="50" t="s">
        <v>168</v>
      </c>
      <c r="O147" s="49">
        <v>5600</v>
      </c>
      <c r="P147" s="49">
        <v>5.6</v>
      </c>
      <c r="Q147" s="50"/>
      <c r="R147" s="49"/>
      <c r="S147" s="49"/>
      <c r="T147" s="49"/>
      <c r="U147" s="49"/>
      <c r="V147" s="47"/>
      <c r="Y147" s="33"/>
    </row>
    <row r="148" spans="1:25" hidden="1" x14ac:dyDescent="0.25">
      <c r="A148" s="33">
        <v>145</v>
      </c>
      <c r="B148" s="33" t="s">
        <v>204</v>
      </c>
      <c r="C148" s="47">
        <v>41</v>
      </c>
      <c r="D148" s="49">
        <v>310</v>
      </c>
      <c r="E148" s="49">
        <v>66</v>
      </c>
      <c r="F148" s="49">
        <v>244</v>
      </c>
      <c r="G148" s="49">
        <v>432600</v>
      </c>
      <c r="H148" s="50" t="s">
        <v>169</v>
      </c>
      <c r="I148" s="49">
        <v>4600</v>
      </c>
      <c r="J148" s="47">
        <v>8.7399999999999984</v>
      </c>
      <c r="K148" s="50" t="s">
        <v>160</v>
      </c>
      <c r="L148" s="49">
        <v>425000</v>
      </c>
      <c r="M148" s="49">
        <v>76.5</v>
      </c>
      <c r="N148" s="50" t="s">
        <v>168</v>
      </c>
      <c r="O148" s="49">
        <v>3000</v>
      </c>
      <c r="P148" s="49">
        <v>3</v>
      </c>
      <c r="Q148" s="50"/>
      <c r="R148" s="49"/>
      <c r="S148" s="49"/>
      <c r="T148" s="50"/>
      <c r="U148" s="49"/>
      <c r="V148" s="47"/>
      <c r="Y148" s="33"/>
    </row>
    <row r="149" spans="1:25" hidden="1" x14ac:dyDescent="0.25">
      <c r="A149" s="33">
        <v>146</v>
      </c>
      <c r="B149" s="33" t="s">
        <v>204</v>
      </c>
      <c r="C149" s="47">
        <v>41</v>
      </c>
      <c r="D149" s="49">
        <v>334</v>
      </c>
      <c r="E149" s="49">
        <v>64</v>
      </c>
      <c r="F149" s="49">
        <v>270</v>
      </c>
      <c r="G149" s="49">
        <v>432600</v>
      </c>
      <c r="H149" s="50" t="s">
        <v>169</v>
      </c>
      <c r="I149" s="49">
        <v>4600</v>
      </c>
      <c r="J149" s="47">
        <v>8.7399999999999984</v>
      </c>
      <c r="K149" s="50" t="s">
        <v>160</v>
      </c>
      <c r="L149" s="49">
        <v>425000</v>
      </c>
      <c r="M149" s="49">
        <v>76.5</v>
      </c>
      <c r="N149" s="50" t="s">
        <v>149</v>
      </c>
      <c r="O149" s="49">
        <v>3000</v>
      </c>
      <c r="P149" s="49">
        <v>0</v>
      </c>
      <c r="Q149" s="50"/>
      <c r="R149" s="49"/>
      <c r="S149" s="49" t="s">
        <v>201</v>
      </c>
      <c r="T149" s="50"/>
      <c r="U149" s="49"/>
      <c r="V149" s="47" t="s">
        <v>201</v>
      </c>
      <c r="Y149" s="33" t="s">
        <v>201</v>
      </c>
    </row>
    <row r="150" spans="1:25" hidden="1" x14ac:dyDescent="0.25">
      <c r="A150" s="33">
        <v>147</v>
      </c>
      <c r="B150" s="33" t="s">
        <v>204</v>
      </c>
      <c r="C150" s="47">
        <v>41</v>
      </c>
      <c r="D150" s="49">
        <v>311</v>
      </c>
      <c r="E150" s="49">
        <v>66</v>
      </c>
      <c r="F150" s="49">
        <v>245</v>
      </c>
      <c r="G150" s="49">
        <v>432600</v>
      </c>
      <c r="H150" s="50" t="s">
        <v>169</v>
      </c>
      <c r="I150" s="49">
        <v>4600</v>
      </c>
      <c r="J150" s="47">
        <v>8.7399999999999984</v>
      </c>
      <c r="K150" s="50" t="s">
        <v>160</v>
      </c>
      <c r="L150" s="49">
        <v>425000</v>
      </c>
      <c r="M150" s="49">
        <v>76.5</v>
      </c>
      <c r="N150" s="50" t="s">
        <v>168</v>
      </c>
      <c r="O150" s="49">
        <v>3000</v>
      </c>
      <c r="P150" s="49">
        <v>3</v>
      </c>
      <c r="Q150" s="50"/>
      <c r="R150" s="49"/>
      <c r="S150" s="49" t="s">
        <v>201</v>
      </c>
      <c r="T150" s="50"/>
      <c r="U150" s="49"/>
      <c r="V150" s="47" t="s">
        <v>201</v>
      </c>
      <c r="Y150" t="s">
        <v>201</v>
      </c>
    </row>
    <row r="151" spans="1:25" hidden="1" x14ac:dyDescent="0.25">
      <c r="A151" s="33">
        <v>148</v>
      </c>
      <c r="B151" s="33" t="s">
        <v>204</v>
      </c>
      <c r="C151" s="41">
        <v>41</v>
      </c>
      <c r="D151" s="41">
        <v>274.99999999999994</v>
      </c>
      <c r="E151" s="41">
        <v>104.99999999999999</v>
      </c>
      <c r="F151" s="41">
        <v>169.99999999999997</v>
      </c>
      <c r="G151" s="41">
        <v>500600</v>
      </c>
      <c r="H151" s="42" t="s">
        <v>69</v>
      </c>
      <c r="I151" s="41">
        <v>13600</v>
      </c>
      <c r="J151" s="41">
        <v>4.0813599999999992</v>
      </c>
      <c r="K151" s="42" t="s">
        <v>163</v>
      </c>
      <c r="L151" s="41">
        <v>400000</v>
      </c>
      <c r="M151" s="41">
        <v>51</v>
      </c>
      <c r="N151" s="42" t="s">
        <v>169</v>
      </c>
      <c r="O151" s="41">
        <v>87000</v>
      </c>
      <c r="P151" s="33">
        <v>165.29999999999998</v>
      </c>
      <c r="S151" s="33" t="s">
        <v>201</v>
      </c>
      <c r="V151" s="33" t="s">
        <v>201</v>
      </c>
      <c r="Y151" t="s">
        <v>201</v>
      </c>
    </row>
    <row r="152" spans="1:25" hidden="1" x14ac:dyDescent="0.25">
      <c r="A152" s="33">
        <v>149</v>
      </c>
      <c r="B152" s="33" t="s">
        <v>204</v>
      </c>
      <c r="C152" s="41">
        <v>41</v>
      </c>
      <c r="D152" s="41">
        <v>326</v>
      </c>
      <c r="E152" s="41">
        <v>73</v>
      </c>
      <c r="F152" s="41">
        <v>253</v>
      </c>
      <c r="G152" s="41">
        <v>433570</v>
      </c>
      <c r="H152" s="42" t="s">
        <v>169</v>
      </c>
      <c r="I152" s="41">
        <v>4600</v>
      </c>
      <c r="J152" s="41">
        <v>8.7399999999999984</v>
      </c>
      <c r="K152" s="42" t="s">
        <v>160</v>
      </c>
      <c r="L152" s="41">
        <v>425000</v>
      </c>
      <c r="M152" s="41">
        <v>76.5</v>
      </c>
      <c r="N152" s="42" t="s">
        <v>155</v>
      </c>
      <c r="O152" s="41">
        <v>3210</v>
      </c>
      <c r="P152" s="33">
        <v>1.9375</v>
      </c>
      <c r="Q152" s="33" t="s">
        <v>149</v>
      </c>
      <c r="R152" s="33">
        <v>760</v>
      </c>
      <c r="S152" s="33">
        <v>0</v>
      </c>
      <c r="V152" s="33" t="s">
        <v>201</v>
      </c>
      <c r="Y152" t="s">
        <v>201</v>
      </c>
    </row>
    <row r="153" spans="1:25" hidden="1" x14ac:dyDescent="0.25">
      <c r="A153" s="33">
        <v>150</v>
      </c>
      <c r="B153" s="33" t="s">
        <v>204</v>
      </c>
      <c r="C153" s="41">
        <v>41</v>
      </c>
      <c r="D153" s="41">
        <v>328</v>
      </c>
      <c r="E153" s="41">
        <v>63</v>
      </c>
      <c r="F153" s="41">
        <v>265</v>
      </c>
      <c r="G153" s="41">
        <v>430700</v>
      </c>
      <c r="H153" s="42" t="s">
        <v>154</v>
      </c>
      <c r="I153" s="41">
        <v>2700</v>
      </c>
      <c r="J153" s="41">
        <v>4.725E-3</v>
      </c>
      <c r="K153" s="42" t="s">
        <v>160</v>
      </c>
      <c r="L153" s="41">
        <v>425000</v>
      </c>
      <c r="M153" s="41">
        <v>76.5</v>
      </c>
      <c r="N153" s="42" t="s">
        <v>149</v>
      </c>
      <c r="O153" s="41">
        <v>3000</v>
      </c>
      <c r="P153" s="33">
        <v>0</v>
      </c>
      <c r="S153" s="33" t="s">
        <v>201</v>
      </c>
    </row>
    <row r="154" spans="1:25" hidden="1" x14ac:dyDescent="0.25">
      <c r="A154" s="33">
        <v>151</v>
      </c>
      <c r="B154" s="33" t="s">
        <v>204</v>
      </c>
      <c r="C154" s="41">
        <v>41</v>
      </c>
      <c r="D154" s="41">
        <v>303</v>
      </c>
      <c r="E154" s="41">
        <v>65</v>
      </c>
      <c r="F154" s="41">
        <v>238</v>
      </c>
      <c r="G154" s="41">
        <v>430700</v>
      </c>
      <c r="H154" s="42" t="s">
        <v>154</v>
      </c>
      <c r="I154" s="41">
        <v>2700</v>
      </c>
      <c r="J154" s="41">
        <v>4.725E-3</v>
      </c>
      <c r="K154" s="42" t="s">
        <v>160</v>
      </c>
      <c r="L154" s="41">
        <v>425000</v>
      </c>
      <c r="M154" s="41">
        <v>76.5</v>
      </c>
      <c r="N154" s="42" t="s">
        <v>168</v>
      </c>
      <c r="O154" s="41">
        <v>3000</v>
      </c>
      <c r="P154" s="33">
        <v>3</v>
      </c>
      <c r="S154" s="33" t="s">
        <v>201</v>
      </c>
    </row>
    <row r="155" spans="1:25" hidden="1" x14ac:dyDescent="0.25">
      <c r="A155" s="33">
        <v>152</v>
      </c>
      <c r="B155" s="33" t="s">
        <v>204</v>
      </c>
      <c r="C155" s="41">
        <v>41</v>
      </c>
      <c r="D155" s="41">
        <v>308</v>
      </c>
      <c r="E155" s="41">
        <v>67</v>
      </c>
      <c r="F155" s="41">
        <v>241</v>
      </c>
      <c r="G155" s="41">
        <v>432600</v>
      </c>
      <c r="H155" s="42" t="s">
        <v>169</v>
      </c>
      <c r="I155" s="41">
        <v>7600</v>
      </c>
      <c r="J155" s="41">
        <v>14.44</v>
      </c>
      <c r="K155" s="42" t="s">
        <v>160</v>
      </c>
      <c r="L155" s="41">
        <v>425000</v>
      </c>
      <c r="M155" s="41">
        <v>76.5</v>
      </c>
      <c r="N155" s="42"/>
      <c r="O155" s="41"/>
      <c r="P155" s="33" t="s">
        <v>201</v>
      </c>
      <c r="S155" s="33" t="s">
        <v>201</v>
      </c>
      <c r="V155" s="33" t="s">
        <v>201</v>
      </c>
      <c r="Y155" t="s">
        <v>201</v>
      </c>
    </row>
    <row r="156" spans="1:25" hidden="1" x14ac:dyDescent="0.25">
      <c r="A156" s="33">
        <v>153</v>
      </c>
      <c r="B156" s="33" t="s">
        <v>204</v>
      </c>
      <c r="C156" s="41">
        <v>41</v>
      </c>
      <c r="D156" s="41">
        <v>300.99999999999994</v>
      </c>
      <c r="E156" s="41">
        <v>131.99999999999997</v>
      </c>
      <c r="F156" s="41">
        <v>168.99999999999997</v>
      </c>
      <c r="G156" s="41">
        <v>481560</v>
      </c>
      <c r="H156" s="42" t="s">
        <v>69</v>
      </c>
      <c r="I156" s="41">
        <v>13600</v>
      </c>
      <c r="J156" s="41">
        <v>4.0813599999999992</v>
      </c>
      <c r="K156" s="42" t="s">
        <v>163</v>
      </c>
      <c r="L156" s="41">
        <v>400000</v>
      </c>
      <c r="M156" s="41">
        <v>51</v>
      </c>
      <c r="N156" s="42" t="s">
        <v>159</v>
      </c>
      <c r="O156" s="41">
        <v>64000</v>
      </c>
      <c r="P156" s="33">
        <v>11.52</v>
      </c>
      <c r="Q156" s="33" t="s">
        <v>155</v>
      </c>
      <c r="R156" s="33">
        <v>3210</v>
      </c>
      <c r="S156" s="33">
        <v>1.9375</v>
      </c>
      <c r="T156" s="33" t="s">
        <v>149</v>
      </c>
      <c r="U156" s="33">
        <v>750</v>
      </c>
      <c r="V156" s="33">
        <v>0</v>
      </c>
      <c r="Y156" t="s">
        <v>201</v>
      </c>
    </row>
    <row r="157" spans="1:25" hidden="1" x14ac:dyDescent="0.25">
      <c r="A157" s="33">
        <v>154</v>
      </c>
      <c r="B157" s="33" t="s">
        <v>204</v>
      </c>
      <c r="C157" s="41">
        <v>41</v>
      </c>
      <c r="D157" s="41">
        <v>321</v>
      </c>
      <c r="E157" s="41">
        <v>72</v>
      </c>
      <c r="F157" s="41">
        <v>249</v>
      </c>
      <c r="G157" s="41">
        <v>431670</v>
      </c>
      <c r="H157" s="42" t="s">
        <v>153</v>
      </c>
      <c r="I157" s="41">
        <v>2700</v>
      </c>
      <c r="J157" s="41">
        <v>0</v>
      </c>
      <c r="K157" s="42" t="s">
        <v>160</v>
      </c>
      <c r="L157" s="41">
        <v>425000</v>
      </c>
      <c r="M157" s="41">
        <v>76.5</v>
      </c>
      <c r="N157" s="42" t="s">
        <v>155</v>
      </c>
      <c r="O157" s="41">
        <v>3210</v>
      </c>
      <c r="P157" s="33">
        <v>1.9375</v>
      </c>
      <c r="Q157" s="33" t="s">
        <v>149</v>
      </c>
      <c r="R157" s="33">
        <v>760</v>
      </c>
      <c r="S157" s="33">
        <v>0</v>
      </c>
      <c r="V157" s="33" t="s">
        <v>201</v>
      </c>
      <c r="Y157" t="s">
        <v>201</v>
      </c>
    </row>
    <row r="158" spans="1:25" hidden="1" x14ac:dyDescent="0.25">
      <c r="A158" s="33">
        <v>155</v>
      </c>
      <c r="B158" s="33" t="s">
        <v>204</v>
      </c>
      <c r="C158" s="41">
        <v>41</v>
      </c>
      <c r="D158" s="41">
        <v>272</v>
      </c>
      <c r="E158" s="41">
        <v>99</v>
      </c>
      <c r="F158" s="41">
        <v>173</v>
      </c>
      <c r="G158" s="41">
        <v>502000</v>
      </c>
      <c r="H158" s="42" t="s">
        <v>149</v>
      </c>
      <c r="I158" s="41">
        <v>1000</v>
      </c>
      <c r="J158" s="41">
        <v>0</v>
      </c>
      <c r="K158" s="42" t="s">
        <v>160</v>
      </c>
      <c r="L158" s="41">
        <v>14000</v>
      </c>
      <c r="M158" s="41">
        <v>2.52</v>
      </c>
      <c r="N158" s="42" t="s">
        <v>163</v>
      </c>
      <c r="O158" s="41">
        <v>400000</v>
      </c>
      <c r="P158" s="33">
        <v>51</v>
      </c>
      <c r="Q158" s="33" t="s">
        <v>169</v>
      </c>
      <c r="R158" s="33">
        <v>87000</v>
      </c>
      <c r="S158" s="33">
        <v>165.29999999999998</v>
      </c>
      <c r="V158" s="33" t="s">
        <v>201</v>
      </c>
      <c r="Y158" t="s">
        <v>201</v>
      </c>
    </row>
    <row r="159" spans="1:25" hidden="1" x14ac:dyDescent="0.25">
      <c r="A159" s="33">
        <v>156</v>
      </c>
      <c r="B159" s="33" t="s">
        <v>204</v>
      </c>
      <c r="C159" s="41">
        <v>41</v>
      </c>
      <c r="D159" s="41">
        <v>298</v>
      </c>
      <c r="E159" s="41">
        <v>126</v>
      </c>
      <c r="F159" s="41">
        <v>172</v>
      </c>
      <c r="G159" s="41">
        <v>482960</v>
      </c>
      <c r="H159" s="42" t="s">
        <v>149</v>
      </c>
      <c r="I159" s="41">
        <v>1750</v>
      </c>
      <c r="J159" s="41">
        <v>0</v>
      </c>
      <c r="K159" s="42" t="s">
        <v>160</v>
      </c>
      <c r="L159" s="41">
        <v>14000</v>
      </c>
      <c r="M159" s="41">
        <v>2.52</v>
      </c>
      <c r="N159" s="42" t="s">
        <v>163</v>
      </c>
      <c r="O159" s="41">
        <v>400000</v>
      </c>
      <c r="P159" s="33">
        <v>51</v>
      </c>
      <c r="Q159" s="33" t="s">
        <v>159</v>
      </c>
      <c r="R159" s="33">
        <v>64000</v>
      </c>
      <c r="S159" s="33">
        <v>11.52</v>
      </c>
      <c r="T159" s="33" t="s">
        <v>155</v>
      </c>
      <c r="U159" s="33">
        <v>3210</v>
      </c>
      <c r="V159" s="33">
        <v>1.9375</v>
      </c>
      <c r="Y159" t="s">
        <v>201</v>
      </c>
    </row>
    <row r="160" spans="1:25" hidden="1" x14ac:dyDescent="0.25">
      <c r="A160" s="33">
        <v>157</v>
      </c>
      <c r="B160" s="33" t="s">
        <v>204</v>
      </c>
      <c r="C160" s="41">
        <v>41</v>
      </c>
      <c r="D160" s="41">
        <v>281</v>
      </c>
      <c r="E160" s="41">
        <v>121</v>
      </c>
      <c r="F160" s="41">
        <v>160</v>
      </c>
      <c r="G160" s="41">
        <v>482000</v>
      </c>
      <c r="H160" s="42" t="s">
        <v>149</v>
      </c>
      <c r="I160" s="41">
        <v>1000</v>
      </c>
      <c r="J160" s="41">
        <v>0</v>
      </c>
      <c r="K160" s="42" t="s">
        <v>160</v>
      </c>
      <c r="L160" s="41">
        <v>14000</v>
      </c>
      <c r="M160" s="41">
        <v>2.52</v>
      </c>
      <c r="N160" s="42" t="s">
        <v>163</v>
      </c>
      <c r="O160" s="41">
        <v>400000</v>
      </c>
      <c r="P160" s="33">
        <v>51</v>
      </c>
      <c r="Q160" s="33" t="s">
        <v>159</v>
      </c>
      <c r="R160" s="33">
        <v>64000</v>
      </c>
      <c r="S160" s="33">
        <v>11.52</v>
      </c>
      <c r="T160" s="33" t="s">
        <v>169</v>
      </c>
      <c r="U160" s="33">
        <v>3000</v>
      </c>
      <c r="V160" s="33">
        <v>5.6999999999999993</v>
      </c>
      <c r="Y160" t="s">
        <v>201</v>
      </c>
    </row>
    <row r="161" spans="1:25" hidden="1" x14ac:dyDescent="0.25">
      <c r="A161" s="33">
        <v>158</v>
      </c>
      <c r="B161" s="33" t="s">
        <v>204</v>
      </c>
      <c r="C161" s="41">
        <v>41</v>
      </c>
      <c r="D161" s="41">
        <v>297</v>
      </c>
      <c r="E161" s="41">
        <v>99</v>
      </c>
      <c r="F161" s="41">
        <v>198</v>
      </c>
      <c r="G161" s="41">
        <v>501300</v>
      </c>
      <c r="H161" s="42" t="s">
        <v>153</v>
      </c>
      <c r="I161" s="41">
        <v>14300</v>
      </c>
      <c r="J161" s="41">
        <v>0</v>
      </c>
      <c r="K161" s="42" t="s">
        <v>163</v>
      </c>
      <c r="L161" s="41">
        <v>400000</v>
      </c>
      <c r="M161" s="41">
        <v>51</v>
      </c>
      <c r="N161" s="42" t="s">
        <v>169</v>
      </c>
      <c r="O161" s="41">
        <v>87000</v>
      </c>
      <c r="P161" s="33">
        <v>165.29999999999998</v>
      </c>
      <c r="S161" s="33" t="s">
        <v>201</v>
      </c>
      <c r="V161" s="33" t="s">
        <v>201</v>
      </c>
      <c r="Y161" t="s">
        <v>201</v>
      </c>
    </row>
    <row r="162" spans="1:25" hidden="1" x14ac:dyDescent="0.25">
      <c r="A162" s="33">
        <v>159</v>
      </c>
      <c r="B162" s="33" t="s">
        <v>204</v>
      </c>
      <c r="C162" s="41">
        <v>41</v>
      </c>
      <c r="D162" s="41">
        <v>322.99999999999994</v>
      </c>
      <c r="E162" s="41">
        <v>125.99999999999999</v>
      </c>
      <c r="F162" s="41">
        <v>196.99999999999997</v>
      </c>
      <c r="G162" s="41">
        <v>482260</v>
      </c>
      <c r="H162" s="42" t="s">
        <v>153</v>
      </c>
      <c r="I162" s="41">
        <v>14300</v>
      </c>
      <c r="J162" s="41">
        <v>0</v>
      </c>
      <c r="K162" s="42" t="s">
        <v>163</v>
      </c>
      <c r="L162" s="41">
        <v>400000</v>
      </c>
      <c r="M162" s="41">
        <v>51</v>
      </c>
      <c r="N162" s="42" t="s">
        <v>159</v>
      </c>
      <c r="O162" s="41">
        <v>64000</v>
      </c>
      <c r="P162" s="33">
        <v>11.52</v>
      </c>
      <c r="Q162" s="33" t="s">
        <v>155</v>
      </c>
      <c r="R162" s="33">
        <v>3210</v>
      </c>
      <c r="S162" s="33">
        <v>1.9375</v>
      </c>
      <c r="T162" s="33" t="s">
        <v>149</v>
      </c>
      <c r="U162" s="33">
        <v>750</v>
      </c>
      <c r="V162" s="33">
        <v>0</v>
      </c>
      <c r="Y162" t="s">
        <v>201</v>
      </c>
    </row>
    <row r="163" spans="1:25" hidden="1" x14ac:dyDescent="0.25">
      <c r="A163" s="33">
        <v>160</v>
      </c>
      <c r="B163" s="33" t="s">
        <v>204</v>
      </c>
      <c r="C163" s="41">
        <v>41</v>
      </c>
      <c r="D163" s="41">
        <v>306</v>
      </c>
      <c r="E163" s="41">
        <v>121</v>
      </c>
      <c r="F163" s="41">
        <v>185</v>
      </c>
      <c r="G163" s="41">
        <v>481300</v>
      </c>
      <c r="H163" s="42" t="s">
        <v>153</v>
      </c>
      <c r="I163" s="41">
        <v>14300</v>
      </c>
      <c r="J163" s="41">
        <v>0</v>
      </c>
      <c r="K163" s="42" t="s">
        <v>163</v>
      </c>
      <c r="L163" s="41">
        <v>400000</v>
      </c>
      <c r="M163" s="41">
        <v>51</v>
      </c>
      <c r="N163" s="42" t="s">
        <v>159</v>
      </c>
      <c r="O163" s="41">
        <v>64000</v>
      </c>
      <c r="P163" s="33">
        <v>11.52</v>
      </c>
      <c r="Q163" s="33" t="s">
        <v>169</v>
      </c>
      <c r="R163" s="33">
        <v>3000</v>
      </c>
      <c r="S163" s="33">
        <v>5.6999999999999993</v>
      </c>
      <c r="V163" s="33" t="s">
        <v>201</v>
      </c>
      <c r="Y163" t="s">
        <v>201</v>
      </c>
    </row>
    <row r="164" spans="1:25" hidden="1" x14ac:dyDescent="0.25">
      <c r="A164" s="33">
        <v>161</v>
      </c>
      <c r="B164" s="33" t="s">
        <v>204</v>
      </c>
      <c r="C164" s="41">
        <v>41</v>
      </c>
      <c r="D164" s="41">
        <v>269</v>
      </c>
      <c r="E164" s="41">
        <v>99</v>
      </c>
      <c r="F164" s="41">
        <v>170</v>
      </c>
      <c r="G164" s="41">
        <v>500600</v>
      </c>
      <c r="H164" s="42" t="s">
        <v>169</v>
      </c>
      <c r="I164" s="41">
        <v>100600</v>
      </c>
      <c r="J164" s="41">
        <v>191.14</v>
      </c>
      <c r="K164" s="42" t="s">
        <v>163</v>
      </c>
      <c r="L164" s="41">
        <v>400000</v>
      </c>
      <c r="M164" s="41">
        <v>51</v>
      </c>
      <c r="N164" s="42"/>
      <c r="O164" s="41"/>
      <c r="P164" s="33" t="s">
        <v>201</v>
      </c>
      <c r="S164" s="33" t="s">
        <v>201</v>
      </c>
      <c r="V164" s="33" t="s">
        <v>201</v>
      </c>
      <c r="Y164" t="s">
        <v>201</v>
      </c>
    </row>
    <row r="165" spans="1:25" hidden="1" x14ac:dyDescent="0.25">
      <c r="A165" s="33">
        <v>162</v>
      </c>
      <c r="B165" s="33" t="s">
        <v>204</v>
      </c>
      <c r="C165" s="41">
        <v>41</v>
      </c>
      <c r="D165" s="41">
        <v>294.99999999999994</v>
      </c>
      <c r="E165" s="41">
        <v>125.99999999999999</v>
      </c>
      <c r="F165" s="41">
        <v>168.99999999999997</v>
      </c>
      <c r="G165" s="41">
        <v>481560</v>
      </c>
      <c r="H165" s="42" t="s">
        <v>169</v>
      </c>
      <c r="I165" s="41">
        <v>13600</v>
      </c>
      <c r="J165" s="41">
        <v>25.84</v>
      </c>
      <c r="K165" s="42" t="s">
        <v>163</v>
      </c>
      <c r="L165" s="41">
        <v>400000</v>
      </c>
      <c r="M165" s="41">
        <v>51</v>
      </c>
      <c r="N165" s="42" t="s">
        <v>159</v>
      </c>
      <c r="O165" s="41">
        <v>64000</v>
      </c>
      <c r="P165" s="33">
        <v>11.52</v>
      </c>
      <c r="Q165" s="33" t="s">
        <v>155</v>
      </c>
      <c r="R165" s="33">
        <v>3210</v>
      </c>
      <c r="S165" s="33">
        <v>1.9375</v>
      </c>
      <c r="T165" s="33" t="s">
        <v>149</v>
      </c>
      <c r="U165" s="33">
        <v>750</v>
      </c>
      <c r="V165" s="33">
        <v>0</v>
      </c>
      <c r="Y165" t="s">
        <v>201</v>
      </c>
    </row>
    <row r="166" spans="1:25" hidden="1" x14ac:dyDescent="0.25">
      <c r="A166" s="33">
        <v>163</v>
      </c>
      <c r="B166" s="33" t="s">
        <v>204</v>
      </c>
      <c r="C166" s="41">
        <v>41</v>
      </c>
      <c r="D166" s="41">
        <v>278</v>
      </c>
      <c r="E166" s="41">
        <v>121</v>
      </c>
      <c r="F166" s="41">
        <v>157</v>
      </c>
      <c r="G166" s="41">
        <v>480600</v>
      </c>
      <c r="H166" s="42" t="s">
        <v>169</v>
      </c>
      <c r="I166" s="41">
        <v>16600</v>
      </c>
      <c r="J166" s="41">
        <v>31.540000000000003</v>
      </c>
      <c r="K166" s="42" t="s">
        <v>163</v>
      </c>
      <c r="L166" s="41">
        <v>400000</v>
      </c>
      <c r="M166" s="41">
        <v>51</v>
      </c>
      <c r="N166" s="42" t="s">
        <v>159</v>
      </c>
      <c r="O166" s="41">
        <v>64000</v>
      </c>
      <c r="P166" s="33">
        <v>11.52</v>
      </c>
      <c r="S166" s="33" t="s">
        <v>201</v>
      </c>
      <c r="V166" s="33" t="s">
        <v>201</v>
      </c>
      <c r="Y166" t="s">
        <v>201</v>
      </c>
    </row>
    <row r="167" spans="1:25" hidden="1" x14ac:dyDescent="0.25">
      <c r="A167" s="33">
        <v>164</v>
      </c>
      <c r="B167" s="33" t="s">
        <v>204</v>
      </c>
      <c r="C167" s="41">
        <v>41</v>
      </c>
      <c r="D167" s="41">
        <v>302</v>
      </c>
      <c r="E167" s="41">
        <v>66</v>
      </c>
      <c r="F167" s="41">
        <v>236</v>
      </c>
      <c r="G167" s="41">
        <v>430700</v>
      </c>
      <c r="H167" s="42" t="s">
        <v>154</v>
      </c>
      <c r="I167" s="41">
        <v>2700</v>
      </c>
      <c r="J167" s="41">
        <v>4.725E-3</v>
      </c>
      <c r="K167" s="42" t="s">
        <v>160</v>
      </c>
      <c r="L167" s="41">
        <v>425000</v>
      </c>
      <c r="M167" s="41">
        <v>76.5</v>
      </c>
      <c r="N167" s="42" t="s">
        <v>169</v>
      </c>
      <c r="O167" s="41">
        <v>3000</v>
      </c>
      <c r="P167" s="33">
        <v>5.6999999999999993</v>
      </c>
      <c r="S167" s="33" t="s">
        <v>201</v>
      </c>
    </row>
    <row r="168" spans="1:25" hidden="1" x14ac:dyDescent="0.25">
      <c r="A168" s="33">
        <v>165</v>
      </c>
      <c r="B168" s="33" t="s">
        <v>204</v>
      </c>
      <c r="C168" s="41">
        <v>41</v>
      </c>
      <c r="D168" s="41">
        <v>284</v>
      </c>
      <c r="E168" s="41">
        <v>127</v>
      </c>
      <c r="F168" s="41">
        <v>157</v>
      </c>
      <c r="G168" s="41">
        <v>480600</v>
      </c>
      <c r="H168" s="42" t="s">
        <v>69</v>
      </c>
      <c r="I168" s="41">
        <v>13600</v>
      </c>
      <c r="J168" s="41">
        <v>4.0813599999999992</v>
      </c>
      <c r="K168" s="42" t="s">
        <v>163</v>
      </c>
      <c r="L168" s="41">
        <v>400000</v>
      </c>
      <c r="M168" s="41">
        <v>51</v>
      </c>
      <c r="N168" s="42" t="s">
        <v>159</v>
      </c>
      <c r="O168" s="41">
        <v>64000</v>
      </c>
      <c r="P168" s="33">
        <v>11.52</v>
      </c>
      <c r="Q168" s="33" t="s">
        <v>169</v>
      </c>
      <c r="R168" s="33">
        <v>3000</v>
      </c>
      <c r="S168" s="33">
        <v>5.6999999999999993</v>
      </c>
      <c r="V168" s="33" t="s">
        <v>201</v>
      </c>
      <c r="Y168" t="s">
        <v>201</v>
      </c>
    </row>
    <row r="169" spans="1:25" hidden="1" x14ac:dyDescent="0.25">
      <c r="A169" s="33">
        <v>166</v>
      </c>
      <c r="B169" s="33" t="s">
        <v>204</v>
      </c>
      <c r="C169" s="41">
        <v>41</v>
      </c>
      <c r="D169" s="41">
        <v>320</v>
      </c>
      <c r="E169" s="41">
        <v>72</v>
      </c>
      <c r="F169" s="41">
        <v>248</v>
      </c>
      <c r="G169" s="41">
        <v>431670</v>
      </c>
      <c r="H169" s="42" t="s">
        <v>154</v>
      </c>
      <c r="I169" s="41">
        <v>2700</v>
      </c>
      <c r="J169" s="41">
        <v>4.725E-3</v>
      </c>
      <c r="K169" s="42" t="s">
        <v>160</v>
      </c>
      <c r="L169" s="41">
        <v>425000</v>
      </c>
      <c r="M169" s="41">
        <v>76.5</v>
      </c>
      <c r="N169" s="42" t="s">
        <v>155</v>
      </c>
      <c r="O169" s="41">
        <v>3210</v>
      </c>
      <c r="P169" s="33">
        <v>1.9375</v>
      </c>
      <c r="Q169" s="33" t="s">
        <v>149</v>
      </c>
      <c r="R169" s="33">
        <v>760</v>
      </c>
      <c r="S169" s="33">
        <v>0</v>
      </c>
    </row>
    <row r="170" spans="1:25" hidden="1" x14ac:dyDescent="0.25">
      <c r="A170" s="33">
        <v>167</v>
      </c>
      <c r="B170" s="33" t="s">
        <v>204</v>
      </c>
      <c r="C170" s="41">
        <v>41</v>
      </c>
      <c r="D170" s="41">
        <v>312</v>
      </c>
      <c r="E170" s="41">
        <v>60</v>
      </c>
      <c r="F170" s="41">
        <v>252</v>
      </c>
      <c r="G170" s="41">
        <v>429600</v>
      </c>
      <c r="H170" s="42" t="s">
        <v>149</v>
      </c>
      <c r="I170" s="41">
        <v>1600</v>
      </c>
      <c r="J170" s="41">
        <v>0</v>
      </c>
      <c r="K170" s="42" t="s">
        <v>160</v>
      </c>
      <c r="L170" s="41">
        <v>425000</v>
      </c>
      <c r="M170" s="41">
        <v>76.5</v>
      </c>
      <c r="N170" s="42" t="s">
        <v>168</v>
      </c>
      <c r="O170" s="41">
        <v>3000</v>
      </c>
      <c r="P170" s="33">
        <v>3</v>
      </c>
      <c r="S170" s="33" t="s">
        <v>201</v>
      </c>
      <c r="V170" s="33" t="s">
        <v>201</v>
      </c>
      <c r="Y170" t="s">
        <v>201</v>
      </c>
    </row>
    <row r="171" spans="1:25" hidden="1" x14ac:dyDescent="0.25">
      <c r="A171" s="33">
        <v>168</v>
      </c>
      <c r="B171" s="33" t="s">
        <v>204</v>
      </c>
      <c r="C171" s="41">
        <v>41</v>
      </c>
      <c r="D171" s="41">
        <v>306</v>
      </c>
      <c r="E171" s="41">
        <v>65</v>
      </c>
      <c r="F171" s="41">
        <v>241</v>
      </c>
      <c r="G171" s="41">
        <v>430700</v>
      </c>
      <c r="H171" s="42" t="s">
        <v>153</v>
      </c>
      <c r="I171" s="41">
        <v>2700</v>
      </c>
      <c r="J171" s="41">
        <v>0</v>
      </c>
      <c r="K171" s="42" t="s">
        <v>160</v>
      </c>
      <c r="L171" s="41">
        <v>425000</v>
      </c>
      <c r="M171" s="41">
        <v>76.5</v>
      </c>
      <c r="N171" s="42" t="s">
        <v>168</v>
      </c>
      <c r="O171" s="41">
        <v>3000</v>
      </c>
      <c r="P171" s="33">
        <v>3</v>
      </c>
      <c r="S171" s="33" t="s">
        <v>201</v>
      </c>
      <c r="V171" s="33" t="s">
        <v>201</v>
      </c>
      <c r="Y171" t="s">
        <v>201</v>
      </c>
    </row>
    <row r="172" spans="1:25" hidden="1" x14ac:dyDescent="0.25">
      <c r="A172" s="33">
        <v>169</v>
      </c>
      <c r="B172" s="33" t="s">
        <v>204</v>
      </c>
      <c r="C172" s="41">
        <v>41</v>
      </c>
      <c r="D172" s="41">
        <v>329</v>
      </c>
      <c r="E172" s="41">
        <v>63</v>
      </c>
      <c r="F172" s="41">
        <v>266</v>
      </c>
      <c r="G172" s="41">
        <v>430700</v>
      </c>
      <c r="H172" s="42" t="s">
        <v>153</v>
      </c>
      <c r="I172" s="41">
        <v>2700</v>
      </c>
      <c r="J172" s="41">
        <v>0</v>
      </c>
      <c r="K172" s="42" t="s">
        <v>160</v>
      </c>
      <c r="L172" s="41">
        <v>425000</v>
      </c>
      <c r="M172" s="41">
        <v>76.5</v>
      </c>
      <c r="N172" s="42" t="s">
        <v>149</v>
      </c>
      <c r="O172" s="41">
        <v>3000</v>
      </c>
      <c r="P172" s="33">
        <v>0</v>
      </c>
      <c r="S172" s="33" t="s">
        <v>201</v>
      </c>
      <c r="V172" s="33" t="s">
        <v>201</v>
      </c>
      <c r="Y172" t="s">
        <v>201</v>
      </c>
    </row>
    <row r="173" spans="1:25" hidden="1" x14ac:dyDescent="0.25">
      <c r="A173" s="33">
        <v>170</v>
      </c>
      <c r="B173" s="33" t="s">
        <v>204</v>
      </c>
      <c r="C173" s="41">
        <v>41</v>
      </c>
      <c r="D173" s="41">
        <v>334</v>
      </c>
      <c r="E173" s="41">
        <v>0</v>
      </c>
      <c r="F173" s="41">
        <v>334</v>
      </c>
      <c r="G173" s="41">
        <v>406400</v>
      </c>
      <c r="H173" s="42" t="s">
        <v>149</v>
      </c>
      <c r="I173" s="41">
        <v>400</v>
      </c>
      <c r="J173" s="41">
        <v>0</v>
      </c>
      <c r="K173" s="42" t="s">
        <v>69</v>
      </c>
      <c r="L173" s="41">
        <v>406000</v>
      </c>
      <c r="M173" s="41">
        <v>121.84059999999999</v>
      </c>
      <c r="N173" s="42"/>
      <c r="O173" s="41"/>
      <c r="P173" s="33" t="s">
        <v>201</v>
      </c>
      <c r="S173" s="33" t="s">
        <v>201</v>
      </c>
      <c r="V173" s="33" t="s">
        <v>201</v>
      </c>
      <c r="Y173" t="s">
        <v>201</v>
      </c>
    </row>
    <row r="174" spans="1:25" hidden="1" x14ac:dyDescent="0.25">
      <c r="A174" s="33">
        <v>171</v>
      </c>
      <c r="B174" s="33" t="s">
        <v>204</v>
      </c>
      <c r="C174" s="41">
        <v>41</v>
      </c>
      <c r="D174" s="41">
        <v>326</v>
      </c>
      <c r="E174" s="41">
        <v>67</v>
      </c>
      <c r="F174" s="41">
        <v>259</v>
      </c>
      <c r="G174" s="41">
        <v>431870</v>
      </c>
      <c r="H174" s="42" t="s">
        <v>69</v>
      </c>
      <c r="I174" s="41">
        <v>2900</v>
      </c>
      <c r="J174" s="41">
        <v>0.8702899999999999</v>
      </c>
      <c r="K174" s="42" t="s">
        <v>160</v>
      </c>
      <c r="L174" s="41">
        <v>425000</v>
      </c>
      <c r="M174" s="41">
        <v>76.5</v>
      </c>
      <c r="N174" s="42" t="s">
        <v>155</v>
      </c>
      <c r="O174" s="41">
        <v>3210</v>
      </c>
      <c r="P174" s="33">
        <v>1.9375</v>
      </c>
      <c r="Q174" s="33" t="s">
        <v>149</v>
      </c>
      <c r="R174" s="33">
        <v>760</v>
      </c>
      <c r="S174" s="33">
        <v>0</v>
      </c>
      <c r="V174" s="33" t="s">
        <v>201</v>
      </c>
      <c r="Y174" t="s">
        <v>201</v>
      </c>
    </row>
    <row r="175" spans="1:25" hidden="1" x14ac:dyDescent="0.25">
      <c r="A175" s="33">
        <v>172</v>
      </c>
      <c r="B175" s="33" t="s">
        <v>204</v>
      </c>
      <c r="C175" s="41">
        <v>41</v>
      </c>
      <c r="D175" s="41">
        <v>308</v>
      </c>
      <c r="E175" s="41">
        <v>61</v>
      </c>
      <c r="F175" s="41">
        <v>247</v>
      </c>
      <c r="G175" s="41">
        <v>430900</v>
      </c>
      <c r="H175" s="42" t="s">
        <v>69</v>
      </c>
      <c r="I175" s="41">
        <v>2900</v>
      </c>
      <c r="J175" s="41">
        <v>0.8702899999999999</v>
      </c>
      <c r="K175" s="42" t="s">
        <v>160</v>
      </c>
      <c r="L175" s="41">
        <v>425000</v>
      </c>
      <c r="M175" s="41">
        <v>76.5</v>
      </c>
      <c r="N175" s="42" t="s">
        <v>169</v>
      </c>
      <c r="O175" s="41">
        <v>3000</v>
      </c>
      <c r="P175" s="33">
        <v>5.6999999999999993</v>
      </c>
      <c r="S175" s="33" t="s">
        <v>201</v>
      </c>
      <c r="V175" s="33" t="s">
        <v>201</v>
      </c>
      <c r="Y175" t="s">
        <v>201</v>
      </c>
    </row>
    <row r="176" spans="1:25" hidden="1" x14ac:dyDescent="0.25">
      <c r="A176" s="33">
        <v>173</v>
      </c>
      <c r="B176" s="33" t="s">
        <v>204</v>
      </c>
      <c r="C176" s="41">
        <v>41</v>
      </c>
      <c r="D176" s="41">
        <v>326</v>
      </c>
      <c r="E176" s="41">
        <v>67</v>
      </c>
      <c r="F176" s="41">
        <v>259</v>
      </c>
      <c r="G176" s="41">
        <v>431870</v>
      </c>
      <c r="H176" s="42" t="s">
        <v>69</v>
      </c>
      <c r="I176" s="41">
        <v>2900</v>
      </c>
      <c r="J176" s="41">
        <v>0.8702899999999999</v>
      </c>
      <c r="K176" s="42" t="s">
        <v>160</v>
      </c>
      <c r="L176" s="41">
        <v>425000</v>
      </c>
      <c r="M176" s="41">
        <v>76.5</v>
      </c>
      <c r="N176" s="42" t="s">
        <v>155</v>
      </c>
      <c r="O176" s="41">
        <v>3210</v>
      </c>
      <c r="P176" s="33">
        <v>1.9375</v>
      </c>
      <c r="Q176" s="33" t="s">
        <v>149</v>
      </c>
      <c r="R176" s="33">
        <v>760</v>
      </c>
      <c r="S176" s="33">
        <v>0</v>
      </c>
      <c r="V176" s="33" t="s">
        <v>201</v>
      </c>
      <c r="Y176" t="s">
        <v>201</v>
      </c>
    </row>
    <row r="177" spans="1:26" hidden="1" x14ac:dyDescent="0.25">
      <c r="A177" s="33">
        <v>174</v>
      </c>
      <c r="B177" s="33" t="s">
        <v>204</v>
      </c>
      <c r="C177" s="41">
        <v>41</v>
      </c>
      <c r="D177" s="41">
        <v>308</v>
      </c>
      <c r="E177" s="41">
        <v>61</v>
      </c>
      <c r="F177" s="41">
        <v>247</v>
      </c>
      <c r="G177" s="41">
        <v>430900</v>
      </c>
      <c r="H177" s="42" t="s">
        <v>69</v>
      </c>
      <c r="I177" s="41">
        <v>2900</v>
      </c>
      <c r="J177" s="41">
        <v>0.8702899999999999</v>
      </c>
      <c r="K177" s="42" t="s">
        <v>160</v>
      </c>
      <c r="L177" s="41">
        <v>425000</v>
      </c>
      <c r="M177" s="41">
        <v>76.5</v>
      </c>
      <c r="N177" s="42" t="s">
        <v>169</v>
      </c>
      <c r="O177" s="41">
        <v>3000</v>
      </c>
      <c r="P177" s="33">
        <v>5.6999999999999993</v>
      </c>
      <c r="S177" s="33" t="s">
        <v>201</v>
      </c>
      <c r="V177" s="33" t="s">
        <v>201</v>
      </c>
      <c r="Y177" t="s">
        <v>201</v>
      </c>
    </row>
    <row r="178" spans="1:26" ht="15" hidden="1" x14ac:dyDescent="0.25">
      <c r="A178" s="33">
        <v>175</v>
      </c>
      <c r="B178" s="33" t="s">
        <v>204</v>
      </c>
      <c r="C178" s="41">
        <v>41</v>
      </c>
      <c r="D178" s="41">
        <v>311</v>
      </c>
      <c r="E178" s="41">
        <v>60</v>
      </c>
      <c r="F178" s="41">
        <v>251</v>
      </c>
      <c r="G178" s="41">
        <v>430900</v>
      </c>
      <c r="H178" s="42" t="s">
        <v>69</v>
      </c>
      <c r="I178" s="41">
        <v>2900</v>
      </c>
      <c r="J178" s="41">
        <v>0.8702899999999999</v>
      </c>
      <c r="K178" s="42" t="s">
        <v>160</v>
      </c>
      <c r="L178" s="41">
        <v>425000</v>
      </c>
      <c r="M178" s="41">
        <v>76.5</v>
      </c>
      <c r="N178" s="42" t="s">
        <v>168</v>
      </c>
      <c r="O178" s="41">
        <v>3000</v>
      </c>
      <c r="P178" s="33">
        <v>3</v>
      </c>
      <c r="S178" s="33" t="s">
        <v>201</v>
      </c>
      <c r="V178" s="33" t="s">
        <v>201</v>
      </c>
      <c r="Y178" s="51" t="s">
        <v>201</v>
      </c>
      <c r="Z178" s="51"/>
    </row>
    <row r="179" spans="1:26" ht="15" hidden="1" x14ac:dyDescent="0.25">
      <c r="A179" s="33">
        <v>176</v>
      </c>
      <c r="B179" s="33" t="s">
        <v>204</v>
      </c>
      <c r="C179" s="41">
        <v>41</v>
      </c>
      <c r="D179" s="41">
        <v>310</v>
      </c>
      <c r="E179" s="41">
        <v>60</v>
      </c>
      <c r="F179" s="41">
        <v>250</v>
      </c>
      <c r="G179" s="41">
        <v>430900</v>
      </c>
      <c r="H179" s="42" t="s">
        <v>69</v>
      </c>
      <c r="I179" s="41">
        <v>2900</v>
      </c>
      <c r="J179" s="41">
        <v>0.8702899999999999</v>
      </c>
      <c r="K179" s="42" t="s">
        <v>160</v>
      </c>
      <c r="L179" s="41">
        <v>425000</v>
      </c>
      <c r="M179" s="41">
        <v>76.5</v>
      </c>
      <c r="N179" s="42" t="s">
        <v>168</v>
      </c>
      <c r="O179" s="41">
        <v>3000</v>
      </c>
      <c r="P179" s="33">
        <v>3</v>
      </c>
      <c r="Y179" s="51"/>
      <c r="Z179" s="51"/>
    </row>
    <row r="180" spans="1:26" ht="15" hidden="1" x14ac:dyDescent="0.25">
      <c r="A180" s="33">
        <v>177</v>
      </c>
      <c r="B180" s="33" t="s">
        <v>204</v>
      </c>
      <c r="C180" s="41">
        <v>41</v>
      </c>
      <c r="D180" s="41">
        <v>323</v>
      </c>
      <c r="E180" s="41">
        <v>71</v>
      </c>
      <c r="F180" s="41">
        <v>252</v>
      </c>
      <c r="G180" s="41">
        <v>431350</v>
      </c>
      <c r="H180" s="42" t="s">
        <v>159</v>
      </c>
      <c r="I180" s="41">
        <v>1530</v>
      </c>
      <c r="J180" s="41">
        <v>0.27539999999999998</v>
      </c>
      <c r="K180" s="42" t="s">
        <v>149</v>
      </c>
      <c r="L180" s="41">
        <v>1610</v>
      </c>
      <c r="M180" s="41">
        <v>0</v>
      </c>
      <c r="N180" s="42" t="s">
        <v>160</v>
      </c>
      <c r="O180" s="41">
        <v>425000</v>
      </c>
      <c r="P180" s="33">
        <v>76.5</v>
      </c>
      <c r="Q180" s="33" t="s">
        <v>155</v>
      </c>
      <c r="R180" s="33">
        <v>3210</v>
      </c>
      <c r="S180" s="33">
        <v>1.9375</v>
      </c>
      <c r="V180" s="33" t="s">
        <v>201</v>
      </c>
      <c r="Y180" s="51" t="s">
        <v>201</v>
      </c>
      <c r="Z180" s="51"/>
    </row>
    <row r="181" spans="1:26" ht="15" hidden="1" x14ac:dyDescent="0.25">
      <c r="A181" s="33">
        <v>178</v>
      </c>
      <c r="B181" s="33" t="s">
        <v>204</v>
      </c>
      <c r="C181" s="41">
        <v>41</v>
      </c>
      <c r="D181" s="41">
        <v>334</v>
      </c>
      <c r="E181" s="41">
        <v>58</v>
      </c>
      <c r="F181" s="41">
        <v>276</v>
      </c>
      <c r="G181" s="41">
        <v>430900</v>
      </c>
      <c r="H181" s="42" t="s">
        <v>69</v>
      </c>
      <c r="I181" s="41">
        <v>2900</v>
      </c>
      <c r="J181" s="41">
        <v>0.8702899999999999</v>
      </c>
      <c r="K181" s="42" t="s">
        <v>160</v>
      </c>
      <c r="L181" s="41">
        <v>425000</v>
      </c>
      <c r="M181" s="41">
        <v>76.5</v>
      </c>
      <c r="N181" s="42" t="s">
        <v>149</v>
      </c>
      <c r="O181" s="41">
        <v>3000</v>
      </c>
      <c r="P181" s="33">
        <v>0</v>
      </c>
      <c r="S181" s="33" t="s">
        <v>201</v>
      </c>
      <c r="V181" s="33" t="s">
        <v>201</v>
      </c>
      <c r="Y181" s="51" t="s">
        <v>201</v>
      </c>
      <c r="Z181" s="51"/>
    </row>
    <row r="182" spans="1:26" ht="15" hidden="1" x14ac:dyDescent="0.25">
      <c r="A182" s="33">
        <v>179</v>
      </c>
      <c r="B182" s="33" t="s">
        <v>204</v>
      </c>
      <c r="C182" s="41">
        <v>41</v>
      </c>
      <c r="D182" s="41">
        <v>308</v>
      </c>
      <c r="E182" s="41">
        <v>64</v>
      </c>
      <c r="F182" s="41">
        <v>244</v>
      </c>
      <c r="G182" s="41">
        <v>430380</v>
      </c>
      <c r="H182" s="42" t="s">
        <v>159</v>
      </c>
      <c r="I182" s="41">
        <v>1530</v>
      </c>
      <c r="J182" s="41">
        <v>0.27539999999999998</v>
      </c>
      <c r="K182" s="42" t="s">
        <v>149</v>
      </c>
      <c r="L182" s="41">
        <v>850</v>
      </c>
      <c r="M182" s="41">
        <v>0</v>
      </c>
      <c r="N182" s="42" t="s">
        <v>160</v>
      </c>
      <c r="O182" s="41">
        <v>425000</v>
      </c>
      <c r="P182" s="33">
        <v>76.5</v>
      </c>
      <c r="Q182" s="33" t="s">
        <v>168</v>
      </c>
      <c r="R182" s="33">
        <v>3000</v>
      </c>
      <c r="S182" s="33">
        <v>3</v>
      </c>
      <c r="V182" s="33" t="s">
        <v>201</v>
      </c>
      <c r="Y182" s="51" t="s">
        <v>201</v>
      </c>
      <c r="Z182" s="51"/>
    </row>
    <row r="183" spans="1:26" ht="15" hidden="1" x14ac:dyDescent="0.25">
      <c r="A183" s="33">
        <v>180</v>
      </c>
      <c r="B183" s="33" t="s">
        <v>204</v>
      </c>
      <c r="C183" s="41">
        <v>41</v>
      </c>
      <c r="D183" s="41">
        <v>307</v>
      </c>
      <c r="E183" s="41">
        <v>64</v>
      </c>
      <c r="F183" s="41">
        <v>243</v>
      </c>
      <c r="G183" s="41">
        <v>430380</v>
      </c>
      <c r="H183" s="42" t="s">
        <v>159</v>
      </c>
      <c r="I183" s="41">
        <v>1530</v>
      </c>
      <c r="J183" s="41">
        <v>0.27539999999999998</v>
      </c>
      <c r="K183" s="42" t="s">
        <v>149</v>
      </c>
      <c r="L183" s="41">
        <v>850</v>
      </c>
      <c r="M183" s="41">
        <v>0</v>
      </c>
      <c r="N183" s="42" t="s">
        <v>160</v>
      </c>
      <c r="O183" s="41">
        <v>425000</v>
      </c>
      <c r="P183" s="33">
        <v>76.5</v>
      </c>
      <c r="Q183" s="33" t="s">
        <v>168</v>
      </c>
      <c r="R183" s="33">
        <v>3000</v>
      </c>
      <c r="S183" s="33">
        <v>3</v>
      </c>
      <c r="Y183" s="51"/>
      <c r="Z183" s="51"/>
    </row>
    <row r="184" spans="1:26" ht="15" hidden="1" x14ac:dyDescent="0.25">
      <c r="A184" s="33">
        <v>181</v>
      </c>
      <c r="B184" s="33" t="s">
        <v>204</v>
      </c>
      <c r="C184" s="41">
        <v>41</v>
      </c>
      <c r="D184" s="41">
        <v>331</v>
      </c>
      <c r="E184" s="41">
        <v>62</v>
      </c>
      <c r="F184" s="41">
        <v>269</v>
      </c>
      <c r="G184" s="41">
        <v>430380</v>
      </c>
      <c r="H184" s="42" t="s">
        <v>159</v>
      </c>
      <c r="I184" s="41">
        <v>1530</v>
      </c>
      <c r="J184" s="41">
        <v>0.27539999999999998</v>
      </c>
      <c r="K184" s="42" t="s">
        <v>149</v>
      </c>
      <c r="L184" s="41">
        <v>3850</v>
      </c>
      <c r="M184" s="41">
        <v>0</v>
      </c>
      <c r="N184" s="42" t="s">
        <v>160</v>
      </c>
      <c r="O184" s="41">
        <v>425000</v>
      </c>
      <c r="P184" s="33">
        <v>76.5</v>
      </c>
      <c r="S184" s="33" t="s">
        <v>201</v>
      </c>
      <c r="V184" s="33" t="s">
        <v>201</v>
      </c>
      <c r="Y184" s="51" t="s">
        <v>201</v>
      </c>
      <c r="Z184" s="51"/>
    </row>
    <row r="185" spans="1:26" ht="15" hidden="1" x14ac:dyDescent="0.25">
      <c r="A185" s="33">
        <v>182</v>
      </c>
      <c r="B185" s="33" t="s">
        <v>204</v>
      </c>
      <c r="C185" s="41">
        <v>41</v>
      </c>
      <c r="D185" s="41">
        <v>327</v>
      </c>
      <c r="E185" s="41">
        <v>67</v>
      </c>
      <c r="F185" s="41">
        <v>260</v>
      </c>
      <c r="G185" s="41">
        <v>430570</v>
      </c>
      <c r="H185" s="42" t="s">
        <v>149</v>
      </c>
      <c r="I185" s="41">
        <v>2360</v>
      </c>
      <c r="J185" s="41">
        <v>0</v>
      </c>
      <c r="K185" s="42" t="s">
        <v>160</v>
      </c>
      <c r="L185" s="41">
        <v>425000</v>
      </c>
      <c r="M185" s="41">
        <v>76.5</v>
      </c>
      <c r="N185" s="42" t="s">
        <v>155</v>
      </c>
      <c r="O185" s="41">
        <v>3210</v>
      </c>
      <c r="P185" s="33">
        <v>1.9375</v>
      </c>
      <c r="S185" s="33" t="s">
        <v>201</v>
      </c>
      <c r="V185" s="33" t="s">
        <v>201</v>
      </c>
      <c r="Y185" s="51" t="s">
        <v>201</v>
      </c>
      <c r="Z185" s="51"/>
    </row>
    <row r="186" spans="1:26" ht="15" hidden="1" x14ac:dyDescent="0.25">
      <c r="A186" s="33">
        <v>183</v>
      </c>
      <c r="B186" s="33" t="s">
        <v>204</v>
      </c>
      <c r="C186" s="41">
        <v>41</v>
      </c>
      <c r="D186" s="41">
        <v>309</v>
      </c>
      <c r="E186" s="41">
        <v>61</v>
      </c>
      <c r="F186" s="41">
        <v>248</v>
      </c>
      <c r="G186" s="41">
        <v>429600</v>
      </c>
      <c r="H186" s="42" t="s">
        <v>149</v>
      </c>
      <c r="I186" s="41">
        <v>1600</v>
      </c>
      <c r="J186" s="41">
        <v>0</v>
      </c>
      <c r="K186" s="42" t="s">
        <v>160</v>
      </c>
      <c r="L186" s="41">
        <v>425000</v>
      </c>
      <c r="M186" s="41">
        <v>76.5</v>
      </c>
      <c r="N186" s="42" t="s">
        <v>169</v>
      </c>
      <c r="O186" s="41">
        <v>3000</v>
      </c>
      <c r="P186" s="33">
        <v>5.6999999999999993</v>
      </c>
      <c r="S186" s="33" t="s">
        <v>201</v>
      </c>
      <c r="V186" s="33" t="s">
        <v>201</v>
      </c>
      <c r="Y186" s="51" t="s">
        <v>201</v>
      </c>
      <c r="Z186" s="51"/>
    </row>
    <row r="187" spans="1:26" hidden="1" x14ac:dyDescent="0.25">
      <c r="A187" s="33">
        <v>184</v>
      </c>
      <c r="B187" s="33" t="s">
        <v>204</v>
      </c>
      <c r="C187" s="41">
        <v>41</v>
      </c>
      <c r="D187" s="41">
        <v>311</v>
      </c>
      <c r="E187" s="41">
        <v>60</v>
      </c>
      <c r="F187" s="41">
        <v>251</v>
      </c>
      <c r="G187" s="41">
        <v>429600</v>
      </c>
      <c r="H187" s="42" t="s">
        <v>149</v>
      </c>
      <c r="I187" s="41">
        <v>1600</v>
      </c>
      <c r="J187" s="41">
        <v>0</v>
      </c>
      <c r="K187" s="42" t="s">
        <v>160</v>
      </c>
      <c r="L187" s="41">
        <v>425000</v>
      </c>
      <c r="M187" s="41">
        <v>76.5</v>
      </c>
      <c r="N187" s="42" t="s">
        <v>168</v>
      </c>
      <c r="O187" s="41">
        <v>3000</v>
      </c>
      <c r="P187" s="33">
        <v>3</v>
      </c>
    </row>
    <row r="188" spans="1:26" hidden="1" x14ac:dyDescent="0.25">
      <c r="A188" s="33">
        <v>185</v>
      </c>
      <c r="B188" s="33" t="s">
        <v>204</v>
      </c>
      <c r="C188" s="41">
        <v>41</v>
      </c>
      <c r="D188" s="41">
        <v>335</v>
      </c>
      <c r="E188" s="41">
        <v>58</v>
      </c>
      <c r="F188" s="41">
        <v>277</v>
      </c>
      <c r="G188" s="41">
        <v>429600</v>
      </c>
      <c r="H188" s="42" t="s">
        <v>149</v>
      </c>
      <c r="I188" s="41">
        <v>4600</v>
      </c>
      <c r="J188" s="41">
        <v>0</v>
      </c>
      <c r="K188" s="42" t="s">
        <v>160</v>
      </c>
      <c r="L188" s="41">
        <v>425000</v>
      </c>
      <c r="M188" s="41">
        <v>76.5</v>
      </c>
      <c r="N188" s="42"/>
      <c r="O188" s="41"/>
      <c r="P188" s="33" t="s">
        <v>201</v>
      </c>
      <c r="S188" s="33" t="s">
        <v>201</v>
      </c>
      <c r="V188" s="33" t="s">
        <v>201</v>
      </c>
      <c r="Y188" t="s">
        <v>201</v>
      </c>
    </row>
    <row r="189" spans="1:26" hidden="1" x14ac:dyDescent="0.25">
      <c r="A189" s="33">
        <v>186</v>
      </c>
      <c r="B189" s="33" t="s">
        <v>204</v>
      </c>
      <c r="C189" s="41">
        <v>41</v>
      </c>
      <c r="D189" s="41">
        <v>303</v>
      </c>
      <c r="E189" s="41">
        <v>66</v>
      </c>
      <c r="F189" s="41">
        <v>237</v>
      </c>
      <c r="G189" s="41">
        <v>430700</v>
      </c>
      <c r="H189" s="42" t="s">
        <v>153</v>
      </c>
      <c r="I189" s="41">
        <v>2700</v>
      </c>
      <c r="J189" s="41">
        <v>0</v>
      </c>
      <c r="K189" s="42" t="s">
        <v>160</v>
      </c>
      <c r="L189" s="41">
        <v>425000</v>
      </c>
      <c r="M189" s="41">
        <v>76.5</v>
      </c>
      <c r="N189" s="42" t="s">
        <v>169</v>
      </c>
      <c r="O189" s="41">
        <v>3000</v>
      </c>
      <c r="P189" s="33">
        <v>5.6999999999999993</v>
      </c>
      <c r="S189" s="33" t="s">
        <v>201</v>
      </c>
      <c r="V189" s="33" t="s">
        <v>201</v>
      </c>
      <c r="Y189" t="s">
        <v>201</v>
      </c>
    </row>
    <row r="190" spans="1:26" hidden="1" x14ac:dyDescent="0.25">
      <c r="A190" s="33">
        <v>187</v>
      </c>
      <c r="B190" s="33" t="s">
        <v>204</v>
      </c>
      <c r="C190" s="41">
        <v>41</v>
      </c>
      <c r="D190" s="41">
        <v>305</v>
      </c>
      <c r="E190" s="41">
        <v>65</v>
      </c>
      <c r="F190" s="41">
        <v>240</v>
      </c>
      <c r="G190" s="41">
        <v>430380</v>
      </c>
      <c r="H190" s="42" t="s">
        <v>159</v>
      </c>
      <c r="I190" s="41">
        <v>1530</v>
      </c>
      <c r="J190" s="41">
        <v>0.27539999999999998</v>
      </c>
      <c r="K190" s="42" t="s">
        <v>149</v>
      </c>
      <c r="L190" s="41">
        <v>850</v>
      </c>
      <c r="M190" s="41">
        <v>0</v>
      </c>
      <c r="N190" s="42" t="s">
        <v>160</v>
      </c>
      <c r="O190" s="41">
        <v>425000</v>
      </c>
      <c r="P190" s="33">
        <v>76.5</v>
      </c>
      <c r="Q190" s="36" t="s">
        <v>169</v>
      </c>
      <c r="R190" s="33">
        <v>3000</v>
      </c>
      <c r="S190" s="33">
        <v>5.6999999999999993</v>
      </c>
      <c r="V190" s="33" t="s">
        <v>201</v>
      </c>
      <c r="Y190" t="s">
        <v>201</v>
      </c>
    </row>
    <row r="191" spans="1:26" hidden="1" x14ac:dyDescent="0.25">
      <c r="A191" s="33">
        <v>188</v>
      </c>
      <c r="B191" s="33" t="s">
        <v>204</v>
      </c>
      <c r="C191" s="41">
        <v>42</v>
      </c>
      <c r="D191" s="41">
        <v>381</v>
      </c>
      <c r="E191" s="41">
        <v>16</v>
      </c>
      <c r="F191" s="41">
        <v>365</v>
      </c>
      <c r="G191" s="41">
        <v>688210</v>
      </c>
      <c r="H191" s="42" t="s">
        <v>69</v>
      </c>
      <c r="I191" s="41">
        <v>1000</v>
      </c>
      <c r="J191" s="41">
        <v>0.30009999999999998</v>
      </c>
      <c r="K191" s="42" t="s">
        <v>160</v>
      </c>
      <c r="L191" s="41">
        <v>687210</v>
      </c>
      <c r="M191" s="41">
        <v>123.6978</v>
      </c>
      <c r="N191" s="42"/>
      <c r="O191" s="41"/>
      <c r="Q191" s="36"/>
    </row>
    <row r="192" spans="1:26" hidden="1" x14ac:dyDescent="0.25">
      <c r="A192" s="33">
        <v>189</v>
      </c>
      <c r="B192" s="33" t="s">
        <v>204</v>
      </c>
      <c r="C192" s="41">
        <v>42</v>
      </c>
      <c r="D192" s="41">
        <v>462</v>
      </c>
      <c r="E192" s="41">
        <v>159</v>
      </c>
      <c r="F192" s="41">
        <v>303</v>
      </c>
      <c r="G192" s="41">
        <v>554534</v>
      </c>
      <c r="H192" s="42" t="s">
        <v>149</v>
      </c>
      <c r="I192" s="41">
        <v>3050</v>
      </c>
      <c r="J192" s="41">
        <v>0</v>
      </c>
      <c r="K192" s="42" t="s">
        <v>160</v>
      </c>
      <c r="L192" s="41">
        <v>4624</v>
      </c>
      <c r="M192" s="41">
        <v>0.83231999999999995</v>
      </c>
      <c r="N192" s="42" t="s">
        <v>159</v>
      </c>
      <c r="O192" s="41">
        <v>58470</v>
      </c>
      <c r="P192" s="33">
        <v>10.5246</v>
      </c>
      <c r="Q192" s="36" t="s">
        <v>163</v>
      </c>
      <c r="R192" s="33">
        <v>484110</v>
      </c>
      <c r="S192" s="33">
        <v>51</v>
      </c>
      <c r="T192" s="33" t="s">
        <v>155</v>
      </c>
      <c r="U192" s="33">
        <v>4280</v>
      </c>
      <c r="V192" s="33">
        <v>1.9375</v>
      </c>
    </row>
    <row r="193" spans="1:25" hidden="1" x14ac:dyDescent="0.25">
      <c r="A193" s="33">
        <v>190</v>
      </c>
      <c r="B193" s="33" t="s">
        <v>204</v>
      </c>
      <c r="C193" s="41">
        <v>42</v>
      </c>
      <c r="D193" s="41">
        <v>422</v>
      </c>
      <c r="E193" s="41">
        <v>138</v>
      </c>
      <c r="F193" s="41">
        <v>284</v>
      </c>
      <c r="G193" s="41">
        <v>505704</v>
      </c>
      <c r="H193" s="42" t="s">
        <v>149</v>
      </c>
      <c r="I193" s="41">
        <v>2200</v>
      </c>
      <c r="J193" s="41">
        <v>0</v>
      </c>
      <c r="K193" s="42" t="s">
        <v>160</v>
      </c>
      <c r="L193" s="41">
        <v>4624</v>
      </c>
      <c r="M193" s="41">
        <v>0.83231999999999995</v>
      </c>
      <c r="N193" s="42" t="s">
        <v>159</v>
      </c>
      <c r="O193" s="41">
        <v>9340</v>
      </c>
      <c r="P193" s="33">
        <v>1.6811999999999998</v>
      </c>
      <c r="Q193" s="36" t="s">
        <v>163</v>
      </c>
      <c r="R193" s="33">
        <v>484110</v>
      </c>
      <c r="S193" s="33">
        <v>51</v>
      </c>
      <c r="T193" s="33" t="s">
        <v>169</v>
      </c>
      <c r="U193" s="33">
        <v>5430</v>
      </c>
      <c r="V193" s="33">
        <v>10.316999999999998</v>
      </c>
    </row>
    <row r="194" spans="1:25" hidden="1" x14ac:dyDescent="0.25">
      <c r="A194" s="33">
        <v>191</v>
      </c>
      <c r="B194" s="33" t="s">
        <v>204</v>
      </c>
      <c r="C194" s="52">
        <v>42</v>
      </c>
      <c r="D194" s="52">
        <v>319</v>
      </c>
      <c r="E194" s="52">
        <v>21</v>
      </c>
      <c r="F194" s="52">
        <v>298</v>
      </c>
      <c r="G194" s="52">
        <v>547990</v>
      </c>
      <c r="H194" s="53" t="s">
        <v>149</v>
      </c>
      <c r="I194" s="52">
        <v>1250</v>
      </c>
      <c r="J194" s="52">
        <v>0</v>
      </c>
      <c r="K194" s="53" t="s">
        <v>69</v>
      </c>
      <c r="L194" s="52">
        <v>9220</v>
      </c>
      <c r="M194" s="54">
        <v>2.7669220000000001</v>
      </c>
      <c r="N194" s="53" t="s">
        <v>163</v>
      </c>
      <c r="O194" s="52">
        <v>484110</v>
      </c>
      <c r="P194" s="52">
        <v>51</v>
      </c>
      <c r="Q194" s="53" t="s">
        <v>159</v>
      </c>
      <c r="R194" s="52">
        <v>49130</v>
      </c>
      <c r="S194" s="52">
        <v>8.8434000000000008</v>
      </c>
      <c r="T194" s="53" t="s">
        <v>155</v>
      </c>
      <c r="U194" s="52">
        <v>4280</v>
      </c>
      <c r="V194" s="52">
        <v>1.9375</v>
      </c>
    </row>
    <row r="195" spans="1:25" hidden="1" x14ac:dyDescent="0.25">
      <c r="A195" s="33">
        <v>192</v>
      </c>
      <c r="B195" s="33" t="s">
        <v>204</v>
      </c>
      <c r="C195" s="52">
        <v>42</v>
      </c>
      <c r="D195" s="52">
        <v>279</v>
      </c>
      <c r="E195" s="52">
        <v>0</v>
      </c>
      <c r="F195" s="52">
        <v>279</v>
      </c>
      <c r="G195" s="54">
        <v>499160</v>
      </c>
      <c r="H195" s="55" t="s">
        <v>149</v>
      </c>
      <c r="I195" s="54">
        <v>400</v>
      </c>
      <c r="J195" s="54">
        <v>0</v>
      </c>
      <c r="K195" s="53" t="s">
        <v>69</v>
      </c>
      <c r="L195" s="52">
        <v>9220</v>
      </c>
      <c r="M195" s="54">
        <v>2.7669220000000001</v>
      </c>
      <c r="N195" s="53" t="s">
        <v>163</v>
      </c>
      <c r="O195" s="52">
        <v>484110</v>
      </c>
      <c r="P195" s="52">
        <v>51</v>
      </c>
      <c r="Q195" s="53" t="s">
        <v>169</v>
      </c>
      <c r="R195" s="52">
        <v>5430</v>
      </c>
      <c r="S195" s="52">
        <v>10.316999999999998</v>
      </c>
      <c r="T195" s="53"/>
      <c r="U195" s="52"/>
      <c r="V195" s="52"/>
    </row>
    <row r="196" spans="1:25" hidden="1" x14ac:dyDescent="0.25">
      <c r="A196" s="33">
        <v>193</v>
      </c>
      <c r="B196" s="33" t="s">
        <v>204</v>
      </c>
      <c r="C196" s="52">
        <v>42</v>
      </c>
      <c r="D196" s="52">
        <v>393</v>
      </c>
      <c r="E196" s="52">
        <v>36</v>
      </c>
      <c r="F196" s="52">
        <v>357</v>
      </c>
      <c r="G196" s="52">
        <v>691170</v>
      </c>
      <c r="H196" s="53" t="s">
        <v>69</v>
      </c>
      <c r="I196" s="52">
        <v>1000</v>
      </c>
      <c r="J196" s="52">
        <v>0.30009999999999998</v>
      </c>
      <c r="K196" s="53" t="s">
        <v>160</v>
      </c>
      <c r="L196" s="52">
        <v>687210</v>
      </c>
      <c r="M196" s="54">
        <v>123.6978</v>
      </c>
      <c r="N196" s="53" t="s">
        <v>169</v>
      </c>
      <c r="O196" s="52">
        <v>2960</v>
      </c>
      <c r="P196" s="52">
        <v>5.6239999999999997</v>
      </c>
      <c r="Q196" s="53"/>
      <c r="R196" s="52"/>
      <c r="S196" s="52"/>
      <c r="T196" s="53"/>
      <c r="U196" s="52"/>
      <c r="V196" s="52"/>
    </row>
    <row r="197" spans="1:25" hidden="1" x14ac:dyDescent="0.25">
      <c r="A197" s="33">
        <v>194</v>
      </c>
      <c r="B197" s="33" t="s">
        <v>204</v>
      </c>
      <c r="C197" s="52">
        <v>42</v>
      </c>
      <c r="D197" s="52">
        <v>401.44941186683445</v>
      </c>
      <c r="E197" s="52">
        <v>16.469719461203464</v>
      </c>
      <c r="F197" s="52">
        <v>384.979692405631</v>
      </c>
      <c r="G197" s="52">
        <v>691170</v>
      </c>
      <c r="H197" s="53" t="s">
        <v>149</v>
      </c>
      <c r="I197" s="52">
        <v>1000</v>
      </c>
      <c r="J197" s="52">
        <v>0</v>
      </c>
      <c r="K197" s="53" t="s">
        <v>160</v>
      </c>
      <c r="L197" s="52">
        <v>687210</v>
      </c>
      <c r="M197" s="54">
        <v>123.6978</v>
      </c>
      <c r="N197" s="53" t="s">
        <v>149</v>
      </c>
      <c r="O197" s="52">
        <v>1161</v>
      </c>
      <c r="P197" s="52">
        <v>0</v>
      </c>
      <c r="Q197" s="53" t="s">
        <v>159</v>
      </c>
      <c r="R197" s="52">
        <v>17960</v>
      </c>
      <c r="S197" s="52">
        <v>3.2328000000000001</v>
      </c>
      <c r="T197" s="53" t="s">
        <v>155</v>
      </c>
      <c r="U197" s="52">
        <v>4130</v>
      </c>
      <c r="V197" s="52">
        <v>1.9375</v>
      </c>
    </row>
    <row r="198" spans="1:25" hidden="1" x14ac:dyDescent="0.25">
      <c r="A198" s="33">
        <v>195</v>
      </c>
      <c r="B198" s="33" t="s">
        <v>204</v>
      </c>
      <c r="C198" s="52">
        <v>42</v>
      </c>
      <c r="D198" s="52">
        <v>378</v>
      </c>
      <c r="E198" s="52">
        <v>16</v>
      </c>
      <c r="F198" s="52">
        <v>362</v>
      </c>
      <c r="G198" s="52">
        <v>691170</v>
      </c>
      <c r="H198" s="53" t="s">
        <v>154</v>
      </c>
      <c r="I198" s="52">
        <v>1000</v>
      </c>
      <c r="J198" s="52">
        <v>1.75E-3</v>
      </c>
      <c r="K198" s="53" t="s">
        <v>160</v>
      </c>
      <c r="L198" s="52">
        <v>687210</v>
      </c>
      <c r="M198" s="54">
        <v>123.6978</v>
      </c>
      <c r="N198" s="53" t="s">
        <v>169</v>
      </c>
      <c r="O198" s="52">
        <v>2960</v>
      </c>
      <c r="P198" s="52">
        <v>5.6239999999999997</v>
      </c>
      <c r="Q198" s="53"/>
      <c r="R198" s="52"/>
      <c r="S198" s="52"/>
      <c r="T198" s="53"/>
      <c r="U198" s="52"/>
      <c r="V198" s="52"/>
    </row>
    <row r="199" spans="1:25" hidden="1" x14ac:dyDescent="0.25">
      <c r="A199" s="33">
        <v>196</v>
      </c>
      <c r="B199" s="33" t="s">
        <v>204</v>
      </c>
      <c r="C199" s="52">
        <v>42</v>
      </c>
      <c r="D199" s="52">
        <v>393.21455213623273</v>
      </c>
      <c r="E199" s="52">
        <v>16.469719461203464</v>
      </c>
      <c r="F199" s="52">
        <v>376.74483267502927</v>
      </c>
      <c r="G199" s="52">
        <v>691170</v>
      </c>
      <c r="H199" s="53" t="s">
        <v>153</v>
      </c>
      <c r="I199" s="52">
        <v>1000</v>
      </c>
      <c r="J199" s="52">
        <v>0</v>
      </c>
      <c r="K199" s="53" t="s">
        <v>160</v>
      </c>
      <c r="L199" s="52">
        <v>687210</v>
      </c>
      <c r="M199" s="54">
        <v>123.6978</v>
      </c>
      <c r="N199" s="53" t="s">
        <v>149</v>
      </c>
      <c r="O199" s="52">
        <v>1161</v>
      </c>
      <c r="P199" s="52">
        <v>0</v>
      </c>
      <c r="Q199" s="53" t="s">
        <v>159</v>
      </c>
      <c r="R199" s="52">
        <v>17960</v>
      </c>
      <c r="S199" s="52">
        <v>3.2328000000000001</v>
      </c>
      <c r="T199" s="53" t="s">
        <v>155</v>
      </c>
      <c r="U199" s="52">
        <v>4130</v>
      </c>
      <c r="V199" s="52">
        <v>1.9375</v>
      </c>
    </row>
    <row r="200" spans="1:25" hidden="1" x14ac:dyDescent="0.25">
      <c r="A200" s="33">
        <v>197</v>
      </c>
      <c r="B200" s="33" t="s">
        <v>204</v>
      </c>
      <c r="C200" s="52">
        <v>42</v>
      </c>
      <c r="D200" s="52">
        <v>394</v>
      </c>
      <c r="E200" s="52">
        <v>36</v>
      </c>
      <c r="F200" s="52">
        <v>358</v>
      </c>
      <c r="G200" s="52">
        <v>691170</v>
      </c>
      <c r="H200" s="53" t="s">
        <v>153</v>
      </c>
      <c r="I200" s="52">
        <v>1000</v>
      </c>
      <c r="J200" s="52">
        <v>0</v>
      </c>
      <c r="K200" s="53" t="s">
        <v>160</v>
      </c>
      <c r="L200" s="52">
        <v>687210</v>
      </c>
      <c r="M200" s="54">
        <v>123.6978</v>
      </c>
      <c r="N200" s="53" t="s">
        <v>169</v>
      </c>
      <c r="O200" s="52">
        <v>2960</v>
      </c>
      <c r="P200" s="52">
        <v>5.6239999999999997</v>
      </c>
      <c r="Q200" s="53"/>
      <c r="R200" s="52"/>
      <c r="S200" s="52"/>
      <c r="T200" s="53"/>
      <c r="U200" s="52"/>
      <c r="V200" s="52"/>
    </row>
    <row r="201" spans="1:25" hidden="1" x14ac:dyDescent="0.25">
      <c r="A201" s="33">
        <v>198</v>
      </c>
      <c r="B201" s="33" t="s">
        <v>204</v>
      </c>
      <c r="C201" s="52">
        <v>42</v>
      </c>
      <c r="D201" s="52">
        <v>401.99999999999994</v>
      </c>
      <c r="E201" s="52">
        <v>35.999999999999993</v>
      </c>
      <c r="F201" s="52">
        <v>365.99999999999994</v>
      </c>
      <c r="G201" s="52">
        <v>692331</v>
      </c>
      <c r="H201" s="53" t="s">
        <v>149</v>
      </c>
      <c r="I201" s="52">
        <v>2161</v>
      </c>
      <c r="J201" s="52">
        <v>0</v>
      </c>
      <c r="K201" s="53" t="s">
        <v>160</v>
      </c>
      <c r="L201" s="52">
        <v>687210</v>
      </c>
      <c r="M201" s="54">
        <v>123.6978</v>
      </c>
      <c r="N201" s="53" t="s">
        <v>169</v>
      </c>
      <c r="O201" s="52">
        <v>2960</v>
      </c>
      <c r="P201" s="52">
        <v>5.6239999999999997</v>
      </c>
      <c r="Q201" s="53"/>
      <c r="R201" s="52"/>
      <c r="S201" s="52"/>
      <c r="T201" s="53"/>
      <c r="U201" s="52"/>
      <c r="V201" s="52"/>
    </row>
    <row r="202" spans="1:25" hidden="1" x14ac:dyDescent="0.25">
      <c r="A202" s="33">
        <v>199</v>
      </c>
      <c r="B202" s="33" t="s">
        <v>204</v>
      </c>
      <c r="C202" s="52">
        <v>42</v>
      </c>
      <c r="D202" s="52">
        <v>469.99999999999994</v>
      </c>
      <c r="E202" s="52">
        <v>0</v>
      </c>
      <c r="F202" s="52">
        <v>469.99999999999994</v>
      </c>
      <c r="G202" s="52">
        <v>641490</v>
      </c>
      <c r="H202" s="53" t="s">
        <v>149</v>
      </c>
      <c r="I202" s="52">
        <v>400</v>
      </c>
      <c r="J202" s="52">
        <v>0</v>
      </c>
      <c r="K202" s="53" t="s">
        <v>69</v>
      </c>
      <c r="L202" s="52">
        <v>619000</v>
      </c>
      <c r="M202" s="54">
        <v>185.7619</v>
      </c>
      <c r="N202" s="53" t="s">
        <v>159</v>
      </c>
      <c r="O202" s="52">
        <v>17960</v>
      </c>
      <c r="P202" s="52">
        <v>3.2328000000000001</v>
      </c>
      <c r="Q202" s="53" t="s">
        <v>155</v>
      </c>
      <c r="R202" s="52">
        <v>4130</v>
      </c>
      <c r="S202" s="54">
        <v>1.9375</v>
      </c>
      <c r="T202" s="55"/>
      <c r="U202" s="52"/>
      <c r="V202" s="52"/>
    </row>
    <row r="203" spans="1:25" hidden="1" x14ac:dyDescent="0.25">
      <c r="A203" s="33">
        <v>200</v>
      </c>
      <c r="B203" s="33" t="s">
        <v>204</v>
      </c>
      <c r="C203" s="52">
        <v>42</v>
      </c>
      <c r="D203" s="56">
        <v>389.09712227093183</v>
      </c>
      <c r="E203" s="56">
        <v>16.469719461203464</v>
      </c>
      <c r="F203" s="56">
        <v>372.62740280972838</v>
      </c>
      <c r="G203" s="56">
        <v>691170</v>
      </c>
      <c r="H203" s="53" t="s">
        <v>154</v>
      </c>
      <c r="I203" s="56">
        <v>1000</v>
      </c>
      <c r="J203" s="52">
        <v>1.75E-3</v>
      </c>
      <c r="K203" s="57" t="s">
        <v>160</v>
      </c>
      <c r="L203" s="56">
        <v>687210</v>
      </c>
      <c r="M203" s="54">
        <v>123.6978</v>
      </c>
      <c r="N203" s="57" t="s">
        <v>149</v>
      </c>
      <c r="O203" s="56">
        <v>1161</v>
      </c>
      <c r="P203" s="52">
        <v>0</v>
      </c>
      <c r="Q203" s="53" t="s">
        <v>159</v>
      </c>
      <c r="R203" s="56">
        <v>17960</v>
      </c>
      <c r="S203" s="52">
        <v>3.2328000000000001</v>
      </c>
      <c r="T203" s="57" t="s">
        <v>155</v>
      </c>
      <c r="U203" s="56">
        <v>4130</v>
      </c>
      <c r="V203" s="52">
        <v>1.9375</v>
      </c>
    </row>
    <row r="204" spans="1:25" hidden="1" x14ac:dyDescent="0.25">
      <c r="A204" s="33">
        <v>201</v>
      </c>
      <c r="B204" s="33" t="s">
        <v>204</v>
      </c>
      <c r="C204" s="52">
        <v>43</v>
      </c>
      <c r="D204" s="54">
        <v>451</v>
      </c>
      <c r="E204" s="54">
        <v>137</v>
      </c>
      <c r="F204" s="54">
        <v>314</v>
      </c>
      <c r="G204" s="54">
        <v>406660</v>
      </c>
      <c r="H204" s="53" t="s">
        <v>149</v>
      </c>
      <c r="I204" s="54">
        <v>2330</v>
      </c>
      <c r="J204" s="52">
        <v>0</v>
      </c>
      <c r="K204" s="55" t="s">
        <v>159</v>
      </c>
      <c r="L204" s="54">
        <v>74770</v>
      </c>
      <c r="M204" s="54">
        <v>13.458599999999999</v>
      </c>
      <c r="N204" s="55" t="s">
        <v>155</v>
      </c>
      <c r="O204" s="54">
        <v>3460</v>
      </c>
      <c r="P204" s="52">
        <v>1.9375</v>
      </c>
      <c r="Q204" s="53" t="s">
        <v>163</v>
      </c>
      <c r="R204" s="54">
        <v>308580</v>
      </c>
      <c r="S204" s="52">
        <v>51</v>
      </c>
      <c r="T204" s="53" t="s">
        <v>156</v>
      </c>
      <c r="U204" s="54">
        <v>4750</v>
      </c>
      <c r="V204" s="52">
        <v>1.9375</v>
      </c>
      <c r="W204" s="33" t="s">
        <v>155</v>
      </c>
      <c r="X204" s="33">
        <v>12770</v>
      </c>
      <c r="Y204">
        <v>1.9375</v>
      </c>
    </row>
    <row r="205" spans="1:25" hidden="1" x14ac:dyDescent="0.25">
      <c r="A205" s="33">
        <v>202</v>
      </c>
      <c r="B205" s="33" t="s">
        <v>204</v>
      </c>
      <c r="C205" s="52">
        <v>43</v>
      </c>
      <c r="D205" s="56">
        <v>394</v>
      </c>
      <c r="E205" s="56">
        <v>104</v>
      </c>
      <c r="F205" s="56">
        <v>290</v>
      </c>
      <c r="G205" s="56">
        <v>358280</v>
      </c>
      <c r="H205" s="53" t="s">
        <v>149</v>
      </c>
      <c r="I205" s="56">
        <v>1040</v>
      </c>
      <c r="J205" s="52">
        <v>0</v>
      </c>
      <c r="K205" s="53" t="s">
        <v>159</v>
      </c>
      <c r="L205" s="56">
        <v>40350</v>
      </c>
      <c r="M205" s="54">
        <v>7.2629999999999999</v>
      </c>
      <c r="N205" s="53" t="s">
        <v>155</v>
      </c>
      <c r="O205" s="56">
        <v>3460</v>
      </c>
      <c r="P205" s="52">
        <v>1.9375</v>
      </c>
      <c r="Q205" s="57" t="s">
        <v>163</v>
      </c>
      <c r="R205" s="56">
        <v>308580</v>
      </c>
      <c r="S205" s="52">
        <v>51</v>
      </c>
      <c r="T205" s="53" t="s">
        <v>169</v>
      </c>
      <c r="U205" s="56">
        <v>4850</v>
      </c>
      <c r="V205" s="52">
        <v>9.2149999999999981</v>
      </c>
    </row>
    <row r="206" spans="1:25" hidden="1" x14ac:dyDescent="0.25">
      <c r="A206" s="33">
        <v>203</v>
      </c>
      <c r="B206" s="33" t="s">
        <v>204</v>
      </c>
      <c r="C206" s="52">
        <v>43</v>
      </c>
      <c r="D206" s="54">
        <v>393</v>
      </c>
      <c r="E206" s="54">
        <v>117</v>
      </c>
      <c r="F206" s="54">
        <v>276</v>
      </c>
      <c r="G206" s="54">
        <v>365170</v>
      </c>
      <c r="H206" s="53" t="s">
        <v>149</v>
      </c>
      <c r="I206" s="54">
        <v>1700</v>
      </c>
      <c r="J206" s="52">
        <v>0</v>
      </c>
      <c r="K206" s="53" t="s">
        <v>69</v>
      </c>
      <c r="L206" s="54">
        <v>2950</v>
      </c>
      <c r="M206" s="54">
        <v>0.88529499999999994</v>
      </c>
      <c r="N206" s="53" t="s">
        <v>163</v>
      </c>
      <c r="O206" s="54">
        <v>308580</v>
      </c>
      <c r="P206" s="52">
        <v>51</v>
      </c>
      <c r="Q206" s="55" t="s">
        <v>156</v>
      </c>
      <c r="R206" s="54">
        <v>4750</v>
      </c>
      <c r="S206" s="52">
        <v>1.9375</v>
      </c>
      <c r="T206" s="53" t="s">
        <v>159</v>
      </c>
      <c r="U206" s="54">
        <v>34420</v>
      </c>
      <c r="V206" s="52">
        <v>6.1955999999999998</v>
      </c>
      <c r="W206" s="33" t="s">
        <v>155</v>
      </c>
      <c r="X206" s="33">
        <v>12770</v>
      </c>
      <c r="Y206">
        <v>1.9375</v>
      </c>
    </row>
    <row r="207" spans="1:25" hidden="1" x14ac:dyDescent="0.25">
      <c r="A207" s="33">
        <v>204</v>
      </c>
      <c r="B207" s="33" t="s">
        <v>204</v>
      </c>
      <c r="C207" s="58">
        <v>43</v>
      </c>
      <c r="D207" s="58">
        <v>345</v>
      </c>
      <c r="E207" s="58">
        <v>93</v>
      </c>
      <c r="F207" s="58">
        <v>252</v>
      </c>
      <c r="G207" s="59">
        <v>316780</v>
      </c>
      <c r="H207" s="60" t="s">
        <v>149</v>
      </c>
      <c r="I207" s="58">
        <v>400</v>
      </c>
      <c r="J207" s="58">
        <v>0</v>
      </c>
      <c r="K207" s="61" t="s">
        <v>69</v>
      </c>
      <c r="L207" s="58">
        <v>2950</v>
      </c>
      <c r="M207" s="59">
        <v>0.88529499999999994</v>
      </c>
      <c r="N207" s="61" t="s">
        <v>163</v>
      </c>
      <c r="O207" s="58">
        <v>308580</v>
      </c>
      <c r="P207" s="58">
        <v>51</v>
      </c>
      <c r="Q207" s="58" t="s">
        <v>169</v>
      </c>
      <c r="R207" s="58">
        <v>4850</v>
      </c>
      <c r="S207" s="58">
        <v>9.2149999999999981</v>
      </c>
      <c r="T207" s="58"/>
      <c r="U207" s="58"/>
      <c r="V207" s="58"/>
    </row>
    <row r="208" spans="1:25" hidden="1" x14ac:dyDescent="0.25">
      <c r="A208" s="33">
        <v>205</v>
      </c>
      <c r="B208" s="33" t="s">
        <v>204</v>
      </c>
      <c r="C208" s="58">
        <v>43</v>
      </c>
      <c r="D208" s="62">
        <v>380</v>
      </c>
      <c r="E208" s="62">
        <v>106</v>
      </c>
      <c r="F208" s="62">
        <v>274</v>
      </c>
      <c r="G208" s="62">
        <v>445090</v>
      </c>
      <c r="H208" s="63" t="s">
        <v>149</v>
      </c>
      <c r="I208" s="62">
        <v>1050</v>
      </c>
      <c r="J208" s="58">
        <v>0</v>
      </c>
      <c r="K208" s="63" t="s">
        <v>159</v>
      </c>
      <c r="L208" s="62">
        <v>149880</v>
      </c>
      <c r="M208" s="59">
        <v>26.978399999999997</v>
      </c>
      <c r="N208" s="62" t="s">
        <v>160</v>
      </c>
      <c r="O208" s="62">
        <v>284260</v>
      </c>
      <c r="P208" s="58">
        <v>51.166799999999995</v>
      </c>
      <c r="Q208" s="63" t="s">
        <v>169</v>
      </c>
      <c r="R208" s="62">
        <v>9900</v>
      </c>
      <c r="S208" s="58">
        <v>18.809999999999999</v>
      </c>
      <c r="T208" s="62"/>
      <c r="U208" s="62"/>
      <c r="V208" s="58"/>
    </row>
    <row r="209" spans="1:24" hidden="1" x14ac:dyDescent="0.25">
      <c r="A209" s="33">
        <v>206</v>
      </c>
      <c r="B209" s="33" t="s">
        <v>204</v>
      </c>
      <c r="C209" s="58">
        <v>43</v>
      </c>
      <c r="D209" s="59">
        <v>387</v>
      </c>
      <c r="E209" s="59">
        <v>81</v>
      </c>
      <c r="F209" s="59">
        <v>306</v>
      </c>
      <c r="G209" s="59">
        <v>448170</v>
      </c>
      <c r="H209" s="60" t="s">
        <v>149</v>
      </c>
      <c r="I209" s="59">
        <v>950</v>
      </c>
      <c r="J209" s="58">
        <v>0</v>
      </c>
      <c r="K209" s="60" t="s">
        <v>69</v>
      </c>
      <c r="L209" s="59">
        <v>3640</v>
      </c>
      <c r="M209" s="59">
        <v>1.0923639999999999</v>
      </c>
      <c r="N209" s="59" t="s">
        <v>160</v>
      </c>
      <c r="O209" s="59">
        <v>284260</v>
      </c>
      <c r="P209" s="58">
        <v>51.166799999999995</v>
      </c>
      <c r="Q209" s="60" t="s">
        <v>159</v>
      </c>
      <c r="R209" s="59">
        <v>146790</v>
      </c>
      <c r="S209" s="58">
        <v>26.422199999999997</v>
      </c>
      <c r="T209" s="59" t="s">
        <v>155</v>
      </c>
      <c r="U209" s="59">
        <v>12530</v>
      </c>
      <c r="V209" s="58">
        <v>1.9375</v>
      </c>
    </row>
    <row r="210" spans="1:24" hidden="1" x14ac:dyDescent="0.25">
      <c r="A210" s="33">
        <v>207</v>
      </c>
      <c r="B210" s="33" t="s">
        <v>204</v>
      </c>
      <c r="C210" s="58">
        <v>43</v>
      </c>
      <c r="D210" s="62">
        <v>402</v>
      </c>
      <c r="E210" s="62">
        <v>116</v>
      </c>
      <c r="F210" s="62">
        <v>286</v>
      </c>
      <c r="G210" s="62">
        <v>448270</v>
      </c>
      <c r="H210" s="63" t="s">
        <v>149</v>
      </c>
      <c r="I210" s="62">
        <v>1600</v>
      </c>
      <c r="J210" s="58">
        <v>0</v>
      </c>
      <c r="K210" s="63" t="s">
        <v>159</v>
      </c>
      <c r="L210" s="62">
        <v>149880</v>
      </c>
      <c r="M210" s="59">
        <v>26.978399999999997</v>
      </c>
      <c r="N210" s="62" t="s">
        <v>160</v>
      </c>
      <c r="O210" s="62">
        <v>284260</v>
      </c>
      <c r="P210" s="58">
        <v>51.166799999999995</v>
      </c>
      <c r="Q210" s="63" t="s">
        <v>155</v>
      </c>
      <c r="R210" s="62">
        <v>12530</v>
      </c>
      <c r="S210" s="58">
        <v>1.9375</v>
      </c>
      <c r="T210" s="63"/>
      <c r="U210" s="62"/>
      <c r="V210" s="58"/>
    </row>
    <row r="211" spans="1:24" hidden="1" x14ac:dyDescent="0.25">
      <c r="A211" s="33">
        <v>208</v>
      </c>
      <c r="B211" s="33" t="s">
        <v>204</v>
      </c>
      <c r="C211" s="58">
        <v>43</v>
      </c>
      <c r="D211" s="59">
        <v>300</v>
      </c>
      <c r="E211" s="59">
        <v>0</v>
      </c>
      <c r="F211" s="59">
        <v>300</v>
      </c>
      <c r="G211" s="59">
        <v>371400</v>
      </c>
      <c r="H211" s="60" t="s">
        <v>149</v>
      </c>
      <c r="I211" s="59">
        <v>400</v>
      </c>
      <c r="J211" s="58">
        <v>0</v>
      </c>
      <c r="K211" s="60" t="s">
        <v>69</v>
      </c>
      <c r="L211" s="59">
        <v>371000</v>
      </c>
      <c r="M211" s="59">
        <v>111.33709999999999</v>
      </c>
      <c r="N211" s="59"/>
      <c r="O211" s="59"/>
      <c r="P211" s="58"/>
      <c r="Q211" s="60"/>
      <c r="R211" s="59"/>
      <c r="S211" s="58"/>
      <c r="T211" s="60"/>
      <c r="U211" s="59"/>
      <c r="V211" s="58"/>
    </row>
    <row r="212" spans="1:24" hidden="1" x14ac:dyDescent="0.25">
      <c r="A212" s="33">
        <v>209</v>
      </c>
      <c r="B212" s="33" t="s">
        <v>204</v>
      </c>
      <c r="C212" s="58">
        <v>43</v>
      </c>
      <c r="D212" s="62">
        <v>365</v>
      </c>
      <c r="E212" s="62">
        <v>71</v>
      </c>
      <c r="F212" s="62">
        <v>294</v>
      </c>
      <c r="G212" s="62">
        <v>444990</v>
      </c>
      <c r="H212" s="63" t="s">
        <v>149</v>
      </c>
      <c r="I212" s="62">
        <v>400</v>
      </c>
      <c r="J212" s="58">
        <v>0</v>
      </c>
      <c r="K212" s="63" t="s">
        <v>69</v>
      </c>
      <c r="L212" s="62">
        <v>3640</v>
      </c>
      <c r="M212" s="59">
        <v>1.0923639999999999</v>
      </c>
      <c r="N212" s="63" t="s">
        <v>160</v>
      </c>
      <c r="O212" s="62">
        <v>284260</v>
      </c>
      <c r="P212" s="58">
        <v>51.166799999999995</v>
      </c>
      <c r="Q212" s="63" t="s">
        <v>159</v>
      </c>
      <c r="R212" s="62">
        <v>146790</v>
      </c>
      <c r="S212" s="58">
        <v>26.422199999999997</v>
      </c>
      <c r="T212" s="62" t="s">
        <v>169</v>
      </c>
      <c r="U212" s="62">
        <v>9900</v>
      </c>
      <c r="V212" s="58">
        <v>18.809999999999999</v>
      </c>
      <c r="W212" s="62"/>
      <c r="X212" s="62"/>
    </row>
    <row r="213" spans="1:24" x14ac:dyDescent="0.25">
      <c r="A213" s="33">
        <v>210</v>
      </c>
      <c r="B213" s="33" t="s">
        <v>204</v>
      </c>
      <c r="C213" s="58">
        <v>44</v>
      </c>
      <c r="D213" s="59">
        <v>260</v>
      </c>
      <c r="E213" s="59">
        <v>90</v>
      </c>
      <c r="F213" s="59">
        <v>170</v>
      </c>
      <c r="G213" s="59">
        <v>549060</v>
      </c>
      <c r="H213" s="60" t="s">
        <v>169</v>
      </c>
      <c r="I213" s="59">
        <v>39300</v>
      </c>
      <c r="J213" s="58">
        <v>74.669999999999987</v>
      </c>
      <c r="K213" s="60" t="s">
        <v>149</v>
      </c>
      <c r="L213" s="59">
        <v>1500</v>
      </c>
      <c r="M213" s="59">
        <v>0</v>
      </c>
      <c r="N213" s="60" t="s">
        <v>163</v>
      </c>
      <c r="O213" s="59">
        <v>460760</v>
      </c>
      <c r="P213" s="58">
        <v>51</v>
      </c>
      <c r="Q213" s="60" t="s">
        <v>69</v>
      </c>
      <c r="R213" s="59">
        <v>47500</v>
      </c>
      <c r="S213" s="58">
        <v>14.25475</v>
      </c>
      <c r="T213" s="60"/>
      <c r="U213" s="59"/>
      <c r="V213" s="58"/>
      <c r="W213" s="60"/>
      <c r="X213" s="59"/>
    </row>
    <row r="214" spans="1:24" x14ac:dyDescent="0.25">
      <c r="A214" s="33">
        <v>211</v>
      </c>
      <c r="B214" s="33" t="s">
        <v>204</v>
      </c>
      <c r="C214" s="58">
        <v>44</v>
      </c>
      <c r="D214" s="62">
        <v>297</v>
      </c>
      <c r="E214" s="62">
        <v>109</v>
      </c>
      <c r="F214" s="62">
        <v>188</v>
      </c>
      <c r="G214" s="62">
        <v>540100</v>
      </c>
      <c r="H214" s="63" t="s">
        <v>169</v>
      </c>
      <c r="I214" s="62">
        <v>39300</v>
      </c>
      <c r="J214" s="58">
        <v>74.669999999999987</v>
      </c>
      <c r="K214" s="63" t="s">
        <v>149</v>
      </c>
      <c r="L214" s="62">
        <v>1200</v>
      </c>
      <c r="M214" s="59">
        <v>0</v>
      </c>
      <c r="N214" s="63" t="s">
        <v>163</v>
      </c>
      <c r="O214" s="62">
        <v>460760</v>
      </c>
      <c r="P214" s="58">
        <v>51</v>
      </c>
      <c r="Q214" s="63" t="s">
        <v>155</v>
      </c>
      <c r="R214" s="62">
        <v>7200</v>
      </c>
      <c r="S214" s="58">
        <v>1.9375</v>
      </c>
      <c r="T214" s="63" t="s">
        <v>159</v>
      </c>
      <c r="U214" s="62">
        <v>31640</v>
      </c>
      <c r="V214" s="58">
        <v>5.6951999999999998</v>
      </c>
      <c r="W214" s="63"/>
      <c r="X214" s="62"/>
    </row>
    <row r="215" spans="1:24" x14ac:dyDescent="0.25">
      <c r="A215" s="33">
        <v>212</v>
      </c>
      <c r="B215" s="33" t="s">
        <v>204</v>
      </c>
      <c r="C215" s="58">
        <v>44</v>
      </c>
      <c r="D215" s="59">
        <v>665</v>
      </c>
      <c r="E215" s="59">
        <v>199</v>
      </c>
      <c r="F215" s="59">
        <v>466</v>
      </c>
      <c r="G215" s="59">
        <v>721340</v>
      </c>
      <c r="H215" s="60" t="s">
        <v>149</v>
      </c>
      <c r="I215" s="59">
        <v>2790</v>
      </c>
      <c r="J215" s="58">
        <v>0</v>
      </c>
      <c r="K215" s="60" t="s">
        <v>155</v>
      </c>
      <c r="L215" s="59">
        <v>32750</v>
      </c>
      <c r="M215" s="59">
        <v>1.9375</v>
      </c>
      <c r="N215" s="60" t="s">
        <v>159</v>
      </c>
      <c r="O215" s="59">
        <v>18800</v>
      </c>
      <c r="P215" s="58">
        <v>3.3839999999999999</v>
      </c>
      <c r="Q215" s="60" t="s">
        <v>160</v>
      </c>
      <c r="R215" s="59">
        <v>667000</v>
      </c>
      <c r="S215" s="58">
        <v>120.06</v>
      </c>
      <c r="T215" s="60"/>
      <c r="U215" s="59"/>
      <c r="V215" s="58"/>
      <c r="W215" s="60"/>
      <c r="X215" s="59"/>
    </row>
    <row r="216" spans="1:24" x14ac:dyDescent="0.25">
      <c r="A216" s="33">
        <v>213</v>
      </c>
      <c r="B216" s="33" t="s">
        <v>204</v>
      </c>
      <c r="C216" s="64">
        <v>44</v>
      </c>
      <c r="D216" s="64">
        <v>298.99999999999994</v>
      </c>
      <c r="E216" s="64">
        <v>106.99999999999999</v>
      </c>
      <c r="F216" s="65">
        <v>191.99999999999997</v>
      </c>
      <c r="G216" s="65">
        <v>552830</v>
      </c>
      <c r="H216" s="65" t="s">
        <v>149</v>
      </c>
      <c r="I216" s="65">
        <v>880</v>
      </c>
      <c r="J216" s="65">
        <v>0</v>
      </c>
      <c r="K216" s="65" t="s">
        <v>159</v>
      </c>
      <c r="L216" s="65">
        <v>43690</v>
      </c>
      <c r="M216" s="65">
        <v>7.8641999999999994</v>
      </c>
      <c r="N216" s="64" t="s">
        <v>163</v>
      </c>
      <c r="O216" s="64">
        <v>460760</v>
      </c>
      <c r="P216" s="64">
        <v>51</v>
      </c>
      <c r="Q216" s="64" t="s">
        <v>69</v>
      </c>
      <c r="R216" s="64">
        <v>47500</v>
      </c>
      <c r="S216" s="64">
        <v>14.25475</v>
      </c>
      <c r="T216" s="64"/>
      <c r="U216" s="64"/>
      <c r="V216" s="64"/>
    </row>
    <row r="217" spans="1:24" x14ac:dyDescent="0.25">
      <c r="A217" s="33">
        <v>214</v>
      </c>
      <c r="B217" s="33" t="s">
        <v>204</v>
      </c>
      <c r="C217" s="64">
        <v>44</v>
      </c>
      <c r="D217" s="64">
        <v>568</v>
      </c>
      <c r="E217" s="64">
        <v>95</v>
      </c>
      <c r="F217" s="65">
        <v>473</v>
      </c>
      <c r="G217" s="65">
        <v>723950</v>
      </c>
      <c r="H217" s="65" t="s">
        <v>149</v>
      </c>
      <c r="I217" s="65">
        <v>2200</v>
      </c>
      <c r="J217" s="65">
        <v>0</v>
      </c>
      <c r="K217" s="65" t="s">
        <v>69</v>
      </c>
      <c r="L217" s="65">
        <v>27400</v>
      </c>
      <c r="M217" s="65">
        <v>8.2227399999999982</v>
      </c>
      <c r="N217" s="65" t="s">
        <v>160</v>
      </c>
      <c r="O217" s="65">
        <v>667000</v>
      </c>
      <c r="P217" s="65">
        <v>120.06</v>
      </c>
      <c r="Q217" s="65" t="s">
        <v>155</v>
      </c>
      <c r="R217" s="65">
        <v>15000</v>
      </c>
      <c r="S217" s="65">
        <v>1.9375</v>
      </c>
      <c r="T217" s="65" t="s">
        <v>159</v>
      </c>
      <c r="U217" s="65">
        <v>12350</v>
      </c>
      <c r="V217" s="64">
        <v>2.2229999999999999</v>
      </c>
    </row>
    <row r="218" spans="1:24" x14ac:dyDescent="0.25">
      <c r="A218" s="33">
        <v>215</v>
      </c>
      <c r="B218" s="33" t="s">
        <v>204</v>
      </c>
      <c r="C218" s="64">
        <v>44</v>
      </c>
      <c r="D218" s="64">
        <v>520</v>
      </c>
      <c r="E218" s="64">
        <v>70</v>
      </c>
      <c r="F218" s="64">
        <v>450</v>
      </c>
      <c r="G218" s="64">
        <v>727300</v>
      </c>
      <c r="H218" s="65" t="s">
        <v>149</v>
      </c>
      <c r="I218" s="65">
        <v>400</v>
      </c>
      <c r="J218" s="65">
        <v>0</v>
      </c>
      <c r="K218" s="65" t="s">
        <v>69</v>
      </c>
      <c r="L218" s="65">
        <v>27400</v>
      </c>
      <c r="M218" s="65">
        <v>8.2227399999999982</v>
      </c>
      <c r="N218" s="65" t="s">
        <v>160</v>
      </c>
      <c r="O218" s="65">
        <v>667000</v>
      </c>
      <c r="P218" s="65">
        <v>120.06</v>
      </c>
      <c r="Q218" s="65" t="s">
        <v>169</v>
      </c>
      <c r="R218" s="65">
        <v>32500</v>
      </c>
      <c r="S218" s="65">
        <v>61.75</v>
      </c>
      <c r="T218" s="65"/>
      <c r="U218" s="65"/>
      <c r="V218" s="64"/>
    </row>
    <row r="219" spans="1:24" x14ac:dyDescent="0.25">
      <c r="A219" s="33">
        <v>216</v>
      </c>
      <c r="B219" s="33" t="s">
        <v>204</v>
      </c>
      <c r="C219" s="64">
        <v>44</v>
      </c>
      <c r="D219" s="64">
        <v>340</v>
      </c>
      <c r="E219" s="64">
        <v>0</v>
      </c>
      <c r="F219" s="64">
        <v>340</v>
      </c>
      <c r="G219" s="64">
        <v>533400</v>
      </c>
      <c r="H219" s="65" t="s">
        <v>149</v>
      </c>
      <c r="I219" s="65">
        <v>400</v>
      </c>
      <c r="J219" s="65">
        <v>0</v>
      </c>
      <c r="K219" s="65" t="s">
        <v>69</v>
      </c>
      <c r="L219" s="65">
        <v>533000</v>
      </c>
      <c r="M219" s="65">
        <v>159.95329999999998</v>
      </c>
      <c r="N219" s="65"/>
      <c r="O219" s="65"/>
      <c r="P219" s="65"/>
      <c r="Q219" s="65"/>
      <c r="R219" s="65"/>
      <c r="S219" s="65"/>
      <c r="T219" s="65"/>
      <c r="U219" s="65"/>
      <c r="V219" s="65"/>
    </row>
    <row r="220" spans="1:24" x14ac:dyDescent="0.25">
      <c r="A220" s="33">
        <v>217</v>
      </c>
      <c r="B220" s="33" t="s">
        <v>204</v>
      </c>
      <c r="C220" s="64">
        <v>44</v>
      </c>
      <c r="D220" s="64">
        <v>617</v>
      </c>
      <c r="E220" s="64">
        <v>174</v>
      </c>
      <c r="F220" s="64">
        <v>443</v>
      </c>
      <c r="G220" s="64">
        <v>724690</v>
      </c>
      <c r="H220" s="65" t="s">
        <v>149</v>
      </c>
      <c r="I220" s="65">
        <v>990</v>
      </c>
      <c r="J220" s="65">
        <v>0</v>
      </c>
      <c r="K220" s="65" t="s">
        <v>155</v>
      </c>
      <c r="L220" s="65">
        <v>17750</v>
      </c>
      <c r="M220" s="65">
        <v>1.9375</v>
      </c>
      <c r="N220" s="65" t="s">
        <v>159</v>
      </c>
      <c r="O220" s="65">
        <v>6450</v>
      </c>
      <c r="P220" s="65">
        <v>1.161</v>
      </c>
      <c r="Q220" s="65" t="s">
        <v>160</v>
      </c>
      <c r="R220" s="65">
        <v>667000</v>
      </c>
      <c r="S220" s="65">
        <v>120.06</v>
      </c>
      <c r="T220" s="65" t="s">
        <v>169</v>
      </c>
      <c r="U220" s="65">
        <v>32500</v>
      </c>
      <c r="V220" s="65">
        <v>61.75</v>
      </c>
    </row>
    <row r="221" spans="1:24" x14ac:dyDescent="0.25">
      <c r="A221" s="33">
        <v>218</v>
      </c>
      <c r="B221" s="33" t="s">
        <v>204</v>
      </c>
      <c r="C221" s="64">
        <v>44</v>
      </c>
      <c r="D221" s="64">
        <v>336</v>
      </c>
      <c r="E221" s="64">
        <v>126</v>
      </c>
      <c r="F221" s="64">
        <v>210</v>
      </c>
      <c r="G221" s="64">
        <v>543870</v>
      </c>
      <c r="H221" s="65" t="s">
        <v>149</v>
      </c>
      <c r="I221" s="65">
        <v>580</v>
      </c>
      <c r="J221" s="65">
        <v>0</v>
      </c>
      <c r="K221" s="65" t="s">
        <v>159</v>
      </c>
      <c r="L221" s="65">
        <v>75330</v>
      </c>
      <c r="M221" s="65">
        <v>13.559399999999998</v>
      </c>
      <c r="N221" s="65" t="s">
        <v>163</v>
      </c>
      <c r="O221" s="65">
        <v>460760</v>
      </c>
      <c r="P221" s="65">
        <v>51</v>
      </c>
      <c r="Q221" s="65" t="s">
        <v>155</v>
      </c>
      <c r="R221" s="65">
        <v>7200</v>
      </c>
      <c r="S221" s="65">
        <v>1.9375</v>
      </c>
      <c r="T221" s="65"/>
      <c r="U221" s="65"/>
      <c r="V221" s="65"/>
    </row>
    <row r="222" spans="1:24" x14ac:dyDescent="0.25">
      <c r="A222" s="33">
        <v>204</v>
      </c>
      <c r="B222" s="33" t="s">
        <v>204</v>
      </c>
      <c r="C222" s="64">
        <v>44</v>
      </c>
      <c r="D222" s="64">
        <v>421.76978337344929</v>
      </c>
      <c r="E222" s="64">
        <v>233.76978337344934</v>
      </c>
      <c r="F222" s="64">
        <v>187.99999999999997</v>
      </c>
      <c r="G222" s="64">
        <v>540100</v>
      </c>
      <c r="H222" s="65" t="s">
        <v>169</v>
      </c>
      <c r="I222" s="65">
        <v>39300</v>
      </c>
      <c r="J222" s="65">
        <v>0</v>
      </c>
      <c r="K222" s="65" t="s">
        <v>149</v>
      </c>
      <c r="L222" s="65">
        <v>1200</v>
      </c>
      <c r="M222" s="65">
        <v>0</v>
      </c>
      <c r="N222" s="65" t="s">
        <v>163</v>
      </c>
      <c r="O222" s="65">
        <v>460760</v>
      </c>
      <c r="P222" s="65">
        <v>51</v>
      </c>
      <c r="Q222" s="65" t="s">
        <v>155</v>
      </c>
      <c r="R222" s="65">
        <v>7200</v>
      </c>
      <c r="S222" s="65">
        <v>1.9375</v>
      </c>
      <c r="T222" s="65" t="s">
        <v>159</v>
      </c>
      <c r="U222" s="65">
        <v>31640</v>
      </c>
      <c r="V222" s="65">
        <v>1.9375</v>
      </c>
    </row>
    <row r="223" spans="1:24" x14ac:dyDescent="0.25">
      <c r="A223" s="33">
        <v>205</v>
      </c>
      <c r="B223" s="33" t="s">
        <v>204</v>
      </c>
      <c r="C223" s="64">
        <v>44</v>
      </c>
      <c r="D223" s="64">
        <v>423.64978383951666</v>
      </c>
      <c r="E223" s="64">
        <v>231.64978383951666</v>
      </c>
      <c r="F223" s="64">
        <v>192</v>
      </c>
      <c r="G223" s="64">
        <v>552830</v>
      </c>
      <c r="H223" s="65" t="s">
        <v>149</v>
      </c>
      <c r="I223" s="65">
        <v>880</v>
      </c>
      <c r="J223" s="65">
        <v>0</v>
      </c>
      <c r="K223" s="65" t="s">
        <v>159</v>
      </c>
      <c r="L223" s="65">
        <v>43690</v>
      </c>
      <c r="M223" s="65">
        <v>1.9375</v>
      </c>
      <c r="N223" s="65" t="s">
        <v>163</v>
      </c>
      <c r="O223" s="65">
        <v>460760</v>
      </c>
      <c r="P223" s="65">
        <v>51</v>
      </c>
      <c r="Q223" s="65" t="s">
        <v>69</v>
      </c>
      <c r="R223" s="65">
        <v>47500</v>
      </c>
      <c r="S223" s="65">
        <v>14.25475</v>
      </c>
      <c r="T223" s="65"/>
      <c r="U223" s="65"/>
      <c r="V223" s="65"/>
    </row>
    <row r="224" spans="1:24" x14ac:dyDescent="0.25">
      <c r="A224" s="33">
        <v>206</v>
      </c>
      <c r="B224" s="33" t="s">
        <v>204</v>
      </c>
      <c r="C224" s="64">
        <v>44</v>
      </c>
      <c r="D224" s="64">
        <v>481.11997352308458</v>
      </c>
      <c r="E224" s="64">
        <v>271.11997352308458</v>
      </c>
      <c r="F224" s="64">
        <v>210</v>
      </c>
      <c r="G224" s="64">
        <v>543870</v>
      </c>
      <c r="H224" s="65" t="s">
        <v>149</v>
      </c>
      <c r="I224" s="65">
        <v>580</v>
      </c>
      <c r="J224" s="65">
        <v>0</v>
      </c>
      <c r="K224" s="128" t="s">
        <v>159</v>
      </c>
      <c r="L224" s="65">
        <v>75330</v>
      </c>
      <c r="M224" s="65">
        <v>1.9375</v>
      </c>
      <c r="N224" s="65" t="s">
        <v>163</v>
      </c>
      <c r="O224" s="65">
        <v>460760</v>
      </c>
      <c r="P224" s="65">
        <v>51</v>
      </c>
      <c r="Q224" s="65" t="s">
        <v>155</v>
      </c>
      <c r="R224" s="65">
        <v>7200</v>
      </c>
      <c r="S224" s="65">
        <v>1.9375</v>
      </c>
      <c r="T224" s="65"/>
      <c r="U224" s="65"/>
      <c r="V224" s="65"/>
    </row>
    <row r="225" spans="14:15" x14ac:dyDescent="0.25">
      <c r="N225"/>
      <c r="O225" s="36"/>
    </row>
    <row r="226" spans="14:15" x14ac:dyDescent="0.25">
      <c r="N226"/>
      <c r="O226" s="36"/>
    </row>
  </sheetData>
  <autoFilter ref="A2:X224" xr:uid="{6A4821CB-2233-4DC4-9F23-A4F68F382096}">
    <filterColumn colId="1">
      <filters>
        <filter val="L"/>
      </filters>
    </filterColumn>
    <filterColumn colId="2">
      <filters>
        <filter val="44"/>
      </filters>
    </filterColumn>
    <sortState xmlns:xlrd2="http://schemas.microsoft.com/office/spreadsheetml/2017/richdata2" ref="A3:X224">
      <sortCondition ref="C2:C186"/>
    </sortState>
  </autoFilter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C888-9799-4BE8-AFF2-E1C7CF648E61}">
  <sheetPr codeName="Tabelle19"/>
  <dimension ref="A1:Z221"/>
  <sheetViews>
    <sheetView workbookViewId="0">
      <selection activeCell="A2" sqref="A2"/>
    </sheetView>
  </sheetViews>
  <sheetFormatPr baseColWidth="10" defaultColWidth="8.5" defaultRowHeight="15.75" x14ac:dyDescent="0.25"/>
  <cols>
    <col min="1" max="1" width="3.875" bestFit="1" customWidth="1"/>
    <col min="2" max="2" width="10.75" bestFit="1" customWidth="1"/>
    <col min="3" max="3" width="14.375" bestFit="1" customWidth="1"/>
    <col min="4" max="6" width="11.875" bestFit="1" customWidth="1"/>
    <col min="7" max="7" width="11.25" bestFit="1" customWidth="1"/>
    <col min="8" max="8" width="14.125" bestFit="1" customWidth="1"/>
    <col min="9" max="9" width="12.25" bestFit="1" customWidth="1"/>
    <col min="10" max="10" width="11.875" bestFit="1" customWidth="1"/>
    <col min="11" max="11" width="14.375" bestFit="1" customWidth="1"/>
    <col min="12" max="12" width="12.25" bestFit="1" customWidth="1"/>
    <col min="13" max="13" width="11.875" bestFit="1" customWidth="1"/>
    <col min="14" max="14" width="14.375" bestFit="1" customWidth="1"/>
    <col min="15" max="15" width="12.25" bestFit="1" customWidth="1"/>
    <col min="16" max="16" width="11.625" bestFit="1" customWidth="1"/>
    <col min="17" max="17" width="14.375" bestFit="1" customWidth="1"/>
    <col min="18" max="18" width="12.25" bestFit="1" customWidth="1"/>
    <col min="19" max="19" width="11.875" bestFit="1" customWidth="1"/>
    <col min="20" max="20" width="14.125" bestFit="1" customWidth="1"/>
    <col min="21" max="21" width="12.25" bestFit="1" customWidth="1"/>
    <col min="22" max="22" width="11.625" bestFit="1" customWidth="1"/>
    <col min="23" max="23" width="11.25" bestFit="1" customWidth="1"/>
    <col min="24" max="24" width="12.25" bestFit="1" customWidth="1"/>
    <col min="25" max="25" width="11.625" bestFit="1" customWidth="1"/>
    <col min="27" max="30" width="12.125" bestFit="1" customWidth="1"/>
    <col min="31" max="1030" width="8.375" customWidth="1"/>
  </cols>
  <sheetData>
    <row r="1" spans="1:26" s="33" customFormat="1" x14ac:dyDescent="0.25">
      <c r="B1" s="33" t="s">
        <v>174</v>
      </c>
      <c r="C1" s="33" t="s">
        <v>174</v>
      </c>
      <c r="D1" s="33" t="s">
        <v>146</v>
      </c>
      <c r="E1" s="33" t="s">
        <v>146</v>
      </c>
      <c r="F1" s="33" t="s">
        <v>146</v>
      </c>
      <c r="G1" s="33" t="s">
        <v>146</v>
      </c>
      <c r="H1" s="33" t="s">
        <v>146</v>
      </c>
      <c r="I1" s="33" t="s">
        <v>146</v>
      </c>
      <c r="J1" s="33" t="s">
        <v>146</v>
      </c>
      <c r="K1" s="33" t="s">
        <v>146</v>
      </c>
      <c r="L1" s="33" t="s">
        <v>146</v>
      </c>
      <c r="M1" s="33" t="s">
        <v>146</v>
      </c>
      <c r="N1" s="33" t="s">
        <v>146</v>
      </c>
      <c r="O1" s="33" t="s">
        <v>146</v>
      </c>
      <c r="P1" s="33" t="s">
        <v>146</v>
      </c>
      <c r="Q1" s="33" t="s">
        <v>146</v>
      </c>
      <c r="R1" s="33" t="s">
        <v>146</v>
      </c>
      <c r="S1" s="33" t="s">
        <v>146</v>
      </c>
      <c r="T1" s="33" t="s">
        <v>146</v>
      </c>
      <c r="U1" s="33" t="s">
        <v>146</v>
      </c>
      <c r="V1" s="33" t="s">
        <v>146</v>
      </c>
      <c r="W1" s="33" t="s">
        <v>146</v>
      </c>
      <c r="X1" s="33" t="s">
        <v>146</v>
      </c>
      <c r="Y1" s="33" t="s">
        <v>146</v>
      </c>
      <c r="Z1"/>
    </row>
    <row r="2" spans="1:26" s="33" customFormat="1" x14ac:dyDescent="0.25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x14ac:dyDescent="0.25">
      <c r="A3">
        <v>0</v>
      </c>
      <c r="B3" t="s">
        <v>200</v>
      </c>
      <c r="C3">
        <v>1</v>
      </c>
      <c r="D3">
        <v>30</v>
      </c>
      <c r="E3">
        <v>0</v>
      </c>
      <c r="F3">
        <v>30</v>
      </c>
      <c r="G3">
        <v>2500</v>
      </c>
      <c r="H3" t="s">
        <v>149</v>
      </c>
      <c r="I3">
        <v>2500</v>
      </c>
      <c r="J3">
        <v>0</v>
      </c>
      <c r="M3" t="s">
        <v>201</v>
      </c>
      <c r="P3" t="s">
        <v>201</v>
      </c>
      <c r="S3" t="s">
        <v>201</v>
      </c>
      <c r="V3" t="s">
        <v>201</v>
      </c>
      <c r="Y3" t="s">
        <v>201</v>
      </c>
    </row>
    <row r="4" spans="1:26" x14ac:dyDescent="0.25">
      <c r="A4">
        <v>1</v>
      </c>
      <c r="B4" t="s">
        <v>200</v>
      </c>
      <c r="C4">
        <v>1</v>
      </c>
      <c r="D4">
        <v>8</v>
      </c>
      <c r="E4">
        <v>0</v>
      </c>
      <c r="F4">
        <v>8</v>
      </c>
      <c r="G4">
        <v>2600</v>
      </c>
      <c r="H4" t="s">
        <v>153</v>
      </c>
      <c r="I4">
        <v>2600</v>
      </c>
      <c r="J4">
        <v>0</v>
      </c>
      <c r="M4" t="s">
        <v>201</v>
      </c>
      <c r="P4" t="s">
        <v>201</v>
      </c>
      <c r="S4" t="s">
        <v>201</v>
      </c>
      <c r="V4" t="s">
        <v>201</v>
      </c>
      <c r="Y4" t="s">
        <v>201</v>
      </c>
    </row>
    <row r="5" spans="1:26" x14ac:dyDescent="0.25">
      <c r="A5">
        <v>2</v>
      </c>
      <c r="B5" t="s">
        <v>200</v>
      </c>
      <c r="C5">
        <v>1</v>
      </c>
      <c r="D5">
        <v>18.164705882352941</v>
      </c>
      <c r="E5">
        <v>0</v>
      </c>
      <c r="F5">
        <v>18.164705882352941</v>
      </c>
      <c r="G5">
        <v>4079.9999999999995</v>
      </c>
      <c r="H5" t="s">
        <v>149</v>
      </c>
      <c r="I5">
        <v>400</v>
      </c>
      <c r="J5">
        <v>0</v>
      </c>
      <c r="K5" t="s">
        <v>69</v>
      </c>
      <c r="L5">
        <v>3679.9999999999995</v>
      </c>
      <c r="M5">
        <v>1.2192718650254997</v>
      </c>
      <c r="P5" t="s">
        <v>201</v>
      </c>
      <c r="S5" t="s">
        <v>201</v>
      </c>
      <c r="V5" t="s">
        <v>201</v>
      </c>
      <c r="Y5" t="s">
        <v>201</v>
      </c>
    </row>
    <row r="6" spans="1:26" x14ac:dyDescent="0.25">
      <c r="A6">
        <v>3</v>
      </c>
      <c r="B6" t="s">
        <v>200</v>
      </c>
      <c r="C6">
        <v>1</v>
      </c>
      <c r="D6">
        <v>20.189709762532981</v>
      </c>
      <c r="E6">
        <v>1</v>
      </c>
      <c r="F6">
        <v>19.189709762532981</v>
      </c>
      <c r="G6">
        <v>3790</v>
      </c>
      <c r="H6" t="s">
        <v>149</v>
      </c>
      <c r="I6">
        <v>500</v>
      </c>
      <c r="J6">
        <v>0</v>
      </c>
      <c r="K6" t="s">
        <v>158</v>
      </c>
      <c r="L6">
        <v>1620</v>
      </c>
      <c r="M6">
        <v>1.9375</v>
      </c>
      <c r="N6" t="s">
        <v>155</v>
      </c>
      <c r="O6">
        <v>1670</v>
      </c>
      <c r="P6">
        <v>2.1312500000000001</v>
      </c>
      <c r="S6" t="s">
        <v>201</v>
      </c>
      <c r="V6" t="s">
        <v>201</v>
      </c>
      <c r="Y6" t="s">
        <v>201</v>
      </c>
    </row>
    <row r="7" spans="1:26" x14ac:dyDescent="0.25">
      <c r="A7">
        <v>4</v>
      </c>
      <c r="B7" t="s">
        <v>200</v>
      </c>
      <c r="C7">
        <v>1</v>
      </c>
      <c r="D7">
        <v>7.0909000000000004</v>
      </c>
      <c r="E7">
        <v>0</v>
      </c>
      <c r="F7">
        <v>7.0909000000000004</v>
      </c>
      <c r="G7">
        <v>2600</v>
      </c>
      <c r="H7" t="s">
        <v>154</v>
      </c>
      <c r="I7">
        <v>2600</v>
      </c>
      <c r="J7">
        <v>4.5500000000000002E-3</v>
      </c>
      <c r="M7" t="s">
        <v>201</v>
      </c>
      <c r="P7" t="s">
        <v>201</v>
      </c>
      <c r="S7" t="s">
        <v>201</v>
      </c>
      <c r="V7" t="s">
        <v>201</v>
      </c>
      <c r="Y7" t="s">
        <v>201</v>
      </c>
    </row>
    <row r="8" spans="1:26" x14ac:dyDescent="0.25">
      <c r="A8">
        <v>5</v>
      </c>
      <c r="B8" t="s">
        <v>200</v>
      </c>
      <c r="C8">
        <v>2</v>
      </c>
      <c r="D8">
        <v>28</v>
      </c>
      <c r="E8">
        <v>0</v>
      </c>
      <c r="F8">
        <v>28</v>
      </c>
      <c r="G8">
        <v>2300</v>
      </c>
      <c r="H8" t="s">
        <v>149</v>
      </c>
      <c r="I8">
        <v>2300</v>
      </c>
      <c r="J8">
        <v>0</v>
      </c>
      <c r="M8" t="s">
        <v>201</v>
      </c>
      <c r="P8" t="s">
        <v>201</v>
      </c>
      <c r="S8" t="s">
        <v>201</v>
      </c>
      <c r="V8" t="s">
        <v>201</v>
      </c>
      <c r="Y8" t="s">
        <v>201</v>
      </c>
    </row>
    <row r="9" spans="1:26" x14ac:dyDescent="0.25">
      <c r="A9">
        <v>6</v>
      </c>
      <c r="B9" t="s">
        <v>200</v>
      </c>
      <c r="C9">
        <v>2</v>
      </c>
      <c r="D9">
        <v>8</v>
      </c>
      <c r="E9">
        <v>0</v>
      </c>
      <c r="F9">
        <v>8</v>
      </c>
      <c r="G9">
        <v>2600</v>
      </c>
      <c r="H9" t="s">
        <v>153</v>
      </c>
      <c r="I9">
        <v>2600</v>
      </c>
      <c r="J9">
        <v>0</v>
      </c>
      <c r="M9" t="s">
        <v>201</v>
      </c>
      <c r="P9" t="s">
        <v>201</v>
      </c>
      <c r="S9" t="s">
        <v>201</v>
      </c>
      <c r="V9" t="s">
        <v>201</v>
      </c>
      <c r="Y9" t="s">
        <v>201</v>
      </c>
    </row>
    <row r="10" spans="1:26" x14ac:dyDescent="0.25">
      <c r="A10">
        <v>7</v>
      </c>
      <c r="B10" t="s">
        <v>200</v>
      </c>
      <c r="C10">
        <v>2</v>
      </c>
      <c r="D10">
        <v>14.818243243243243</v>
      </c>
      <c r="E10">
        <v>0</v>
      </c>
      <c r="F10">
        <v>14.818243243243243</v>
      </c>
      <c r="G10">
        <v>2960</v>
      </c>
      <c r="H10" t="s">
        <v>149</v>
      </c>
      <c r="I10">
        <v>200</v>
      </c>
      <c r="J10">
        <v>0</v>
      </c>
      <c r="K10" t="s">
        <v>69</v>
      </c>
      <c r="L10">
        <v>2760</v>
      </c>
      <c r="M10">
        <v>0.91470245921999982</v>
      </c>
      <c r="P10" t="s">
        <v>201</v>
      </c>
      <c r="S10" t="s">
        <v>201</v>
      </c>
      <c r="V10" t="s">
        <v>201</v>
      </c>
      <c r="Y10" t="s">
        <v>201</v>
      </c>
    </row>
    <row r="11" spans="1:26" x14ac:dyDescent="0.25">
      <c r="A11">
        <v>8</v>
      </c>
      <c r="B11" t="s">
        <v>200</v>
      </c>
      <c r="C11">
        <v>2</v>
      </c>
      <c r="D11">
        <v>21</v>
      </c>
      <c r="E11">
        <v>2</v>
      </c>
      <c r="F11">
        <v>19</v>
      </c>
      <c r="G11">
        <v>3340</v>
      </c>
      <c r="H11" t="s">
        <v>149</v>
      </c>
      <c r="I11">
        <v>1300</v>
      </c>
      <c r="J11">
        <v>0</v>
      </c>
      <c r="K11" t="s">
        <v>159</v>
      </c>
      <c r="L11">
        <v>2040</v>
      </c>
      <c r="M11">
        <v>0.36719999999999997</v>
      </c>
      <c r="P11" t="s">
        <v>201</v>
      </c>
      <c r="S11" t="s">
        <v>201</v>
      </c>
      <c r="V11" t="s">
        <v>201</v>
      </c>
      <c r="Y11" t="s">
        <v>201</v>
      </c>
    </row>
    <row r="12" spans="1:26" x14ac:dyDescent="0.25">
      <c r="A12">
        <v>9</v>
      </c>
      <c r="B12" t="s">
        <v>200</v>
      </c>
      <c r="C12">
        <v>2</v>
      </c>
      <c r="D12">
        <v>7.0909000000000004</v>
      </c>
      <c r="E12">
        <v>0</v>
      </c>
      <c r="F12">
        <v>7.0909000000000004</v>
      </c>
      <c r="G12">
        <v>2600</v>
      </c>
      <c r="H12" t="s">
        <v>154</v>
      </c>
      <c r="I12">
        <v>2600</v>
      </c>
      <c r="J12">
        <v>4.5500000000000002E-3</v>
      </c>
      <c r="M12" t="s">
        <v>201</v>
      </c>
      <c r="P12" t="s">
        <v>201</v>
      </c>
      <c r="S12" t="s">
        <v>201</v>
      </c>
      <c r="V12" t="s">
        <v>201</v>
      </c>
      <c r="Y12" t="s">
        <v>201</v>
      </c>
    </row>
    <row r="13" spans="1:26" x14ac:dyDescent="0.25">
      <c r="A13">
        <v>10</v>
      </c>
      <c r="B13" t="s">
        <v>200</v>
      </c>
      <c r="C13">
        <v>3</v>
      </c>
      <c r="D13">
        <v>8.1818000000000008</v>
      </c>
      <c r="E13">
        <v>0</v>
      </c>
      <c r="F13">
        <v>8.1818000000000008</v>
      </c>
      <c r="G13">
        <v>3000</v>
      </c>
      <c r="H13" t="s">
        <v>154</v>
      </c>
      <c r="I13">
        <v>3000</v>
      </c>
      <c r="J13">
        <v>5.2500000000000003E-3</v>
      </c>
      <c r="M13" t="s">
        <v>201</v>
      </c>
      <c r="P13" t="s">
        <v>201</v>
      </c>
      <c r="S13" t="s">
        <v>201</v>
      </c>
      <c r="V13" t="s">
        <v>201</v>
      </c>
      <c r="Y13" t="s">
        <v>201</v>
      </c>
    </row>
    <row r="14" spans="1:26" x14ac:dyDescent="0.25">
      <c r="A14">
        <v>11</v>
      </c>
      <c r="B14" t="s">
        <v>200</v>
      </c>
      <c r="C14">
        <v>3</v>
      </c>
      <c r="D14">
        <v>11.457746478873238</v>
      </c>
      <c r="E14">
        <v>0</v>
      </c>
      <c r="F14">
        <v>11.457746478873238</v>
      </c>
      <c r="G14">
        <v>3549.9999999999995</v>
      </c>
      <c r="H14" t="s">
        <v>149</v>
      </c>
      <c r="I14">
        <v>100</v>
      </c>
      <c r="J14">
        <v>0</v>
      </c>
      <c r="K14" t="s">
        <v>69</v>
      </c>
      <c r="L14">
        <v>3449.9999999999995</v>
      </c>
      <c r="M14">
        <v>1.1430466600904998</v>
      </c>
      <c r="P14" t="s">
        <v>201</v>
      </c>
      <c r="S14" t="s">
        <v>201</v>
      </c>
      <c r="V14" t="s">
        <v>201</v>
      </c>
      <c r="Y14" t="s">
        <v>201</v>
      </c>
    </row>
    <row r="15" spans="1:26" x14ac:dyDescent="0.25">
      <c r="A15">
        <v>12</v>
      </c>
      <c r="B15" t="s">
        <v>200</v>
      </c>
      <c r="C15">
        <v>3</v>
      </c>
      <c r="D15">
        <v>40.519292604501608</v>
      </c>
      <c r="E15">
        <v>14</v>
      </c>
      <c r="F15">
        <v>26.519292604501608</v>
      </c>
      <c r="G15">
        <v>3110</v>
      </c>
      <c r="H15" t="s">
        <v>149</v>
      </c>
      <c r="I15">
        <v>1850</v>
      </c>
      <c r="J15">
        <v>0</v>
      </c>
      <c r="K15" t="s">
        <v>155</v>
      </c>
      <c r="L15">
        <v>1260</v>
      </c>
      <c r="M15">
        <v>2.1312500000000001</v>
      </c>
      <c r="P15" t="s">
        <v>201</v>
      </c>
      <c r="S15" t="s">
        <v>201</v>
      </c>
      <c r="V15" t="s">
        <v>201</v>
      </c>
      <c r="Y15" t="s">
        <v>201</v>
      </c>
    </row>
    <row r="16" spans="1:26" x14ac:dyDescent="0.25">
      <c r="A16">
        <v>13</v>
      </c>
      <c r="B16" t="s">
        <v>200</v>
      </c>
      <c r="C16">
        <v>3</v>
      </c>
      <c r="D16">
        <v>33</v>
      </c>
      <c r="E16">
        <v>0</v>
      </c>
      <c r="F16">
        <v>33</v>
      </c>
      <c r="G16">
        <v>2800</v>
      </c>
      <c r="H16" t="s">
        <v>149</v>
      </c>
      <c r="I16">
        <v>2800</v>
      </c>
      <c r="J16">
        <v>0</v>
      </c>
      <c r="M16" t="s">
        <v>201</v>
      </c>
      <c r="P16" t="s">
        <v>201</v>
      </c>
      <c r="S16" t="s">
        <v>201</v>
      </c>
      <c r="V16" t="s">
        <v>201</v>
      </c>
      <c r="Y16" t="s">
        <v>201</v>
      </c>
    </row>
    <row r="17" spans="1:25" x14ac:dyDescent="0.25">
      <c r="A17">
        <v>14</v>
      </c>
      <c r="B17" t="s">
        <v>200</v>
      </c>
      <c r="C17">
        <v>3</v>
      </c>
      <c r="D17">
        <v>10</v>
      </c>
      <c r="E17">
        <v>0</v>
      </c>
      <c r="F17">
        <v>10</v>
      </c>
      <c r="G17">
        <v>3000</v>
      </c>
      <c r="H17" t="s">
        <v>153</v>
      </c>
      <c r="I17">
        <v>3000</v>
      </c>
      <c r="J17">
        <v>0</v>
      </c>
      <c r="M17" t="s">
        <v>201</v>
      </c>
      <c r="P17" t="s">
        <v>201</v>
      </c>
      <c r="S17" t="s">
        <v>201</v>
      </c>
      <c r="V17" t="s">
        <v>201</v>
      </c>
      <c r="Y17" t="s">
        <v>201</v>
      </c>
    </row>
    <row r="18" spans="1:25" x14ac:dyDescent="0.25">
      <c r="A18">
        <v>15</v>
      </c>
      <c r="B18" t="s">
        <v>200</v>
      </c>
      <c r="C18">
        <v>4</v>
      </c>
      <c r="D18">
        <v>8</v>
      </c>
      <c r="E18">
        <v>0</v>
      </c>
      <c r="F18">
        <v>8</v>
      </c>
      <c r="G18">
        <v>2500</v>
      </c>
      <c r="H18" t="s">
        <v>153</v>
      </c>
      <c r="I18">
        <v>2500</v>
      </c>
      <c r="J18">
        <v>0</v>
      </c>
      <c r="M18" t="s">
        <v>201</v>
      </c>
      <c r="P18" t="s">
        <v>201</v>
      </c>
      <c r="S18" t="s">
        <v>201</v>
      </c>
      <c r="V18" t="s">
        <v>201</v>
      </c>
      <c r="Y18" t="s">
        <v>201</v>
      </c>
    </row>
    <row r="19" spans="1:25" x14ac:dyDescent="0.25">
      <c r="A19">
        <v>16</v>
      </c>
      <c r="B19" t="s">
        <v>200</v>
      </c>
      <c r="C19">
        <v>4</v>
      </c>
      <c r="D19">
        <v>13.730029154518949</v>
      </c>
      <c r="E19">
        <v>0</v>
      </c>
      <c r="F19">
        <v>13.730029154518949</v>
      </c>
      <c r="G19">
        <v>5145</v>
      </c>
      <c r="H19" t="s">
        <v>149</v>
      </c>
      <c r="I19">
        <v>200</v>
      </c>
      <c r="J19">
        <v>0</v>
      </c>
      <c r="K19" t="s">
        <v>69</v>
      </c>
      <c r="L19">
        <v>4945</v>
      </c>
      <c r="M19">
        <v>1.6388419061024999</v>
      </c>
      <c r="P19" t="s">
        <v>201</v>
      </c>
      <c r="S19" t="s">
        <v>201</v>
      </c>
      <c r="V19" t="s">
        <v>201</v>
      </c>
      <c r="Y19" t="s">
        <v>201</v>
      </c>
    </row>
    <row r="20" spans="1:25" x14ac:dyDescent="0.25">
      <c r="A20">
        <v>17</v>
      </c>
      <c r="B20" t="s">
        <v>200</v>
      </c>
      <c r="C20">
        <v>4</v>
      </c>
      <c r="D20">
        <v>19</v>
      </c>
      <c r="E20">
        <v>3</v>
      </c>
      <c r="F20">
        <v>16</v>
      </c>
      <c r="G20">
        <v>2740</v>
      </c>
      <c r="H20" t="s">
        <v>156</v>
      </c>
      <c r="I20">
        <v>2240</v>
      </c>
      <c r="J20">
        <v>1.9375</v>
      </c>
      <c r="K20" t="s">
        <v>149</v>
      </c>
      <c r="L20">
        <v>500</v>
      </c>
      <c r="M20">
        <v>0</v>
      </c>
      <c r="P20" t="s">
        <v>201</v>
      </c>
      <c r="S20" t="s">
        <v>201</v>
      </c>
      <c r="V20" t="s">
        <v>201</v>
      </c>
      <c r="Y20" t="s">
        <v>201</v>
      </c>
    </row>
    <row r="21" spans="1:25" x14ac:dyDescent="0.25">
      <c r="A21">
        <v>18</v>
      </c>
      <c r="B21" t="s">
        <v>200</v>
      </c>
      <c r="C21">
        <v>4</v>
      </c>
      <c r="D21">
        <v>32</v>
      </c>
      <c r="E21">
        <v>0</v>
      </c>
      <c r="F21">
        <v>32</v>
      </c>
      <c r="G21">
        <v>2500</v>
      </c>
      <c r="H21" t="s">
        <v>149</v>
      </c>
      <c r="I21">
        <v>2500</v>
      </c>
      <c r="J21">
        <v>0</v>
      </c>
      <c r="M21" t="s">
        <v>201</v>
      </c>
      <c r="P21" t="s">
        <v>201</v>
      </c>
      <c r="S21" t="s">
        <v>201</v>
      </c>
      <c r="V21" t="s">
        <v>201</v>
      </c>
      <c r="Y21" t="s">
        <v>201</v>
      </c>
    </row>
    <row r="22" spans="1:25" x14ac:dyDescent="0.25">
      <c r="A22">
        <v>19</v>
      </c>
      <c r="B22" t="s">
        <v>200</v>
      </c>
      <c r="C22">
        <v>4</v>
      </c>
      <c r="D22">
        <v>6.8182</v>
      </c>
      <c r="E22">
        <v>0</v>
      </c>
      <c r="F22">
        <v>6.8182</v>
      </c>
      <c r="G22">
        <v>2500</v>
      </c>
      <c r="H22" t="s">
        <v>154</v>
      </c>
      <c r="I22">
        <v>2500</v>
      </c>
      <c r="J22">
        <v>4.3750000000000004E-3</v>
      </c>
      <c r="M22" t="s">
        <v>201</v>
      </c>
      <c r="P22" t="s">
        <v>201</v>
      </c>
      <c r="S22" t="s">
        <v>201</v>
      </c>
      <c r="V22" t="s">
        <v>201</v>
      </c>
      <c r="Y22" t="s">
        <v>201</v>
      </c>
    </row>
    <row r="23" spans="1:25" x14ac:dyDescent="0.25">
      <c r="A23">
        <v>20</v>
      </c>
      <c r="B23" t="s">
        <v>200</v>
      </c>
      <c r="C23">
        <v>5</v>
      </c>
      <c r="D23">
        <v>9.1630010277492282</v>
      </c>
      <c r="E23">
        <v>0</v>
      </c>
      <c r="F23">
        <v>9.1630010277492282</v>
      </c>
      <c r="G23">
        <v>4865</v>
      </c>
      <c r="H23" t="s">
        <v>149</v>
      </c>
      <c r="I23">
        <v>150</v>
      </c>
      <c r="J23">
        <v>0</v>
      </c>
      <c r="K23" t="s">
        <v>69</v>
      </c>
      <c r="L23">
        <v>4715</v>
      </c>
      <c r="M23">
        <v>1.5626167011674996</v>
      </c>
      <c r="P23" t="s">
        <v>201</v>
      </c>
      <c r="S23" t="s">
        <v>201</v>
      </c>
      <c r="V23" t="s">
        <v>201</v>
      </c>
      <c r="Y23" t="s">
        <v>201</v>
      </c>
    </row>
    <row r="24" spans="1:25" x14ac:dyDescent="0.25">
      <c r="A24">
        <v>21</v>
      </c>
      <c r="B24" t="s">
        <v>200</v>
      </c>
      <c r="C24">
        <v>5</v>
      </c>
      <c r="D24">
        <v>30.662595419847328</v>
      </c>
      <c r="E24">
        <v>4.9999999999999991</v>
      </c>
      <c r="F24">
        <v>25.662595419847328</v>
      </c>
      <c r="G24">
        <v>2620</v>
      </c>
      <c r="H24" t="s">
        <v>149</v>
      </c>
      <c r="I24">
        <v>1200</v>
      </c>
      <c r="J24">
        <v>0</v>
      </c>
      <c r="K24" t="s">
        <v>155</v>
      </c>
      <c r="L24">
        <v>1210</v>
      </c>
      <c r="M24">
        <v>2.1312500000000001</v>
      </c>
      <c r="N24" t="s">
        <v>149</v>
      </c>
      <c r="O24">
        <v>210</v>
      </c>
      <c r="P24">
        <v>0</v>
      </c>
      <c r="S24" t="s">
        <v>201</v>
      </c>
      <c r="V24" t="s">
        <v>201</v>
      </c>
      <c r="Y24" t="s">
        <v>201</v>
      </c>
    </row>
    <row r="25" spans="1:25" x14ac:dyDescent="0.25">
      <c r="A25">
        <v>22</v>
      </c>
      <c r="B25" t="s">
        <v>200</v>
      </c>
      <c r="C25">
        <v>5</v>
      </c>
      <c r="D25">
        <v>32</v>
      </c>
      <c r="E25">
        <v>0</v>
      </c>
      <c r="F25">
        <v>32</v>
      </c>
      <c r="G25">
        <v>2600</v>
      </c>
      <c r="H25" t="s">
        <v>149</v>
      </c>
      <c r="I25">
        <v>2600</v>
      </c>
      <c r="J25">
        <v>0</v>
      </c>
      <c r="M25" t="s">
        <v>201</v>
      </c>
      <c r="P25" t="s">
        <v>201</v>
      </c>
      <c r="S25" t="s">
        <v>201</v>
      </c>
      <c r="V25" t="s">
        <v>201</v>
      </c>
      <c r="Y25" t="s">
        <v>201</v>
      </c>
    </row>
    <row r="26" spans="1:25" x14ac:dyDescent="0.25">
      <c r="A26">
        <v>23</v>
      </c>
      <c r="B26" t="s">
        <v>200</v>
      </c>
      <c r="C26">
        <v>5</v>
      </c>
      <c r="D26">
        <v>10</v>
      </c>
      <c r="E26">
        <v>0</v>
      </c>
      <c r="F26">
        <v>10</v>
      </c>
      <c r="G26">
        <v>2700</v>
      </c>
      <c r="H26" t="s">
        <v>153</v>
      </c>
      <c r="I26">
        <v>2700</v>
      </c>
      <c r="J26">
        <v>0</v>
      </c>
      <c r="M26" t="s">
        <v>201</v>
      </c>
      <c r="P26" t="s">
        <v>201</v>
      </c>
      <c r="S26" t="s">
        <v>201</v>
      </c>
      <c r="V26" t="s">
        <v>201</v>
      </c>
      <c r="Y26" t="s">
        <v>201</v>
      </c>
    </row>
    <row r="27" spans="1:25" x14ac:dyDescent="0.25">
      <c r="A27">
        <v>24</v>
      </c>
      <c r="B27" t="s">
        <v>200</v>
      </c>
      <c r="C27">
        <v>5</v>
      </c>
      <c r="D27">
        <v>7.3635999999999999</v>
      </c>
      <c r="E27">
        <v>0</v>
      </c>
      <c r="F27">
        <v>7.3635999999999999</v>
      </c>
      <c r="G27">
        <v>2700</v>
      </c>
      <c r="H27" t="s">
        <v>154</v>
      </c>
      <c r="I27">
        <v>2700</v>
      </c>
      <c r="J27">
        <v>4.725E-3</v>
      </c>
      <c r="M27" t="s">
        <v>201</v>
      </c>
      <c r="P27" t="s">
        <v>201</v>
      </c>
      <c r="S27" t="s">
        <v>201</v>
      </c>
      <c r="V27" t="s">
        <v>201</v>
      </c>
      <c r="Y27" t="s">
        <v>201</v>
      </c>
    </row>
    <row r="28" spans="1:25" x14ac:dyDescent="0.25">
      <c r="A28">
        <v>25</v>
      </c>
      <c r="B28" t="s">
        <v>200</v>
      </c>
      <c r="C28">
        <v>6</v>
      </c>
      <c r="D28">
        <v>7.9090999999999996</v>
      </c>
      <c r="E28">
        <v>0</v>
      </c>
      <c r="F28">
        <v>7.9090999999999996</v>
      </c>
      <c r="G28">
        <v>2900</v>
      </c>
      <c r="H28" t="s">
        <v>154</v>
      </c>
      <c r="I28">
        <v>2900</v>
      </c>
      <c r="J28">
        <v>5.0749999999999997E-3</v>
      </c>
      <c r="M28" t="s">
        <v>201</v>
      </c>
      <c r="P28" t="s">
        <v>201</v>
      </c>
      <c r="S28" t="s">
        <v>201</v>
      </c>
      <c r="V28" t="s">
        <v>201</v>
      </c>
      <c r="Y28" t="s">
        <v>201</v>
      </c>
    </row>
    <row r="29" spans="1:25" x14ac:dyDescent="0.25">
      <c r="A29">
        <v>26</v>
      </c>
      <c r="B29" t="s">
        <v>200</v>
      </c>
      <c r="C29">
        <v>6</v>
      </c>
      <c r="D29">
        <v>11</v>
      </c>
      <c r="E29">
        <v>0</v>
      </c>
      <c r="F29">
        <v>11</v>
      </c>
      <c r="G29">
        <v>2900</v>
      </c>
      <c r="H29" t="s">
        <v>153</v>
      </c>
      <c r="I29">
        <v>2900</v>
      </c>
      <c r="J29">
        <v>0</v>
      </c>
      <c r="M29" t="s">
        <v>201</v>
      </c>
      <c r="P29" t="s">
        <v>201</v>
      </c>
      <c r="S29" t="s">
        <v>201</v>
      </c>
      <c r="V29" t="s">
        <v>201</v>
      </c>
      <c r="Y29" t="s">
        <v>201</v>
      </c>
    </row>
    <row r="30" spans="1:25" x14ac:dyDescent="0.25">
      <c r="A30">
        <v>27</v>
      </c>
      <c r="B30" t="s">
        <v>200</v>
      </c>
      <c r="C30">
        <v>6</v>
      </c>
      <c r="D30">
        <v>23</v>
      </c>
      <c r="E30">
        <v>6</v>
      </c>
      <c r="F30">
        <v>17</v>
      </c>
      <c r="G30">
        <v>2600</v>
      </c>
      <c r="H30" t="s">
        <v>159</v>
      </c>
      <c r="I30">
        <v>1300</v>
      </c>
      <c r="J30">
        <v>0.23399999999999999</v>
      </c>
      <c r="K30" t="s">
        <v>149</v>
      </c>
      <c r="L30">
        <v>1300</v>
      </c>
      <c r="M30">
        <v>0</v>
      </c>
      <c r="P30" t="s">
        <v>201</v>
      </c>
      <c r="S30" t="s">
        <v>201</v>
      </c>
      <c r="V30" t="s">
        <v>201</v>
      </c>
      <c r="Y30" t="s">
        <v>201</v>
      </c>
    </row>
    <row r="31" spans="1:25" x14ac:dyDescent="0.25">
      <c r="A31">
        <v>28</v>
      </c>
      <c r="B31" t="s">
        <v>200</v>
      </c>
      <c r="C31">
        <v>6</v>
      </c>
      <c r="D31">
        <v>8.0230423620025668</v>
      </c>
      <c r="E31">
        <v>0</v>
      </c>
      <c r="F31">
        <v>8.0230423620025668</v>
      </c>
      <c r="G31">
        <v>3894.9999999999995</v>
      </c>
      <c r="H31" t="s">
        <v>149</v>
      </c>
      <c r="I31">
        <v>100</v>
      </c>
      <c r="J31">
        <v>0</v>
      </c>
      <c r="K31" t="s">
        <v>69</v>
      </c>
      <c r="L31">
        <v>3794.9999999999995</v>
      </c>
      <c r="M31">
        <v>1.2573844674929999</v>
      </c>
      <c r="P31" t="s">
        <v>201</v>
      </c>
      <c r="S31" t="s">
        <v>201</v>
      </c>
      <c r="V31" t="s">
        <v>201</v>
      </c>
      <c r="Y31" t="s">
        <v>201</v>
      </c>
    </row>
    <row r="32" spans="1:25" x14ac:dyDescent="0.25">
      <c r="A32">
        <v>29</v>
      </c>
      <c r="B32" t="s">
        <v>200</v>
      </c>
      <c r="C32">
        <v>6</v>
      </c>
      <c r="D32">
        <v>35</v>
      </c>
      <c r="E32">
        <v>0</v>
      </c>
      <c r="F32">
        <v>35</v>
      </c>
      <c r="G32">
        <v>2900</v>
      </c>
      <c r="H32" t="s">
        <v>149</v>
      </c>
      <c r="I32">
        <v>2900</v>
      </c>
      <c r="J32">
        <v>0</v>
      </c>
      <c r="M32" t="s">
        <v>201</v>
      </c>
      <c r="P32" t="s">
        <v>201</v>
      </c>
      <c r="S32" t="s">
        <v>201</v>
      </c>
      <c r="V32" t="s">
        <v>201</v>
      </c>
      <c r="Y32" t="s">
        <v>201</v>
      </c>
    </row>
    <row r="33" spans="1:25" x14ac:dyDescent="0.25">
      <c r="A33">
        <v>30</v>
      </c>
      <c r="B33" t="s">
        <v>200</v>
      </c>
      <c r="C33">
        <v>7</v>
      </c>
      <c r="D33">
        <v>8.0132867132867123</v>
      </c>
      <c r="E33">
        <v>0</v>
      </c>
      <c r="F33">
        <v>8.0132867132867123</v>
      </c>
      <c r="G33">
        <v>2860</v>
      </c>
      <c r="H33" t="s">
        <v>149</v>
      </c>
      <c r="I33">
        <v>100</v>
      </c>
      <c r="J33">
        <v>0</v>
      </c>
      <c r="K33" t="s">
        <v>69</v>
      </c>
      <c r="L33">
        <v>2760</v>
      </c>
      <c r="M33">
        <v>0.91470245921999982</v>
      </c>
      <c r="P33" t="s">
        <v>201</v>
      </c>
      <c r="S33" t="s">
        <v>201</v>
      </c>
      <c r="V33" t="s">
        <v>201</v>
      </c>
      <c r="Y33" t="s">
        <v>201</v>
      </c>
    </row>
    <row r="34" spans="1:25" x14ac:dyDescent="0.25">
      <c r="A34">
        <v>31</v>
      </c>
      <c r="B34" t="s">
        <v>200</v>
      </c>
      <c r="C34">
        <v>7</v>
      </c>
      <c r="D34">
        <v>31</v>
      </c>
      <c r="E34">
        <v>0</v>
      </c>
      <c r="F34">
        <v>31</v>
      </c>
      <c r="G34">
        <v>2400</v>
      </c>
      <c r="H34" t="s">
        <v>149</v>
      </c>
      <c r="I34">
        <v>2400</v>
      </c>
      <c r="J34">
        <v>0</v>
      </c>
      <c r="M34" t="s">
        <v>201</v>
      </c>
      <c r="P34" t="s">
        <v>201</v>
      </c>
      <c r="S34" t="s">
        <v>201</v>
      </c>
      <c r="V34" t="s">
        <v>201</v>
      </c>
      <c r="Y34" t="s">
        <v>201</v>
      </c>
    </row>
    <row r="35" spans="1:25" x14ac:dyDescent="0.25">
      <c r="A35">
        <v>32</v>
      </c>
      <c r="B35" t="s">
        <v>200</v>
      </c>
      <c r="C35">
        <v>7</v>
      </c>
      <c r="D35">
        <v>9</v>
      </c>
      <c r="E35">
        <v>0</v>
      </c>
      <c r="F35">
        <v>9</v>
      </c>
      <c r="G35">
        <v>2400</v>
      </c>
      <c r="H35" t="s">
        <v>153</v>
      </c>
      <c r="I35">
        <v>2400</v>
      </c>
      <c r="J35">
        <v>0</v>
      </c>
      <c r="M35" t="s">
        <v>201</v>
      </c>
      <c r="P35" t="s">
        <v>201</v>
      </c>
      <c r="S35" t="s">
        <v>201</v>
      </c>
      <c r="V35" t="s">
        <v>201</v>
      </c>
      <c r="Y35" t="s">
        <v>201</v>
      </c>
    </row>
    <row r="36" spans="1:25" x14ac:dyDescent="0.25">
      <c r="A36">
        <v>33</v>
      </c>
      <c r="B36" t="s">
        <v>200</v>
      </c>
      <c r="C36">
        <v>7</v>
      </c>
      <c r="D36">
        <v>6.5454999999999997</v>
      </c>
      <c r="E36">
        <v>0</v>
      </c>
      <c r="F36">
        <v>6.5454999999999997</v>
      </c>
      <c r="G36">
        <v>2400</v>
      </c>
      <c r="H36" t="s">
        <v>154</v>
      </c>
      <c r="I36">
        <v>2400</v>
      </c>
      <c r="J36">
        <v>4.1999999999999997E-3</v>
      </c>
      <c r="M36" t="s">
        <v>201</v>
      </c>
      <c r="P36" t="s">
        <v>201</v>
      </c>
      <c r="S36" t="s">
        <v>201</v>
      </c>
      <c r="V36" t="s">
        <v>201</v>
      </c>
      <c r="Y36" t="s">
        <v>201</v>
      </c>
    </row>
    <row r="37" spans="1:25" x14ac:dyDescent="0.25">
      <c r="A37">
        <v>34</v>
      </c>
      <c r="B37" t="s">
        <v>200</v>
      </c>
      <c r="C37">
        <v>8</v>
      </c>
      <c r="D37">
        <v>13.572151898734177</v>
      </c>
      <c r="E37">
        <v>0</v>
      </c>
      <c r="F37">
        <v>13.572151898734177</v>
      </c>
      <c r="G37">
        <v>3160</v>
      </c>
      <c r="H37" t="s">
        <v>149</v>
      </c>
      <c r="I37">
        <v>400</v>
      </c>
      <c r="J37">
        <v>0</v>
      </c>
      <c r="K37" t="s">
        <v>69</v>
      </c>
      <c r="L37">
        <v>2760</v>
      </c>
      <c r="M37">
        <v>0.91470245921999982</v>
      </c>
      <c r="P37" t="s">
        <v>201</v>
      </c>
      <c r="S37" t="s">
        <v>201</v>
      </c>
      <c r="V37" t="s">
        <v>201</v>
      </c>
      <c r="Y37" t="s">
        <v>201</v>
      </c>
    </row>
    <row r="38" spans="1:25" x14ac:dyDescent="0.25">
      <c r="A38">
        <v>35</v>
      </c>
      <c r="B38" t="s">
        <v>200</v>
      </c>
      <c r="C38">
        <v>8</v>
      </c>
      <c r="D38">
        <v>13.231833910034601</v>
      </c>
      <c r="E38">
        <v>0.82698961937716253</v>
      </c>
      <c r="F38">
        <v>12.404844290657438</v>
      </c>
      <c r="G38">
        <v>2890</v>
      </c>
      <c r="H38" t="s">
        <v>149</v>
      </c>
      <c r="I38">
        <v>700</v>
      </c>
      <c r="J38">
        <v>0</v>
      </c>
      <c r="K38" t="s">
        <v>159</v>
      </c>
      <c r="L38">
        <v>1500</v>
      </c>
      <c r="M38">
        <v>0.27</v>
      </c>
      <c r="N38" t="s">
        <v>149</v>
      </c>
      <c r="O38">
        <v>190</v>
      </c>
      <c r="P38">
        <v>0</v>
      </c>
      <c r="S38" t="s">
        <v>201</v>
      </c>
      <c r="V38" t="s">
        <v>201</v>
      </c>
      <c r="Y38" t="s">
        <v>201</v>
      </c>
    </row>
    <row r="39" spans="1:25" x14ac:dyDescent="0.25">
      <c r="A39">
        <v>36</v>
      </c>
      <c r="B39" t="s">
        <v>200</v>
      </c>
      <c r="C39">
        <v>8</v>
      </c>
      <c r="D39">
        <v>31</v>
      </c>
      <c r="E39">
        <v>0</v>
      </c>
      <c r="F39">
        <v>31</v>
      </c>
      <c r="G39">
        <v>2400</v>
      </c>
      <c r="H39" t="s">
        <v>149</v>
      </c>
      <c r="I39">
        <v>2400</v>
      </c>
      <c r="J39">
        <v>0</v>
      </c>
      <c r="M39" t="s">
        <v>201</v>
      </c>
      <c r="P39" t="s">
        <v>201</v>
      </c>
      <c r="S39" t="s">
        <v>201</v>
      </c>
      <c r="V39" t="s">
        <v>201</v>
      </c>
      <c r="Y39" t="s">
        <v>201</v>
      </c>
    </row>
    <row r="40" spans="1:25" x14ac:dyDescent="0.25">
      <c r="A40">
        <v>37</v>
      </c>
      <c r="B40" t="s">
        <v>200</v>
      </c>
      <c r="C40">
        <v>8</v>
      </c>
      <c r="D40">
        <v>10</v>
      </c>
      <c r="E40">
        <v>0</v>
      </c>
      <c r="F40">
        <v>10</v>
      </c>
      <c r="G40">
        <v>2600</v>
      </c>
      <c r="H40" t="s">
        <v>153</v>
      </c>
      <c r="I40">
        <v>2600</v>
      </c>
      <c r="J40">
        <v>0</v>
      </c>
      <c r="M40" t="s">
        <v>201</v>
      </c>
      <c r="P40" t="s">
        <v>201</v>
      </c>
      <c r="S40" t="s">
        <v>201</v>
      </c>
      <c r="V40" t="s">
        <v>201</v>
      </c>
      <c r="Y40" t="s">
        <v>201</v>
      </c>
    </row>
    <row r="41" spans="1:25" x14ac:dyDescent="0.25">
      <c r="A41">
        <v>38</v>
      </c>
      <c r="B41" t="s">
        <v>200</v>
      </c>
      <c r="C41">
        <v>8</v>
      </c>
      <c r="D41">
        <v>7.0909000000000004</v>
      </c>
      <c r="E41">
        <v>0</v>
      </c>
      <c r="F41">
        <v>7.0909000000000004</v>
      </c>
      <c r="G41">
        <v>2600</v>
      </c>
      <c r="H41" t="s">
        <v>154</v>
      </c>
      <c r="I41">
        <v>2600</v>
      </c>
      <c r="J41">
        <v>4.5500000000000002E-3</v>
      </c>
      <c r="M41" t="s">
        <v>201</v>
      </c>
      <c r="P41" t="s">
        <v>201</v>
      </c>
      <c r="S41" t="s">
        <v>201</v>
      </c>
      <c r="V41" t="s">
        <v>201</v>
      </c>
      <c r="Y41" t="s">
        <v>201</v>
      </c>
    </row>
    <row r="42" spans="1:25" x14ac:dyDescent="0.25">
      <c r="A42">
        <v>39</v>
      </c>
      <c r="B42" t="s">
        <v>200</v>
      </c>
      <c r="C42">
        <v>9</v>
      </c>
      <c r="D42">
        <v>28</v>
      </c>
      <c r="E42">
        <v>0</v>
      </c>
      <c r="F42">
        <v>28</v>
      </c>
      <c r="G42">
        <v>2200</v>
      </c>
      <c r="H42" t="s">
        <v>149</v>
      </c>
      <c r="I42">
        <v>2200</v>
      </c>
      <c r="J42">
        <v>0</v>
      </c>
      <c r="M42" t="s">
        <v>201</v>
      </c>
      <c r="P42" t="s">
        <v>201</v>
      </c>
      <c r="S42" t="s">
        <v>201</v>
      </c>
      <c r="V42" t="s">
        <v>201</v>
      </c>
      <c r="Y42" t="s">
        <v>201</v>
      </c>
    </row>
    <row r="43" spans="1:25" x14ac:dyDescent="0.25">
      <c r="A43">
        <v>40</v>
      </c>
      <c r="B43" t="s">
        <v>200</v>
      </c>
      <c r="C43">
        <v>9</v>
      </c>
      <c r="D43">
        <v>6</v>
      </c>
      <c r="E43">
        <v>0</v>
      </c>
      <c r="F43">
        <v>6</v>
      </c>
      <c r="G43">
        <v>2200</v>
      </c>
      <c r="H43" t="s">
        <v>154</v>
      </c>
      <c r="I43">
        <v>2200</v>
      </c>
      <c r="J43">
        <v>3.8500000000000006E-3</v>
      </c>
      <c r="M43" t="s">
        <v>201</v>
      </c>
      <c r="P43" t="s">
        <v>201</v>
      </c>
      <c r="S43" t="s">
        <v>201</v>
      </c>
      <c r="V43" t="s">
        <v>201</v>
      </c>
      <c r="Y43" t="s">
        <v>201</v>
      </c>
    </row>
    <row r="44" spans="1:25" x14ac:dyDescent="0.25">
      <c r="A44">
        <v>41</v>
      </c>
      <c r="B44" t="s">
        <v>200</v>
      </c>
      <c r="C44">
        <v>9</v>
      </c>
      <c r="D44">
        <v>5.7214828897338403</v>
      </c>
      <c r="E44">
        <v>0</v>
      </c>
      <c r="F44">
        <v>5.7214828897338403</v>
      </c>
      <c r="G44">
        <v>2630</v>
      </c>
      <c r="H44" t="s">
        <v>149</v>
      </c>
      <c r="I44">
        <v>100</v>
      </c>
      <c r="J44">
        <v>0</v>
      </c>
      <c r="K44" t="s">
        <v>69</v>
      </c>
      <c r="L44">
        <v>2530</v>
      </c>
      <c r="M44">
        <v>0.83847725428499986</v>
      </c>
      <c r="P44" t="s">
        <v>201</v>
      </c>
      <c r="S44" t="s">
        <v>201</v>
      </c>
      <c r="V44" t="s">
        <v>201</v>
      </c>
      <c r="Y44" t="s">
        <v>201</v>
      </c>
    </row>
    <row r="45" spans="1:25" x14ac:dyDescent="0.25">
      <c r="A45">
        <v>42</v>
      </c>
      <c r="B45" t="s">
        <v>200</v>
      </c>
      <c r="C45">
        <v>9</v>
      </c>
      <c r="D45">
        <v>8</v>
      </c>
      <c r="E45">
        <v>0</v>
      </c>
      <c r="F45">
        <v>8</v>
      </c>
      <c r="G45">
        <v>2200</v>
      </c>
      <c r="H45" t="s">
        <v>153</v>
      </c>
      <c r="I45">
        <v>2200</v>
      </c>
      <c r="J45">
        <v>0</v>
      </c>
      <c r="M45" t="s">
        <v>201</v>
      </c>
      <c r="P45" t="s">
        <v>201</v>
      </c>
      <c r="S45" t="s">
        <v>201</v>
      </c>
      <c r="V45" t="s">
        <v>201</v>
      </c>
      <c r="Y45" t="s">
        <v>201</v>
      </c>
    </row>
    <row r="46" spans="1:25" x14ac:dyDescent="0.25">
      <c r="A46">
        <v>43</v>
      </c>
      <c r="B46" t="s">
        <v>200</v>
      </c>
      <c r="C46">
        <v>10</v>
      </c>
      <c r="D46">
        <v>6.8606126914660832</v>
      </c>
      <c r="E46">
        <v>0</v>
      </c>
      <c r="F46">
        <v>6.8606126914660832</v>
      </c>
      <c r="G46">
        <v>2285</v>
      </c>
      <c r="H46" t="s">
        <v>149</v>
      </c>
      <c r="I46">
        <v>100</v>
      </c>
      <c r="J46">
        <v>0</v>
      </c>
      <c r="K46" t="s">
        <v>69</v>
      </c>
      <c r="L46">
        <v>2185</v>
      </c>
      <c r="M46">
        <v>0.72413944688249987</v>
      </c>
      <c r="P46" t="s">
        <v>201</v>
      </c>
      <c r="S46" t="s">
        <v>201</v>
      </c>
      <c r="V46" t="s">
        <v>201</v>
      </c>
      <c r="Y46" t="s">
        <v>201</v>
      </c>
    </row>
    <row r="47" spans="1:25" x14ac:dyDescent="0.25">
      <c r="A47">
        <v>44</v>
      </c>
      <c r="B47" t="s">
        <v>200</v>
      </c>
      <c r="C47">
        <v>10</v>
      </c>
      <c r="D47">
        <v>28</v>
      </c>
      <c r="E47">
        <v>0</v>
      </c>
      <c r="F47">
        <v>28</v>
      </c>
      <c r="G47">
        <v>2000</v>
      </c>
      <c r="H47" t="s">
        <v>149</v>
      </c>
      <c r="I47">
        <v>2000</v>
      </c>
      <c r="J47">
        <v>0</v>
      </c>
      <c r="M47" t="s">
        <v>201</v>
      </c>
      <c r="P47" t="s">
        <v>201</v>
      </c>
      <c r="S47" t="s">
        <v>201</v>
      </c>
      <c r="V47" t="s">
        <v>201</v>
      </c>
      <c r="Y47" t="s">
        <v>201</v>
      </c>
    </row>
    <row r="48" spans="1:25" x14ac:dyDescent="0.25">
      <c r="A48">
        <v>45</v>
      </c>
      <c r="B48" t="s">
        <v>200</v>
      </c>
      <c r="C48">
        <v>10</v>
      </c>
      <c r="D48">
        <v>13</v>
      </c>
      <c r="E48">
        <v>0</v>
      </c>
      <c r="F48">
        <v>13</v>
      </c>
      <c r="G48">
        <v>2000</v>
      </c>
      <c r="H48" t="s">
        <v>153</v>
      </c>
      <c r="I48">
        <v>2000</v>
      </c>
      <c r="J48">
        <v>0</v>
      </c>
      <c r="M48" t="s">
        <v>201</v>
      </c>
      <c r="P48" t="s">
        <v>201</v>
      </c>
      <c r="S48" t="s">
        <v>201</v>
      </c>
      <c r="V48" t="s">
        <v>201</v>
      </c>
      <c r="Y48" t="s">
        <v>201</v>
      </c>
    </row>
    <row r="49" spans="1:25" x14ac:dyDescent="0.25">
      <c r="A49">
        <v>46</v>
      </c>
      <c r="B49" t="s">
        <v>200</v>
      </c>
      <c r="C49">
        <v>10</v>
      </c>
      <c r="D49">
        <v>5.4545000000000003</v>
      </c>
      <c r="E49">
        <v>0</v>
      </c>
      <c r="F49">
        <v>5.4545000000000003</v>
      </c>
      <c r="G49">
        <v>2000</v>
      </c>
      <c r="H49" t="s">
        <v>154</v>
      </c>
      <c r="I49">
        <v>2000</v>
      </c>
      <c r="J49">
        <v>3.5000000000000001E-3</v>
      </c>
      <c r="M49" t="s">
        <v>201</v>
      </c>
      <c r="P49" t="s">
        <v>201</v>
      </c>
      <c r="S49" t="s">
        <v>201</v>
      </c>
      <c r="V49" t="s">
        <v>201</v>
      </c>
      <c r="Y49" t="s">
        <v>201</v>
      </c>
    </row>
    <row r="50" spans="1:25" x14ac:dyDescent="0.25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t="s">
        <v>153</v>
      </c>
      <c r="I50">
        <v>14500</v>
      </c>
      <c r="J50">
        <v>0</v>
      </c>
    </row>
    <row r="51" spans="1:25" x14ac:dyDescent="0.25">
      <c r="A51">
        <v>48</v>
      </c>
      <c r="B51" t="s">
        <v>203</v>
      </c>
      <c r="C51">
        <v>11</v>
      </c>
      <c r="D51">
        <v>53.956930693069289</v>
      </c>
      <c r="E51">
        <v>0</v>
      </c>
      <c r="F51">
        <v>53.956930693069289</v>
      </c>
      <c r="G51">
        <v>15149.999999999998</v>
      </c>
      <c r="H51" t="s">
        <v>149</v>
      </c>
      <c r="I51">
        <v>200</v>
      </c>
      <c r="J51">
        <v>0</v>
      </c>
      <c r="K51" t="s">
        <v>69</v>
      </c>
      <c r="L51">
        <v>14949.999999999998</v>
      </c>
      <c r="M51">
        <v>4.9543069068404995</v>
      </c>
    </row>
    <row r="52" spans="1:25" x14ac:dyDescent="0.25">
      <c r="A52">
        <v>49</v>
      </c>
      <c r="B52" t="s">
        <v>203</v>
      </c>
      <c r="C52">
        <v>11</v>
      </c>
      <c r="D52">
        <v>51</v>
      </c>
      <c r="E52">
        <v>7</v>
      </c>
      <c r="F52">
        <v>44</v>
      </c>
      <c r="G52">
        <v>11610</v>
      </c>
      <c r="H52" t="s">
        <v>149</v>
      </c>
      <c r="I52">
        <v>110</v>
      </c>
      <c r="J52">
        <v>0</v>
      </c>
      <c r="K52" t="s">
        <v>159</v>
      </c>
      <c r="L52">
        <v>11000</v>
      </c>
      <c r="M52">
        <v>1.98</v>
      </c>
      <c r="N52" t="s">
        <v>149</v>
      </c>
      <c r="O52">
        <v>500</v>
      </c>
      <c r="P52">
        <v>0</v>
      </c>
    </row>
    <row r="53" spans="1:25" x14ac:dyDescent="0.25">
      <c r="A53">
        <v>50</v>
      </c>
      <c r="B53" t="s">
        <v>203</v>
      </c>
      <c r="C53">
        <v>12</v>
      </c>
      <c r="D53">
        <v>49.493063932448734</v>
      </c>
      <c r="E53">
        <v>1</v>
      </c>
      <c r="F53">
        <v>48.493063932448734</v>
      </c>
      <c r="G53">
        <v>16580</v>
      </c>
      <c r="H53" t="s">
        <v>149</v>
      </c>
      <c r="I53">
        <v>900</v>
      </c>
      <c r="J53">
        <v>0</v>
      </c>
      <c r="K53" t="s">
        <v>158</v>
      </c>
      <c r="L53">
        <v>7100</v>
      </c>
      <c r="M53">
        <v>1.9375</v>
      </c>
      <c r="N53" t="s">
        <v>155</v>
      </c>
      <c r="O53">
        <v>8580</v>
      </c>
      <c r="P53">
        <v>2.1312500000000001</v>
      </c>
    </row>
    <row r="54" spans="1:25" x14ac:dyDescent="0.25">
      <c r="A54">
        <v>51</v>
      </c>
      <c r="B54" t="s">
        <v>203</v>
      </c>
      <c r="C54">
        <v>12</v>
      </c>
      <c r="D54">
        <v>40.204288202002608</v>
      </c>
      <c r="E54">
        <v>0</v>
      </c>
      <c r="F54">
        <v>40.204288202002608</v>
      </c>
      <c r="G54">
        <v>22970</v>
      </c>
      <c r="H54" t="s">
        <v>149</v>
      </c>
      <c r="I54">
        <v>200</v>
      </c>
      <c r="J54">
        <v>0</v>
      </c>
      <c r="K54" t="s">
        <v>69</v>
      </c>
      <c r="L54">
        <v>22770</v>
      </c>
      <c r="M54">
        <v>7.5462952885649983</v>
      </c>
    </row>
    <row r="55" spans="1:25" x14ac:dyDescent="0.25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t="s">
        <v>153</v>
      </c>
      <c r="I55">
        <v>15000</v>
      </c>
      <c r="J55">
        <v>0</v>
      </c>
    </row>
    <row r="56" spans="1:25" x14ac:dyDescent="0.25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t="s">
        <v>153</v>
      </c>
      <c r="I56">
        <v>14900</v>
      </c>
      <c r="J56">
        <v>0</v>
      </c>
    </row>
    <row r="57" spans="1:25" x14ac:dyDescent="0.25">
      <c r="A57">
        <v>54</v>
      </c>
      <c r="B57" t="s">
        <v>203</v>
      </c>
      <c r="C57">
        <v>14</v>
      </c>
      <c r="D57">
        <v>45.924242424242422</v>
      </c>
      <c r="E57">
        <v>0</v>
      </c>
      <c r="F57">
        <v>45.924242424242422</v>
      </c>
      <c r="G57">
        <v>15839.999999999998</v>
      </c>
      <c r="H57" t="s">
        <v>149</v>
      </c>
      <c r="I57">
        <v>200</v>
      </c>
      <c r="J57">
        <v>0</v>
      </c>
      <c r="K57" t="s">
        <v>69</v>
      </c>
      <c r="L57">
        <v>15639.999999999998</v>
      </c>
      <c r="M57">
        <v>5.1829825216454992</v>
      </c>
    </row>
    <row r="58" spans="1:25" x14ac:dyDescent="0.25">
      <c r="A58">
        <v>55</v>
      </c>
      <c r="B58" t="s">
        <v>203</v>
      </c>
      <c r="C58">
        <v>14</v>
      </c>
      <c r="D58">
        <v>82.357032457496132</v>
      </c>
      <c r="E58">
        <v>19</v>
      </c>
      <c r="F58">
        <v>63.357032457496132</v>
      </c>
      <c r="G58">
        <v>19410</v>
      </c>
      <c r="H58" t="s">
        <v>149</v>
      </c>
      <c r="I58">
        <v>910</v>
      </c>
      <c r="J58">
        <v>0</v>
      </c>
      <c r="K58" t="s">
        <v>155</v>
      </c>
      <c r="L58">
        <v>5000</v>
      </c>
      <c r="M58">
        <v>2.1312500000000001</v>
      </c>
      <c r="N58" t="s">
        <v>158</v>
      </c>
      <c r="O58">
        <v>13500</v>
      </c>
      <c r="P58">
        <v>1.9375</v>
      </c>
    </row>
    <row r="59" spans="1:25" x14ac:dyDescent="0.25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t="s">
        <v>153</v>
      </c>
      <c r="I59">
        <v>15200</v>
      </c>
      <c r="J59">
        <v>0</v>
      </c>
    </row>
    <row r="60" spans="1:25" x14ac:dyDescent="0.25">
      <c r="A60">
        <v>57</v>
      </c>
      <c r="B60" t="s">
        <v>203</v>
      </c>
      <c r="C60">
        <v>15</v>
      </c>
      <c r="D60">
        <v>50.523002138829469</v>
      </c>
      <c r="E60">
        <v>0</v>
      </c>
      <c r="F60">
        <v>50.523002138829469</v>
      </c>
      <c r="G60">
        <v>25714.999999999996</v>
      </c>
      <c r="H60" t="s">
        <v>149</v>
      </c>
      <c r="I60">
        <v>300</v>
      </c>
      <c r="J60">
        <v>0</v>
      </c>
      <c r="K60" t="s">
        <v>69</v>
      </c>
      <c r="L60">
        <v>25414.999999999996</v>
      </c>
      <c r="M60">
        <v>8.4225537313829992</v>
      </c>
    </row>
    <row r="61" spans="1:25" x14ac:dyDescent="0.25">
      <c r="A61">
        <v>58</v>
      </c>
      <c r="B61" t="s">
        <v>203</v>
      </c>
      <c r="C61">
        <v>15</v>
      </c>
      <c r="D61">
        <v>61.702020202020208</v>
      </c>
      <c r="E61">
        <v>8</v>
      </c>
      <c r="F61">
        <v>53.702020202020208</v>
      </c>
      <c r="G61">
        <v>14850</v>
      </c>
      <c r="H61" t="s">
        <v>149</v>
      </c>
      <c r="I61">
        <v>350</v>
      </c>
      <c r="J61">
        <v>0</v>
      </c>
      <c r="K61" t="s">
        <v>155</v>
      </c>
      <c r="L61">
        <v>9500</v>
      </c>
      <c r="M61">
        <v>2.1312500000000001</v>
      </c>
      <c r="N61" t="s">
        <v>158</v>
      </c>
      <c r="O61">
        <v>5000</v>
      </c>
      <c r="P61">
        <v>1.9375</v>
      </c>
    </row>
    <row r="62" spans="1:25" x14ac:dyDescent="0.25">
      <c r="A62">
        <v>59</v>
      </c>
      <c r="B62" t="s">
        <v>202</v>
      </c>
      <c r="C62">
        <v>17</v>
      </c>
      <c r="D62">
        <v>213.88805793991412</v>
      </c>
      <c r="E62">
        <v>57.457467811158793</v>
      </c>
      <c r="F62">
        <v>156.43059012875534</v>
      </c>
      <c r="G62">
        <v>233000</v>
      </c>
      <c r="H62" t="s">
        <v>149</v>
      </c>
      <c r="I62">
        <v>500</v>
      </c>
      <c r="J62">
        <v>0</v>
      </c>
      <c r="K62" t="s">
        <v>158</v>
      </c>
      <c r="L62">
        <v>6000</v>
      </c>
      <c r="M62">
        <v>1.9375</v>
      </c>
      <c r="N62" t="s">
        <v>160</v>
      </c>
      <c r="O62">
        <v>183920</v>
      </c>
      <c r="P62">
        <v>33.105599999999995</v>
      </c>
      <c r="Q62" t="s">
        <v>159</v>
      </c>
      <c r="R62">
        <v>42180</v>
      </c>
      <c r="S62">
        <v>7.5923999999999996</v>
      </c>
      <c r="T62" t="s">
        <v>155</v>
      </c>
      <c r="U62">
        <v>1870</v>
      </c>
      <c r="V62">
        <v>2.1312500000000001</v>
      </c>
      <c r="W62" t="s">
        <v>149</v>
      </c>
      <c r="X62">
        <v>400</v>
      </c>
      <c r="Y62">
        <v>0</v>
      </c>
    </row>
    <row r="63" spans="1:25" x14ac:dyDescent="0.25">
      <c r="A63">
        <v>60</v>
      </c>
      <c r="B63" t="s">
        <v>202</v>
      </c>
      <c r="C63">
        <v>17</v>
      </c>
      <c r="D63">
        <v>195.44941730721547</v>
      </c>
      <c r="E63">
        <v>0</v>
      </c>
      <c r="F63">
        <v>195.44941730721547</v>
      </c>
      <c r="G63">
        <v>201649.99999999997</v>
      </c>
      <c r="H63" t="s">
        <v>149</v>
      </c>
      <c r="I63">
        <v>400</v>
      </c>
      <c r="J63">
        <v>0</v>
      </c>
      <c r="K63" t="s">
        <v>69</v>
      </c>
      <c r="L63">
        <v>201249.99999999997</v>
      </c>
      <c r="M63">
        <v>66.696722904190494</v>
      </c>
      <c r="P63" t="s">
        <v>201</v>
      </c>
      <c r="S63" t="s">
        <v>201</v>
      </c>
      <c r="V63" t="s">
        <v>201</v>
      </c>
      <c r="Y63" t="s">
        <v>201</v>
      </c>
    </row>
    <row r="64" spans="1:25" x14ac:dyDescent="0.25">
      <c r="A64">
        <v>61</v>
      </c>
      <c r="B64" t="s">
        <v>202</v>
      </c>
      <c r="C64">
        <v>18</v>
      </c>
      <c r="D64">
        <v>233.14727879273323</v>
      </c>
      <c r="E64">
        <v>56</v>
      </c>
      <c r="F64">
        <v>177.14727879273323</v>
      </c>
      <c r="G64">
        <v>234712</v>
      </c>
      <c r="H64" t="s">
        <v>149</v>
      </c>
      <c r="I64">
        <v>500</v>
      </c>
      <c r="J64">
        <v>0</v>
      </c>
      <c r="K64" t="s">
        <v>158</v>
      </c>
      <c r="L64">
        <v>6000</v>
      </c>
      <c r="M64">
        <v>1.9375</v>
      </c>
      <c r="N64" t="s">
        <v>160</v>
      </c>
      <c r="O64">
        <v>183920</v>
      </c>
      <c r="P64">
        <v>33.105599999999995</v>
      </c>
      <c r="Q64" t="s">
        <v>159</v>
      </c>
      <c r="R64">
        <v>42690</v>
      </c>
      <c r="S64">
        <v>7.6841999999999997</v>
      </c>
      <c r="T64" t="s">
        <v>155</v>
      </c>
      <c r="U64">
        <v>1302</v>
      </c>
      <c r="V64">
        <v>2.1312500000000001</v>
      </c>
      <c r="W64" t="s">
        <v>149</v>
      </c>
      <c r="X64">
        <v>300</v>
      </c>
      <c r="Y64">
        <v>0</v>
      </c>
    </row>
    <row r="65" spans="1:25" x14ac:dyDescent="0.25">
      <c r="A65">
        <v>62</v>
      </c>
      <c r="B65" t="s">
        <v>202</v>
      </c>
      <c r="C65">
        <v>18</v>
      </c>
      <c r="D65">
        <v>183.9509954058193</v>
      </c>
      <c r="E65">
        <v>0</v>
      </c>
      <c r="F65">
        <v>183.9509954058193</v>
      </c>
      <c r="G65">
        <v>195899.99999999997</v>
      </c>
      <c r="H65" t="s">
        <v>149</v>
      </c>
      <c r="I65">
        <v>400</v>
      </c>
      <c r="J65">
        <v>0</v>
      </c>
      <c r="K65" t="s">
        <v>69</v>
      </c>
      <c r="L65">
        <v>195499.99999999997</v>
      </c>
      <c r="M65">
        <v>64.79109278081549</v>
      </c>
      <c r="P65" t="s">
        <v>201</v>
      </c>
      <c r="S65" t="s">
        <v>201</v>
      </c>
      <c r="V65" t="s">
        <v>201</v>
      </c>
      <c r="Y65" t="s">
        <v>201</v>
      </c>
    </row>
    <row r="66" spans="1:25" x14ac:dyDescent="0.25">
      <c r="A66">
        <v>63</v>
      </c>
      <c r="B66" t="s">
        <v>202</v>
      </c>
      <c r="C66">
        <v>19</v>
      </c>
      <c r="D66">
        <v>172.45432631311849</v>
      </c>
      <c r="E66">
        <v>0</v>
      </c>
      <c r="F66">
        <v>172.45432631311849</v>
      </c>
      <c r="G66">
        <v>197049.99999999997</v>
      </c>
      <c r="H66" t="s">
        <v>149</v>
      </c>
      <c r="I66">
        <v>400</v>
      </c>
      <c r="J66">
        <v>0</v>
      </c>
      <c r="K66" t="s">
        <v>69</v>
      </c>
      <c r="L66">
        <v>196649.99999999997</v>
      </c>
      <c r="M66">
        <v>65.172218805490488</v>
      </c>
      <c r="P66" t="s">
        <v>201</v>
      </c>
      <c r="S66" t="s">
        <v>201</v>
      </c>
      <c r="V66" t="s">
        <v>201</v>
      </c>
      <c r="Y66" t="s">
        <v>201</v>
      </c>
    </row>
    <row r="67" spans="1:25" x14ac:dyDescent="0.25">
      <c r="A67">
        <v>64</v>
      </c>
      <c r="B67" t="s">
        <v>202</v>
      </c>
      <c r="C67">
        <v>22</v>
      </c>
      <c r="D67">
        <v>267.61452655596395</v>
      </c>
      <c r="E67">
        <v>75</v>
      </c>
      <c r="F67">
        <v>192.61452655596398</v>
      </c>
      <c r="G67">
        <v>236670</v>
      </c>
      <c r="H67" t="s">
        <v>149</v>
      </c>
      <c r="I67">
        <v>450</v>
      </c>
      <c r="J67">
        <v>0</v>
      </c>
      <c r="K67" t="s">
        <v>155</v>
      </c>
      <c r="L67">
        <v>5050</v>
      </c>
      <c r="M67">
        <v>2.1312500000000001</v>
      </c>
      <c r="N67" t="s">
        <v>160</v>
      </c>
      <c r="O67">
        <v>187470</v>
      </c>
      <c r="P67">
        <v>33.744599999999998</v>
      </c>
      <c r="Q67" t="s">
        <v>159</v>
      </c>
      <c r="R67">
        <v>43300</v>
      </c>
      <c r="S67">
        <v>7.7939999999999996</v>
      </c>
      <c r="T67" t="s">
        <v>149</v>
      </c>
      <c r="U67">
        <v>400</v>
      </c>
      <c r="V67">
        <v>0</v>
      </c>
      <c r="Y67" t="s">
        <v>201</v>
      </c>
    </row>
    <row r="68" spans="1:25" x14ac:dyDescent="0.25">
      <c r="A68">
        <v>65</v>
      </c>
      <c r="B68" t="s">
        <v>202</v>
      </c>
      <c r="C68">
        <v>22</v>
      </c>
      <c r="D68">
        <v>264.43077501881106</v>
      </c>
      <c r="E68">
        <v>0</v>
      </c>
      <c r="F68">
        <v>264.43077501881106</v>
      </c>
      <c r="G68">
        <v>199349.99999999997</v>
      </c>
      <c r="H68" t="s">
        <v>149</v>
      </c>
      <c r="I68">
        <v>400</v>
      </c>
      <c r="J68">
        <v>0</v>
      </c>
      <c r="K68" t="s">
        <v>69</v>
      </c>
      <c r="L68">
        <v>198949.99999999997</v>
      </c>
      <c r="M68">
        <v>65.934470854840498</v>
      </c>
      <c r="P68" t="s">
        <v>201</v>
      </c>
      <c r="S68" t="s">
        <v>201</v>
      </c>
      <c r="V68" t="s">
        <v>201</v>
      </c>
      <c r="Y68" t="s">
        <v>201</v>
      </c>
    </row>
    <row r="69" spans="1:25" x14ac:dyDescent="0.25">
      <c r="A69">
        <v>66</v>
      </c>
      <c r="B69" t="s">
        <v>202</v>
      </c>
      <c r="C69">
        <v>23</v>
      </c>
      <c r="D69">
        <v>172.45485327313767</v>
      </c>
      <c r="E69">
        <v>0</v>
      </c>
      <c r="F69">
        <v>172.45485327313767</v>
      </c>
      <c r="G69">
        <v>199349.99999999997</v>
      </c>
      <c r="H69" t="s">
        <v>149</v>
      </c>
      <c r="I69">
        <v>400</v>
      </c>
      <c r="J69">
        <v>0</v>
      </c>
      <c r="K69" t="s">
        <v>69</v>
      </c>
      <c r="L69">
        <v>198949.99999999997</v>
      </c>
      <c r="M69">
        <v>65.934470854840498</v>
      </c>
      <c r="P69" t="s">
        <v>201</v>
      </c>
      <c r="S69" t="s">
        <v>201</v>
      </c>
      <c r="V69" t="s">
        <v>201</v>
      </c>
      <c r="Y69" t="s">
        <v>201</v>
      </c>
    </row>
    <row r="70" spans="1:25" x14ac:dyDescent="0.25">
      <c r="A70">
        <v>67</v>
      </c>
      <c r="B70" t="s">
        <v>203</v>
      </c>
      <c r="C70">
        <v>24</v>
      </c>
      <c r="D70">
        <v>36.545499999999997</v>
      </c>
      <c r="E70">
        <v>0</v>
      </c>
      <c r="F70">
        <v>36.545499999999997</v>
      </c>
      <c r="G70">
        <v>13400</v>
      </c>
      <c r="H70" t="s">
        <v>154</v>
      </c>
      <c r="I70">
        <v>13400</v>
      </c>
      <c r="J70">
        <v>2.3450000000000002E-2</v>
      </c>
      <c r="M70" t="s">
        <v>201</v>
      </c>
      <c r="P70" t="s">
        <v>201</v>
      </c>
      <c r="S70" t="s">
        <v>201</v>
      </c>
      <c r="V70" t="s">
        <v>201</v>
      </c>
      <c r="Y70" t="s">
        <v>201</v>
      </c>
    </row>
    <row r="71" spans="1:25" x14ac:dyDescent="0.25">
      <c r="A71">
        <v>68</v>
      </c>
      <c r="B71" t="s">
        <v>203</v>
      </c>
      <c r="C71">
        <v>24</v>
      </c>
      <c r="D71">
        <v>28.699731903485254</v>
      </c>
      <c r="E71">
        <v>0</v>
      </c>
      <c r="F71">
        <v>28.699731903485254</v>
      </c>
      <c r="G71">
        <v>14919.999999999998</v>
      </c>
      <c r="H71" t="s">
        <v>149</v>
      </c>
      <c r="I71">
        <v>200</v>
      </c>
      <c r="J71">
        <v>0</v>
      </c>
      <c r="K71" t="s">
        <v>69</v>
      </c>
      <c r="L71">
        <v>14719.999999999998</v>
      </c>
      <c r="M71">
        <v>4.8780817019054989</v>
      </c>
      <c r="P71" t="s">
        <v>201</v>
      </c>
      <c r="S71" t="s">
        <v>201</v>
      </c>
      <c r="V71" t="s">
        <v>201</v>
      </c>
      <c r="Y71" t="s">
        <v>201</v>
      </c>
    </row>
    <row r="72" spans="1:25" x14ac:dyDescent="0.25">
      <c r="A72">
        <v>69</v>
      </c>
      <c r="B72" t="s">
        <v>203</v>
      </c>
      <c r="C72">
        <v>24</v>
      </c>
      <c r="D72">
        <v>45</v>
      </c>
      <c r="E72">
        <v>0</v>
      </c>
      <c r="F72">
        <v>45</v>
      </c>
      <c r="G72">
        <v>13400</v>
      </c>
      <c r="H72" t="s">
        <v>153</v>
      </c>
      <c r="I72">
        <v>13400</v>
      </c>
      <c r="J72">
        <v>0</v>
      </c>
      <c r="M72" t="s">
        <v>201</v>
      </c>
      <c r="P72" t="s">
        <v>201</v>
      </c>
      <c r="S72" t="s">
        <v>201</v>
      </c>
      <c r="V72" t="s">
        <v>201</v>
      </c>
      <c r="Y72" t="s">
        <v>201</v>
      </c>
    </row>
    <row r="73" spans="1:25" x14ac:dyDescent="0.25">
      <c r="A73">
        <v>70</v>
      </c>
      <c r="B73" t="s">
        <v>203</v>
      </c>
      <c r="C73">
        <v>24</v>
      </c>
      <c r="D73">
        <v>82.913043478260875</v>
      </c>
      <c r="E73">
        <v>26</v>
      </c>
      <c r="F73">
        <v>56.913043478260867</v>
      </c>
      <c r="G73">
        <v>13800</v>
      </c>
      <c r="H73" t="s">
        <v>149</v>
      </c>
      <c r="I73">
        <v>2150</v>
      </c>
      <c r="J73">
        <v>0</v>
      </c>
      <c r="K73" t="s">
        <v>159</v>
      </c>
      <c r="L73">
        <v>8450</v>
      </c>
      <c r="M73">
        <v>1.5209999999999999</v>
      </c>
      <c r="N73" t="s">
        <v>155</v>
      </c>
      <c r="O73">
        <v>3200</v>
      </c>
      <c r="P73">
        <v>2.1312500000000001</v>
      </c>
      <c r="S73" t="s">
        <v>201</v>
      </c>
      <c r="V73" t="s">
        <v>201</v>
      </c>
      <c r="Y73" t="s">
        <v>201</v>
      </c>
    </row>
    <row r="74" spans="1:25" x14ac:dyDescent="0.25">
      <c r="A74">
        <v>71</v>
      </c>
      <c r="B74" t="s">
        <v>203</v>
      </c>
      <c r="C74">
        <v>25</v>
      </c>
      <c r="D74">
        <v>40</v>
      </c>
      <c r="E74">
        <v>0</v>
      </c>
      <c r="F74">
        <v>40</v>
      </c>
      <c r="G74">
        <v>12200</v>
      </c>
      <c r="H74" t="s">
        <v>153</v>
      </c>
      <c r="I74">
        <v>12200</v>
      </c>
      <c r="J74">
        <v>0</v>
      </c>
      <c r="M74" t="s">
        <v>201</v>
      </c>
      <c r="P74" t="s">
        <v>201</v>
      </c>
      <c r="S74" t="s">
        <v>201</v>
      </c>
      <c r="V74" t="s">
        <v>201</v>
      </c>
      <c r="Y74" t="s">
        <v>201</v>
      </c>
    </row>
    <row r="75" spans="1:25" x14ac:dyDescent="0.25">
      <c r="A75">
        <v>72</v>
      </c>
      <c r="B75" t="s">
        <v>203</v>
      </c>
      <c r="C75">
        <v>25</v>
      </c>
      <c r="D75">
        <v>108.86117647058823</v>
      </c>
      <c r="E75">
        <v>30</v>
      </c>
      <c r="F75">
        <v>78.861176470588234</v>
      </c>
      <c r="G75">
        <v>12750</v>
      </c>
      <c r="H75" t="s">
        <v>149</v>
      </c>
      <c r="I75">
        <v>1950</v>
      </c>
      <c r="J75">
        <v>0</v>
      </c>
      <c r="K75" t="s">
        <v>156</v>
      </c>
      <c r="L75">
        <v>7600</v>
      </c>
      <c r="M75">
        <v>1.9375</v>
      </c>
      <c r="N75" t="s">
        <v>155</v>
      </c>
      <c r="O75">
        <v>3200</v>
      </c>
      <c r="P75">
        <v>2.1312500000000001</v>
      </c>
      <c r="S75" t="s">
        <v>201</v>
      </c>
      <c r="V75" t="s">
        <v>201</v>
      </c>
      <c r="Y75" t="s">
        <v>201</v>
      </c>
    </row>
    <row r="76" spans="1:25" x14ac:dyDescent="0.25">
      <c r="A76">
        <v>73</v>
      </c>
      <c r="B76" t="s">
        <v>203</v>
      </c>
      <c r="C76">
        <v>25</v>
      </c>
      <c r="D76">
        <v>32.144130362487523</v>
      </c>
      <c r="E76">
        <v>0</v>
      </c>
      <c r="F76">
        <v>32.144130362487523</v>
      </c>
      <c r="G76">
        <v>15034.999999999998</v>
      </c>
      <c r="H76" t="s">
        <v>149</v>
      </c>
      <c r="I76">
        <v>200</v>
      </c>
      <c r="J76">
        <v>0</v>
      </c>
      <c r="K76" t="s">
        <v>69</v>
      </c>
      <c r="L76">
        <v>14834.999999999998</v>
      </c>
      <c r="M76">
        <v>4.9161943043729988</v>
      </c>
      <c r="P76" t="s">
        <v>201</v>
      </c>
      <c r="S76" t="s">
        <v>201</v>
      </c>
      <c r="V76" t="s">
        <v>201</v>
      </c>
      <c r="Y76" t="s">
        <v>201</v>
      </c>
    </row>
    <row r="77" spans="1:25" x14ac:dyDescent="0.25">
      <c r="A77">
        <v>74</v>
      </c>
      <c r="B77" t="s">
        <v>203</v>
      </c>
      <c r="C77">
        <v>25</v>
      </c>
      <c r="D77">
        <v>33.2727</v>
      </c>
      <c r="E77">
        <v>0</v>
      </c>
      <c r="F77">
        <v>33.2727</v>
      </c>
      <c r="G77">
        <v>12200</v>
      </c>
      <c r="H77" t="s">
        <v>154</v>
      </c>
      <c r="I77">
        <v>12200</v>
      </c>
      <c r="J77">
        <v>2.1350000000000001E-2</v>
      </c>
      <c r="M77" t="s">
        <v>201</v>
      </c>
      <c r="P77" t="s">
        <v>201</v>
      </c>
      <c r="S77" t="s">
        <v>201</v>
      </c>
      <c r="V77" t="s">
        <v>201</v>
      </c>
      <c r="Y77" t="s">
        <v>201</v>
      </c>
    </row>
    <row r="78" spans="1:25" x14ac:dyDescent="0.25">
      <c r="A78">
        <v>75</v>
      </c>
      <c r="B78" t="s">
        <v>203</v>
      </c>
      <c r="C78">
        <v>26</v>
      </c>
      <c r="D78">
        <v>39.2727</v>
      </c>
      <c r="E78">
        <v>0</v>
      </c>
      <c r="F78">
        <v>39.2727</v>
      </c>
      <c r="G78">
        <v>14400</v>
      </c>
      <c r="H78" t="s">
        <v>154</v>
      </c>
      <c r="I78">
        <v>14400</v>
      </c>
      <c r="J78">
        <v>2.52E-2</v>
      </c>
      <c r="M78" t="s">
        <v>201</v>
      </c>
      <c r="P78" t="s">
        <v>201</v>
      </c>
      <c r="S78" t="s">
        <v>201</v>
      </c>
      <c r="V78" t="s">
        <v>201</v>
      </c>
      <c r="Y78" t="s">
        <v>201</v>
      </c>
    </row>
    <row r="79" spans="1:25" x14ac:dyDescent="0.25">
      <c r="A79">
        <v>76</v>
      </c>
      <c r="B79" t="s">
        <v>203</v>
      </c>
      <c r="C79">
        <v>26</v>
      </c>
      <c r="D79">
        <v>49</v>
      </c>
      <c r="E79">
        <v>0</v>
      </c>
      <c r="F79">
        <v>49</v>
      </c>
      <c r="G79">
        <v>14400</v>
      </c>
      <c r="H79" t="s">
        <v>153</v>
      </c>
      <c r="I79">
        <v>14400</v>
      </c>
      <c r="J79">
        <v>0</v>
      </c>
      <c r="M79" t="s">
        <v>201</v>
      </c>
      <c r="P79" t="s">
        <v>201</v>
      </c>
      <c r="S79" t="s">
        <v>201</v>
      </c>
      <c r="V79" t="s">
        <v>201</v>
      </c>
      <c r="Y79" t="s">
        <v>201</v>
      </c>
    </row>
    <row r="80" spans="1:25" x14ac:dyDescent="0.25">
      <c r="A80">
        <v>77</v>
      </c>
      <c r="B80" t="s">
        <v>203</v>
      </c>
      <c r="C80">
        <v>26</v>
      </c>
      <c r="D80">
        <v>86.90170454545455</v>
      </c>
      <c r="E80">
        <v>40</v>
      </c>
      <c r="F80">
        <v>46.901704545454542</v>
      </c>
      <c r="G80">
        <v>17600</v>
      </c>
      <c r="H80" t="s">
        <v>149</v>
      </c>
      <c r="I80">
        <v>1600</v>
      </c>
      <c r="J80">
        <v>0</v>
      </c>
      <c r="K80" t="s">
        <v>159</v>
      </c>
      <c r="L80">
        <v>13700</v>
      </c>
      <c r="M80">
        <v>2.4659999999999997</v>
      </c>
      <c r="N80" t="s">
        <v>155</v>
      </c>
      <c r="O80">
        <v>2300</v>
      </c>
      <c r="P80">
        <v>2.1312500000000001</v>
      </c>
      <c r="S80" t="s">
        <v>201</v>
      </c>
      <c r="V80" t="s">
        <v>201</v>
      </c>
      <c r="Y80" t="s">
        <v>201</v>
      </c>
    </row>
    <row r="81" spans="1:25" x14ac:dyDescent="0.25">
      <c r="A81">
        <v>78</v>
      </c>
      <c r="B81" t="s">
        <v>203</v>
      </c>
      <c r="C81">
        <v>26</v>
      </c>
      <c r="D81">
        <v>19.521153846153844</v>
      </c>
      <c r="E81">
        <v>0</v>
      </c>
      <c r="F81">
        <v>19.521153846153844</v>
      </c>
      <c r="G81">
        <v>17680</v>
      </c>
      <c r="H81" t="s">
        <v>149</v>
      </c>
      <c r="I81">
        <v>200</v>
      </c>
      <c r="J81">
        <v>0</v>
      </c>
      <c r="K81" t="s">
        <v>69</v>
      </c>
      <c r="L81">
        <v>17480</v>
      </c>
      <c r="M81">
        <v>5.793115575059999</v>
      </c>
      <c r="P81" t="s">
        <v>201</v>
      </c>
      <c r="S81" t="s">
        <v>201</v>
      </c>
      <c r="V81" t="s">
        <v>201</v>
      </c>
      <c r="Y81" t="s">
        <v>201</v>
      </c>
    </row>
    <row r="82" spans="1:25" x14ac:dyDescent="0.25">
      <c r="A82">
        <v>79</v>
      </c>
      <c r="B82" t="s">
        <v>203</v>
      </c>
      <c r="C82">
        <v>27</v>
      </c>
      <c r="D82">
        <v>36.545499999999997</v>
      </c>
      <c r="E82">
        <v>0</v>
      </c>
      <c r="F82">
        <v>36.545499999999997</v>
      </c>
      <c r="G82">
        <v>13400</v>
      </c>
      <c r="H82" t="s">
        <v>154</v>
      </c>
      <c r="I82">
        <v>13400</v>
      </c>
      <c r="J82">
        <v>2.3450000000000002E-2</v>
      </c>
      <c r="M82" t="s">
        <v>201</v>
      </c>
      <c r="P82" t="s">
        <v>201</v>
      </c>
      <c r="S82" t="s">
        <v>201</v>
      </c>
      <c r="V82" t="s">
        <v>201</v>
      </c>
      <c r="Y82" t="s">
        <v>201</v>
      </c>
    </row>
    <row r="83" spans="1:25" x14ac:dyDescent="0.25">
      <c r="A83">
        <v>80</v>
      </c>
      <c r="B83" t="s">
        <v>203</v>
      </c>
      <c r="C83">
        <v>27</v>
      </c>
      <c r="D83">
        <v>26.416985645933011</v>
      </c>
      <c r="E83">
        <v>0</v>
      </c>
      <c r="F83">
        <v>26.416985645933011</v>
      </c>
      <c r="G83">
        <v>20900</v>
      </c>
      <c r="H83" t="s">
        <v>149</v>
      </c>
      <c r="I83">
        <v>200</v>
      </c>
      <c r="J83">
        <v>0</v>
      </c>
      <c r="K83" t="s">
        <v>69</v>
      </c>
      <c r="L83">
        <v>20700</v>
      </c>
      <c r="M83">
        <v>6.860268444149999</v>
      </c>
      <c r="P83" t="s">
        <v>201</v>
      </c>
      <c r="S83" t="s">
        <v>201</v>
      </c>
      <c r="V83" t="s">
        <v>201</v>
      </c>
      <c r="Y83" t="s">
        <v>201</v>
      </c>
    </row>
    <row r="84" spans="1:25" x14ac:dyDescent="0.25">
      <c r="A84">
        <v>81</v>
      </c>
      <c r="B84" t="s">
        <v>203</v>
      </c>
      <c r="C84">
        <v>27</v>
      </c>
      <c r="D84">
        <v>44</v>
      </c>
      <c r="E84">
        <v>0</v>
      </c>
      <c r="F84">
        <v>44</v>
      </c>
      <c r="G84">
        <v>13400</v>
      </c>
      <c r="H84" t="s">
        <v>153</v>
      </c>
      <c r="I84">
        <v>13400</v>
      </c>
      <c r="J84">
        <v>0</v>
      </c>
      <c r="M84" t="s">
        <v>201</v>
      </c>
      <c r="P84" t="s">
        <v>201</v>
      </c>
      <c r="S84" t="s">
        <v>201</v>
      </c>
      <c r="V84" t="s">
        <v>201</v>
      </c>
      <c r="Y84" t="s">
        <v>201</v>
      </c>
    </row>
    <row r="85" spans="1:25" x14ac:dyDescent="0.25">
      <c r="A85">
        <v>82</v>
      </c>
      <c r="B85" t="s">
        <v>203</v>
      </c>
      <c r="C85">
        <v>28</v>
      </c>
      <c r="D85">
        <v>46</v>
      </c>
      <c r="E85">
        <v>0</v>
      </c>
      <c r="F85">
        <v>46</v>
      </c>
      <c r="G85">
        <v>13100</v>
      </c>
      <c r="H85" t="s">
        <v>153</v>
      </c>
      <c r="I85">
        <v>13100</v>
      </c>
      <c r="J85">
        <v>0</v>
      </c>
      <c r="M85" t="s">
        <v>201</v>
      </c>
      <c r="P85" t="s">
        <v>201</v>
      </c>
      <c r="S85" t="s">
        <v>201</v>
      </c>
      <c r="V85" t="s">
        <v>201</v>
      </c>
      <c r="Y85" t="s">
        <v>201</v>
      </c>
    </row>
    <row r="86" spans="1:25" x14ac:dyDescent="0.25">
      <c r="A86">
        <v>83</v>
      </c>
      <c r="B86" t="s">
        <v>203</v>
      </c>
      <c r="C86">
        <v>28</v>
      </c>
      <c r="D86">
        <v>116.24191343963552</v>
      </c>
      <c r="E86">
        <v>15</v>
      </c>
      <c r="F86">
        <v>101.24191343963552</v>
      </c>
      <c r="G86">
        <v>26340</v>
      </c>
      <c r="H86" t="s">
        <v>149</v>
      </c>
      <c r="I86">
        <v>300</v>
      </c>
      <c r="J86">
        <v>0</v>
      </c>
      <c r="K86" t="s">
        <v>155</v>
      </c>
      <c r="L86">
        <v>12900</v>
      </c>
      <c r="M86">
        <v>2.1312500000000001</v>
      </c>
      <c r="N86" t="s">
        <v>159</v>
      </c>
      <c r="O86">
        <v>8400</v>
      </c>
      <c r="P86">
        <v>1.512</v>
      </c>
      <c r="Q86" t="s">
        <v>155</v>
      </c>
      <c r="R86">
        <v>4740</v>
      </c>
      <c r="S86">
        <v>2.1312500000000001</v>
      </c>
      <c r="V86" t="s">
        <v>201</v>
      </c>
      <c r="Y86" t="s">
        <v>201</v>
      </c>
    </row>
    <row r="87" spans="1:25" x14ac:dyDescent="0.25">
      <c r="A87">
        <v>84</v>
      </c>
      <c r="B87" t="s">
        <v>203</v>
      </c>
      <c r="C87">
        <v>28</v>
      </c>
      <c r="D87">
        <v>42.442441860465109</v>
      </c>
      <c r="E87">
        <v>0</v>
      </c>
      <c r="F87">
        <v>42.442441860465109</v>
      </c>
      <c r="G87">
        <v>20640</v>
      </c>
      <c r="H87" t="s">
        <v>149</v>
      </c>
      <c r="I87">
        <v>400</v>
      </c>
      <c r="J87">
        <v>0</v>
      </c>
      <c r="K87" t="s">
        <v>69</v>
      </c>
      <c r="L87">
        <v>20240</v>
      </c>
      <c r="M87">
        <v>6.7078180342799989</v>
      </c>
      <c r="P87" t="s">
        <v>201</v>
      </c>
      <c r="S87" t="s">
        <v>201</v>
      </c>
      <c r="V87" t="s">
        <v>201</v>
      </c>
      <c r="Y87" t="s">
        <v>201</v>
      </c>
    </row>
    <row r="88" spans="1:25" x14ac:dyDescent="0.25">
      <c r="A88">
        <v>85</v>
      </c>
      <c r="B88" t="s">
        <v>203</v>
      </c>
      <c r="C88">
        <v>28</v>
      </c>
      <c r="D88">
        <v>35.7273</v>
      </c>
      <c r="E88">
        <v>0</v>
      </c>
      <c r="F88">
        <v>35.7273</v>
      </c>
      <c r="G88">
        <v>13100</v>
      </c>
      <c r="H88" t="s">
        <v>154</v>
      </c>
      <c r="I88">
        <v>13100</v>
      </c>
      <c r="J88">
        <v>2.2925000000000001E-2</v>
      </c>
      <c r="M88" t="s">
        <v>201</v>
      </c>
      <c r="P88" t="s">
        <v>201</v>
      </c>
      <c r="S88" t="s">
        <v>201</v>
      </c>
      <c r="V88" t="s">
        <v>201</v>
      </c>
      <c r="Y88" t="s">
        <v>201</v>
      </c>
    </row>
    <row r="89" spans="1:25" x14ac:dyDescent="0.25">
      <c r="A89">
        <v>86</v>
      </c>
      <c r="B89" t="s">
        <v>203</v>
      </c>
      <c r="C89">
        <v>29</v>
      </c>
      <c r="D89">
        <v>56</v>
      </c>
      <c r="E89">
        <v>0</v>
      </c>
      <c r="F89">
        <v>56</v>
      </c>
      <c r="G89">
        <v>16900</v>
      </c>
      <c r="H89" t="s">
        <v>153</v>
      </c>
      <c r="I89">
        <v>16900</v>
      </c>
      <c r="J89">
        <v>0</v>
      </c>
      <c r="M89" t="s">
        <v>201</v>
      </c>
      <c r="P89" t="s">
        <v>201</v>
      </c>
      <c r="S89" t="s">
        <v>201</v>
      </c>
      <c r="V89" t="s">
        <v>201</v>
      </c>
      <c r="Y89" t="s">
        <v>201</v>
      </c>
    </row>
    <row r="90" spans="1:25" x14ac:dyDescent="0.25">
      <c r="A90">
        <v>87</v>
      </c>
      <c r="B90" t="s">
        <v>203</v>
      </c>
      <c r="C90">
        <v>29</v>
      </c>
      <c r="D90">
        <v>93.309782608695656</v>
      </c>
      <c r="E90">
        <v>8</v>
      </c>
      <c r="F90">
        <v>85.309782608695656</v>
      </c>
      <c r="G90">
        <v>22080</v>
      </c>
      <c r="H90" t="s">
        <v>149</v>
      </c>
      <c r="I90">
        <v>1150</v>
      </c>
      <c r="J90">
        <v>0</v>
      </c>
      <c r="K90" t="s">
        <v>155</v>
      </c>
      <c r="L90">
        <v>9770</v>
      </c>
      <c r="M90">
        <v>2.1312500000000001</v>
      </c>
      <c r="N90" t="s">
        <v>159</v>
      </c>
      <c r="O90">
        <v>11160</v>
      </c>
      <c r="P90">
        <v>2.0087999999999999</v>
      </c>
      <c r="S90" t="s">
        <v>201</v>
      </c>
      <c r="V90" t="s">
        <v>201</v>
      </c>
      <c r="Y90" t="s">
        <v>201</v>
      </c>
    </row>
    <row r="91" spans="1:25" x14ac:dyDescent="0.25">
      <c r="A91">
        <v>88</v>
      </c>
      <c r="B91" t="s">
        <v>203</v>
      </c>
      <c r="C91">
        <v>29</v>
      </c>
      <c r="D91">
        <v>36.691922319166899</v>
      </c>
      <c r="E91">
        <v>0</v>
      </c>
      <c r="F91">
        <v>36.691922319166899</v>
      </c>
      <c r="G91">
        <v>17765</v>
      </c>
      <c r="H91" t="s">
        <v>149</v>
      </c>
      <c r="I91">
        <v>400</v>
      </c>
      <c r="J91">
        <v>0</v>
      </c>
      <c r="K91" t="s">
        <v>69</v>
      </c>
      <c r="L91">
        <v>17365</v>
      </c>
      <c r="M91">
        <v>5.7550029725924983</v>
      </c>
      <c r="P91" t="s">
        <v>201</v>
      </c>
      <c r="S91" t="s">
        <v>201</v>
      </c>
      <c r="V91" t="s">
        <v>201</v>
      </c>
      <c r="Y91" t="s">
        <v>201</v>
      </c>
    </row>
    <row r="92" spans="1:25" x14ac:dyDescent="0.25">
      <c r="A92">
        <v>89</v>
      </c>
      <c r="B92" t="s">
        <v>203</v>
      </c>
      <c r="C92">
        <v>29</v>
      </c>
      <c r="D92">
        <v>46.090899999999998</v>
      </c>
      <c r="E92">
        <v>0</v>
      </c>
      <c r="F92">
        <v>46.090899999999998</v>
      </c>
      <c r="G92">
        <v>16900</v>
      </c>
      <c r="H92" t="s">
        <v>154</v>
      </c>
      <c r="I92">
        <v>16900</v>
      </c>
      <c r="J92">
        <v>2.9574999999999997E-2</v>
      </c>
      <c r="M92" t="s">
        <v>201</v>
      </c>
      <c r="P92" t="s">
        <v>201</v>
      </c>
      <c r="S92" t="s">
        <v>201</v>
      </c>
      <c r="V92" t="s">
        <v>201</v>
      </c>
      <c r="Y92" t="s">
        <v>201</v>
      </c>
    </row>
    <row r="93" spans="1:25" x14ac:dyDescent="0.25">
      <c r="A93">
        <v>90</v>
      </c>
      <c r="B93" t="s">
        <v>203</v>
      </c>
      <c r="C93">
        <v>30</v>
      </c>
      <c r="D93">
        <v>42.441636836967135</v>
      </c>
      <c r="E93">
        <v>0</v>
      </c>
      <c r="F93">
        <v>42.441636836967135</v>
      </c>
      <c r="G93">
        <v>15364.999999999998</v>
      </c>
      <c r="H93" t="s">
        <v>149</v>
      </c>
      <c r="I93">
        <v>300</v>
      </c>
      <c r="J93">
        <v>0</v>
      </c>
      <c r="K93" t="s">
        <v>69</v>
      </c>
      <c r="L93">
        <v>15064.999999999998</v>
      </c>
      <c r="M93">
        <v>4.9924195093079993</v>
      </c>
      <c r="P93" t="s">
        <v>201</v>
      </c>
      <c r="S93" t="s">
        <v>201</v>
      </c>
      <c r="V93" t="s">
        <v>201</v>
      </c>
      <c r="Y93" t="s">
        <v>201</v>
      </c>
    </row>
    <row r="94" spans="1:25" x14ac:dyDescent="0.25">
      <c r="A94">
        <v>91</v>
      </c>
      <c r="B94" t="s">
        <v>203</v>
      </c>
      <c r="C94">
        <v>30</v>
      </c>
      <c r="D94">
        <v>39</v>
      </c>
      <c r="E94">
        <v>0</v>
      </c>
      <c r="F94">
        <v>39</v>
      </c>
      <c r="G94">
        <v>14300</v>
      </c>
      <c r="H94" t="s">
        <v>154</v>
      </c>
      <c r="I94">
        <v>14300</v>
      </c>
      <c r="J94">
        <v>2.5025000000000002E-2</v>
      </c>
      <c r="M94" t="s">
        <v>201</v>
      </c>
      <c r="P94" t="s">
        <v>201</v>
      </c>
      <c r="S94" t="s">
        <v>201</v>
      </c>
      <c r="V94" t="s">
        <v>201</v>
      </c>
      <c r="Y94" t="s">
        <v>201</v>
      </c>
    </row>
    <row r="95" spans="1:25" x14ac:dyDescent="0.25">
      <c r="A95">
        <v>92</v>
      </c>
      <c r="B95" t="s">
        <v>203</v>
      </c>
      <c r="C95">
        <v>30</v>
      </c>
      <c r="D95">
        <v>46</v>
      </c>
      <c r="E95">
        <v>0</v>
      </c>
      <c r="F95">
        <v>46</v>
      </c>
      <c r="G95">
        <v>14300</v>
      </c>
      <c r="H95" t="s">
        <v>153</v>
      </c>
      <c r="I95">
        <v>14300</v>
      </c>
      <c r="J95">
        <v>0</v>
      </c>
      <c r="M95" t="s">
        <v>201</v>
      </c>
      <c r="P95" t="s">
        <v>201</v>
      </c>
      <c r="S95" t="s">
        <v>201</v>
      </c>
      <c r="V95" t="s">
        <v>201</v>
      </c>
      <c r="Y95" t="s">
        <v>201</v>
      </c>
    </row>
    <row r="96" spans="1:25" x14ac:dyDescent="0.25">
      <c r="A96">
        <v>93</v>
      </c>
      <c r="B96" t="s">
        <v>203</v>
      </c>
      <c r="C96">
        <v>30</v>
      </c>
      <c r="D96">
        <v>54</v>
      </c>
      <c r="E96">
        <v>4</v>
      </c>
      <c r="F96">
        <v>50</v>
      </c>
      <c r="G96">
        <v>15800</v>
      </c>
      <c r="H96" t="s">
        <v>149</v>
      </c>
      <c r="I96">
        <v>2300</v>
      </c>
      <c r="J96">
        <v>0</v>
      </c>
      <c r="K96" t="s">
        <v>159</v>
      </c>
      <c r="L96">
        <v>13500</v>
      </c>
      <c r="M96">
        <v>2.4299999999999997</v>
      </c>
      <c r="P96" t="s">
        <v>201</v>
      </c>
      <c r="S96" t="s">
        <v>201</v>
      </c>
      <c r="V96" t="s">
        <v>201</v>
      </c>
      <c r="Y96" t="s">
        <v>201</v>
      </c>
    </row>
    <row r="97" spans="1:25" x14ac:dyDescent="0.25">
      <c r="A97">
        <v>94</v>
      </c>
      <c r="B97" t="s">
        <v>203</v>
      </c>
      <c r="C97">
        <v>31</v>
      </c>
      <c r="D97">
        <v>45</v>
      </c>
      <c r="E97">
        <v>0</v>
      </c>
      <c r="F97">
        <v>45</v>
      </c>
      <c r="G97">
        <v>14600</v>
      </c>
      <c r="H97" t="s">
        <v>153</v>
      </c>
      <c r="I97">
        <v>14600</v>
      </c>
      <c r="J97">
        <v>0</v>
      </c>
      <c r="M97" t="s">
        <v>201</v>
      </c>
      <c r="P97" t="s">
        <v>201</v>
      </c>
      <c r="S97" t="s">
        <v>201</v>
      </c>
      <c r="V97" t="s">
        <v>201</v>
      </c>
      <c r="Y97" t="s">
        <v>201</v>
      </c>
    </row>
    <row r="98" spans="1:25" x14ac:dyDescent="0.25">
      <c r="A98">
        <v>95</v>
      </c>
      <c r="B98" t="s">
        <v>203</v>
      </c>
      <c r="C98">
        <v>31</v>
      </c>
      <c r="D98">
        <v>83</v>
      </c>
      <c r="E98">
        <v>39</v>
      </c>
      <c r="F98">
        <v>44</v>
      </c>
      <c r="G98">
        <v>16720</v>
      </c>
      <c r="H98" t="s">
        <v>149</v>
      </c>
      <c r="I98">
        <v>2550</v>
      </c>
      <c r="J98">
        <v>0</v>
      </c>
      <c r="K98" t="s">
        <v>159</v>
      </c>
      <c r="L98">
        <v>14170</v>
      </c>
      <c r="M98">
        <v>2.5505999999999998</v>
      </c>
      <c r="P98" t="s">
        <v>201</v>
      </c>
      <c r="S98" t="s">
        <v>201</v>
      </c>
      <c r="V98" t="s">
        <v>201</v>
      </c>
      <c r="Y98" t="s">
        <v>201</v>
      </c>
    </row>
    <row r="99" spans="1:25" x14ac:dyDescent="0.25">
      <c r="A99">
        <v>96</v>
      </c>
      <c r="B99" t="s">
        <v>203</v>
      </c>
      <c r="C99">
        <v>31</v>
      </c>
      <c r="D99">
        <v>24.133284690899441</v>
      </c>
      <c r="E99">
        <v>0</v>
      </c>
      <c r="F99">
        <v>24.133284690899441</v>
      </c>
      <c r="G99">
        <v>18845</v>
      </c>
      <c r="H99" t="s">
        <v>149</v>
      </c>
      <c r="I99">
        <v>100</v>
      </c>
      <c r="J99">
        <v>0</v>
      </c>
      <c r="K99" t="s">
        <v>69</v>
      </c>
      <c r="L99">
        <v>18745</v>
      </c>
      <c r="M99">
        <v>6.2123542022024996</v>
      </c>
      <c r="P99" t="s">
        <v>201</v>
      </c>
      <c r="S99" t="s">
        <v>201</v>
      </c>
      <c r="V99" t="s">
        <v>201</v>
      </c>
      <c r="Y99" t="s">
        <v>201</v>
      </c>
    </row>
    <row r="100" spans="1:25" x14ac:dyDescent="0.25">
      <c r="A100">
        <v>97</v>
      </c>
      <c r="B100" t="s">
        <v>203</v>
      </c>
      <c r="C100">
        <v>31</v>
      </c>
      <c r="D100">
        <v>39.818199999999997</v>
      </c>
      <c r="E100">
        <v>0</v>
      </c>
      <c r="F100">
        <v>39.818199999999997</v>
      </c>
      <c r="G100">
        <v>14600</v>
      </c>
      <c r="H100" t="s">
        <v>154</v>
      </c>
      <c r="I100">
        <v>14600</v>
      </c>
      <c r="J100">
        <v>2.555E-2</v>
      </c>
      <c r="M100" t="s">
        <v>201</v>
      </c>
      <c r="P100" t="s">
        <v>201</v>
      </c>
      <c r="S100" t="s">
        <v>201</v>
      </c>
      <c r="V100" t="s">
        <v>201</v>
      </c>
      <c r="Y100" t="s">
        <v>201</v>
      </c>
    </row>
    <row r="101" spans="1:25" x14ac:dyDescent="0.25">
      <c r="A101">
        <v>98</v>
      </c>
      <c r="B101" t="s">
        <v>203</v>
      </c>
      <c r="C101">
        <v>32</v>
      </c>
      <c r="D101">
        <v>55</v>
      </c>
      <c r="E101">
        <v>0</v>
      </c>
      <c r="F101">
        <v>55</v>
      </c>
      <c r="G101">
        <v>14800</v>
      </c>
      <c r="H101" t="s">
        <v>153</v>
      </c>
      <c r="I101">
        <v>14800</v>
      </c>
      <c r="J101">
        <v>0</v>
      </c>
      <c r="M101" t="s">
        <v>201</v>
      </c>
      <c r="P101" t="s">
        <v>201</v>
      </c>
      <c r="S101" t="s">
        <v>201</v>
      </c>
      <c r="V101" t="s">
        <v>201</v>
      </c>
      <c r="Y101" t="s">
        <v>201</v>
      </c>
    </row>
    <row r="102" spans="1:25" x14ac:dyDescent="0.25">
      <c r="A102">
        <v>99</v>
      </c>
      <c r="B102" t="s">
        <v>203</v>
      </c>
      <c r="C102">
        <v>32</v>
      </c>
      <c r="D102">
        <v>57.650246305418726</v>
      </c>
      <c r="E102">
        <v>13</v>
      </c>
      <c r="F102">
        <v>44.650246305418726</v>
      </c>
      <c r="G102">
        <v>20300</v>
      </c>
      <c r="H102" t="s">
        <v>149</v>
      </c>
      <c r="I102">
        <v>280</v>
      </c>
      <c r="J102">
        <v>0</v>
      </c>
      <c r="K102" t="s">
        <v>156</v>
      </c>
      <c r="L102">
        <v>1310</v>
      </c>
      <c r="M102">
        <v>1.9375</v>
      </c>
      <c r="N102" t="s">
        <v>159</v>
      </c>
      <c r="O102">
        <v>16710</v>
      </c>
      <c r="P102">
        <v>3.0078</v>
      </c>
      <c r="Q102" t="s">
        <v>155</v>
      </c>
      <c r="R102">
        <v>2000</v>
      </c>
      <c r="S102">
        <v>2.1312500000000001</v>
      </c>
      <c r="V102" t="s">
        <v>201</v>
      </c>
      <c r="Y102" t="s">
        <v>201</v>
      </c>
    </row>
    <row r="103" spans="1:25" x14ac:dyDescent="0.25">
      <c r="A103">
        <v>100</v>
      </c>
      <c r="B103" t="s">
        <v>203</v>
      </c>
      <c r="C103">
        <v>32</v>
      </c>
      <c r="D103">
        <v>36.718747355057126</v>
      </c>
      <c r="E103">
        <v>0</v>
      </c>
      <c r="F103">
        <v>36.718747355057126</v>
      </c>
      <c r="G103">
        <v>23630</v>
      </c>
      <c r="H103" t="s">
        <v>149</v>
      </c>
      <c r="I103">
        <v>400</v>
      </c>
      <c r="J103">
        <v>0</v>
      </c>
      <c r="K103" t="s">
        <v>69</v>
      </c>
      <c r="L103">
        <v>23230</v>
      </c>
      <c r="M103">
        <v>7.6987456984349993</v>
      </c>
      <c r="P103" t="s">
        <v>201</v>
      </c>
      <c r="S103" t="s">
        <v>201</v>
      </c>
      <c r="V103" t="s">
        <v>201</v>
      </c>
      <c r="Y103" t="s">
        <v>201</v>
      </c>
    </row>
    <row r="104" spans="1:25" x14ac:dyDescent="0.25">
      <c r="A104">
        <v>101</v>
      </c>
      <c r="B104" t="s">
        <v>203</v>
      </c>
      <c r="C104">
        <v>32</v>
      </c>
      <c r="D104">
        <v>40.363599999999998</v>
      </c>
      <c r="E104">
        <v>0</v>
      </c>
      <c r="F104">
        <v>40.363599999999998</v>
      </c>
      <c r="G104">
        <v>14800</v>
      </c>
      <c r="H104" t="s">
        <v>154</v>
      </c>
      <c r="I104">
        <v>14800</v>
      </c>
      <c r="J104">
        <v>2.5900000000000003E-2</v>
      </c>
      <c r="M104" t="s">
        <v>201</v>
      </c>
      <c r="P104" t="s">
        <v>201</v>
      </c>
      <c r="S104" t="s">
        <v>201</v>
      </c>
      <c r="V104" t="s">
        <v>201</v>
      </c>
      <c r="Y104" t="s">
        <v>201</v>
      </c>
    </row>
    <row r="105" spans="1:25" x14ac:dyDescent="0.25">
      <c r="A105">
        <v>102</v>
      </c>
      <c r="B105" t="s">
        <v>202</v>
      </c>
      <c r="C105">
        <v>33</v>
      </c>
      <c r="D105">
        <v>140.26219008264459</v>
      </c>
      <c r="E105">
        <v>0</v>
      </c>
      <c r="F105">
        <v>140.26219008264459</v>
      </c>
      <c r="G105">
        <v>145200</v>
      </c>
      <c r="H105" t="s">
        <v>149</v>
      </c>
      <c r="I105">
        <v>300</v>
      </c>
      <c r="J105">
        <v>0</v>
      </c>
      <c r="K105" t="s">
        <v>69</v>
      </c>
      <c r="L105">
        <v>144900</v>
      </c>
      <c r="M105">
        <v>48.021879109049998</v>
      </c>
      <c r="P105" t="s">
        <v>201</v>
      </c>
      <c r="S105" t="s">
        <v>201</v>
      </c>
      <c r="V105" t="s">
        <v>201</v>
      </c>
      <c r="Y105" t="s">
        <v>201</v>
      </c>
    </row>
    <row r="106" spans="1:25" x14ac:dyDescent="0.25">
      <c r="A106">
        <v>103</v>
      </c>
      <c r="B106" t="s">
        <v>202</v>
      </c>
      <c r="C106">
        <v>33</v>
      </c>
      <c r="D106">
        <v>221.02749326145553</v>
      </c>
      <c r="E106">
        <v>26</v>
      </c>
      <c r="F106">
        <v>195.02749326145553</v>
      </c>
      <c r="G106">
        <v>166950</v>
      </c>
      <c r="H106" t="s">
        <v>149</v>
      </c>
      <c r="I106">
        <v>1850</v>
      </c>
      <c r="J106">
        <v>0</v>
      </c>
      <c r="K106" t="s">
        <v>155</v>
      </c>
      <c r="L106">
        <v>17550</v>
      </c>
      <c r="M106">
        <v>2.1312500000000001</v>
      </c>
      <c r="N106" t="s">
        <v>159</v>
      </c>
      <c r="O106">
        <v>140550</v>
      </c>
      <c r="P106">
        <v>25.298999999999999</v>
      </c>
      <c r="Q106" t="s">
        <v>156</v>
      </c>
      <c r="R106">
        <v>7000</v>
      </c>
      <c r="S106">
        <v>1.9375</v>
      </c>
      <c r="V106" t="s">
        <v>201</v>
      </c>
      <c r="Y106" t="s">
        <v>201</v>
      </c>
    </row>
    <row r="107" spans="1:25" x14ac:dyDescent="0.25">
      <c r="A107">
        <v>104</v>
      </c>
      <c r="B107" t="s">
        <v>202</v>
      </c>
      <c r="C107">
        <v>34</v>
      </c>
      <c r="D107">
        <v>149.46449165402123</v>
      </c>
      <c r="E107">
        <v>0</v>
      </c>
      <c r="F107">
        <v>149.46449165402123</v>
      </c>
      <c r="G107">
        <v>164750</v>
      </c>
      <c r="H107" t="s">
        <v>149</v>
      </c>
      <c r="I107">
        <v>300</v>
      </c>
      <c r="J107">
        <v>0</v>
      </c>
      <c r="K107" t="s">
        <v>69</v>
      </c>
      <c r="L107">
        <v>164450</v>
      </c>
      <c r="M107">
        <v>54.501021528524987</v>
      </c>
      <c r="P107" t="s">
        <v>201</v>
      </c>
      <c r="S107" t="s">
        <v>201</v>
      </c>
      <c r="V107" t="s">
        <v>201</v>
      </c>
      <c r="Y107" t="s">
        <v>201</v>
      </c>
    </row>
    <row r="108" spans="1:25" x14ac:dyDescent="0.25">
      <c r="A108">
        <v>105</v>
      </c>
      <c r="B108" t="s">
        <v>202</v>
      </c>
      <c r="C108">
        <v>34</v>
      </c>
      <c r="D108">
        <v>171</v>
      </c>
      <c r="E108">
        <v>52</v>
      </c>
      <c r="F108">
        <v>119</v>
      </c>
      <c r="G108">
        <v>144910</v>
      </c>
      <c r="H108" t="s">
        <v>149</v>
      </c>
      <c r="I108">
        <v>1800</v>
      </c>
      <c r="J108">
        <v>0</v>
      </c>
      <c r="K108" t="s">
        <v>159</v>
      </c>
      <c r="L108">
        <v>1770</v>
      </c>
      <c r="M108">
        <v>0.31859999999999999</v>
      </c>
      <c r="N108" t="s">
        <v>160</v>
      </c>
      <c r="O108">
        <v>141340</v>
      </c>
      <c r="P108">
        <v>25.441199999999998</v>
      </c>
      <c r="S108" t="s">
        <v>201</v>
      </c>
      <c r="V108" t="s">
        <v>201</v>
      </c>
      <c r="Y108" t="s">
        <v>201</v>
      </c>
    </row>
    <row r="109" spans="1:25" x14ac:dyDescent="0.25">
      <c r="A109">
        <v>106</v>
      </c>
      <c r="B109" t="s">
        <v>202</v>
      </c>
      <c r="C109">
        <v>35</v>
      </c>
      <c r="D109">
        <v>164.4112115732369</v>
      </c>
      <c r="E109">
        <v>0</v>
      </c>
      <c r="F109">
        <v>164.4112115732369</v>
      </c>
      <c r="G109">
        <v>165900</v>
      </c>
      <c r="H109" t="s">
        <v>149</v>
      </c>
      <c r="I109">
        <v>300</v>
      </c>
      <c r="J109">
        <v>0</v>
      </c>
      <c r="K109" t="s">
        <v>69</v>
      </c>
      <c r="L109">
        <v>165600</v>
      </c>
      <c r="M109">
        <v>54.882147553199992</v>
      </c>
      <c r="P109" t="s">
        <v>201</v>
      </c>
      <c r="S109" t="s">
        <v>201</v>
      </c>
      <c r="V109" t="s">
        <v>201</v>
      </c>
      <c r="Y109" t="s">
        <v>201</v>
      </c>
    </row>
    <row r="110" spans="1:25" x14ac:dyDescent="0.25">
      <c r="A110">
        <v>107</v>
      </c>
      <c r="B110" t="s">
        <v>202</v>
      </c>
      <c r="C110">
        <v>35</v>
      </c>
      <c r="D110">
        <v>143</v>
      </c>
      <c r="E110">
        <v>13</v>
      </c>
      <c r="F110">
        <v>130</v>
      </c>
      <c r="G110">
        <v>196500</v>
      </c>
      <c r="H110" t="s">
        <v>149</v>
      </c>
      <c r="I110">
        <v>2500</v>
      </c>
      <c r="J110">
        <v>0</v>
      </c>
      <c r="K110" t="s">
        <v>160</v>
      </c>
      <c r="L110">
        <v>139000</v>
      </c>
      <c r="M110">
        <v>25.02</v>
      </c>
      <c r="N110" t="s">
        <v>159</v>
      </c>
      <c r="O110">
        <v>55000</v>
      </c>
      <c r="P110">
        <v>9.9</v>
      </c>
      <c r="S110" t="s">
        <v>201</v>
      </c>
      <c r="V110" t="s">
        <v>201</v>
      </c>
      <c r="Y110" t="s">
        <v>201</v>
      </c>
    </row>
    <row r="111" spans="1:25" x14ac:dyDescent="0.25">
      <c r="A111">
        <v>108</v>
      </c>
      <c r="B111" t="s">
        <v>202</v>
      </c>
      <c r="C111">
        <v>36</v>
      </c>
      <c r="D111">
        <v>260</v>
      </c>
      <c r="E111">
        <v>46</v>
      </c>
      <c r="F111">
        <v>214</v>
      </c>
      <c r="G111">
        <v>238090</v>
      </c>
      <c r="H111" t="s">
        <v>149</v>
      </c>
      <c r="I111">
        <v>5100</v>
      </c>
      <c r="J111">
        <v>0</v>
      </c>
      <c r="K111" t="s">
        <v>159</v>
      </c>
      <c r="L111">
        <v>142710</v>
      </c>
      <c r="M111">
        <v>25.687799999999999</v>
      </c>
      <c r="N111" t="s">
        <v>160</v>
      </c>
      <c r="O111">
        <v>83950</v>
      </c>
      <c r="P111">
        <v>15.111000000000001</v>
      </c>
      <c r="Q111" t="s">
        <v>159</v>
      </c>
      <c r="R111">
        <v>6330</v>
      </c>
      <c r="S111">
        <v>1.1394</v>
      </c>
      <c r="V111" t="s">
        <v>201</v>
      </c>
      <c r="Y111" t="s">
        <v>201</v>
      </c>
    </row>
    <row r="112" spans="1:25" x14ac:dyDescent="0.25">
      <c r="A112">
        <v>109</v>
      </c>
      <c r="B112" t="s">
        <v>202</v>
      </c>
      <c r="C112">
        <v>36</v>
      </c>
      <c r="D112">
        <v>210.41369847917122</v>
      </c>
      <c r="E112">
        <v>0</v>
      </c>
      <c r="F112">
        <v>210.41369847917122</v>
      </c>
      <c r="G112">
        <v>226849.99999999997</v>
      </c>
      <c r="H112" t="s">
        <v>149</v>
      </c>
      <c r="I112">
        <v>300</v>
      </c>
      <c r="J112">
        <v>0</v>
      </c>
      <c r="K112" t="s">
        <v>69</v>
      </c>
      <c r="L112">
        <v>226549.99999999997</v>
      </c>
      <c r="M112">
        <v>75.081495447040496</v>
      </c>
      <c r="P112" t="s">
        <v>201</v>
      </c>
      <c r="S112" t="s">
        <v>201</v>
      </c>
      <c r="V112" t="s">
        <v>201</v>
      </c>
      <c r="Y112" t="s">
        <v>201</v>
      </c>
    </row>
    <row r="113" spans="1:25" x14ac:dyDescent="0.25">
      <c r="A113">
        <v>110</v>
      </c>
      <c r="B113" t="s">
        <v>202</v>
      </c>
      <c r="C113">
        <v>37</v>
      </c>
      <c r="D113">
        <v>209.27320245398769</v>
      </c>
      <c r="E113">
        <v>0</v>
      </c>
      <c r="F113">
        <v>209.27320245398769</v>
      </c>
      <c r="G113">
        <v>203749.99999999997</v>
      </c>
      <c r="H113" t="s">
        <v>149</v>
      </c>
      <c r="I113">
        <v>200</v>
      </c>
      <c r="J113">
        <v>0</v>
      </c>
      <c r="K113" t="s">
        <v>69</v>
      </c>
      <c r="L113">
        <v>203549.99999999997</v>
      </c>
      <c r="M113">
        <v>67.458974953540491</v>
      </c>
      <c r="P113" t="s">
        <v>201</v>
      </c>
      <c r="S113" t="s">
        <v>201</v>
      </c>
      <c r="V113" t="s">
        <v>201</v>
      </c>
      <c r="Y113" t="s">
        <v>201</v>
      </c>
    </row>
    <row r="114" spans="1:25" x14ac:dyDescent="0.25">
      <c r="A114">
        <v>111</v>
      </c>
      <c r="B114" t="s">
        <v>202</v>
      </c>
      <c r="C114">
        <v>37</v>
      </c>
      <c r="D114">
        <v>327.88391186981977</v>
      </c>
      <c r="E114">
        <v>108</v>
      </c>
      <c r="F114">
        <v>219.88391186981977</v>
      </c>
      <c r="G114">
        <v>263020</v>
      </c>
      <c r="H114" t="s">
        <v>149</v>
      </c>
      <c r="I114">
        <v>1350</v>
      </c>
      <c r="J114">
        <v>0</v>
      </c>
      <c r="K114" t="s">
        <v>155</v>
      </c>
      <c r="L114">
        <v>2670</v>
      </c>
      <c r="M114">
        <v>2.1312500000000001</v>
      </c>
      <c r="N114" t="s">
        <v>159</v>
      </c>
      <c r="O114">
        <v>205000</v>
      </c>
      <c r="P114">
        <v>36.9</v>
      </c>
      <c r="Q114" t="s">
        <v>155</v>
      </c>
      <c r="R114">
        <v>54000</v>
      </c>
      <c r="S114">
        <v>2.1312500000000001</v>
      </c>
      <c r="V114" t="s">
        <v>201</v>
      </c>
      <c r="Y114" t="s">
        <v>201</v>
      </c>
    </row>
    <row r="115" spans="1:25" x14ac:dyDescent="0.25">
      <c r="A115">
        <v>112</v>
      </c>
      <c r="B115" t="s">
        <v>202</v>
      </c>
      <c r="C115">
        <v>38</v>
      </c>
      <c r="D115">
        <v>149.46723606832819</v>
      </c>
      <c r="E115">
        <v>0</v>
      </c>
      <c r="F115">
        <v>149.46723606832819</v>
      </c>
      <c r="G115">
        <v>178550</v>
      </c>
      <c r="H115" t="s">
        <v>149</v>
      </c>
      <c r="I115">
        <v>300</v>
      </c>
      <c r="J115">
        <v>0</v>
      </c>
      <c r="K115" t="s">
        <v>69</v>
      </c>
      <c r="L115">
        <v>178250</v>
      </c>
      <c r="M115">
        <v>59.074533824624993</v>
      </c>
      <c r="P115" t="s">
        <v>201</v>
      </c>
      <c r="S115" t="s">
        <v>201</v>
      </c>
      <c r="V115" t="s">
        <v>201</v>
      </c>
      <c r="Y115" t="s">
        <v>201</v>
      </c>
    </row>
    <row r="116" spans="1:25" x14ac:dyDescent="0.25">
      <c r="A116">
        <v>113</v>
      </c>
      <c r="B116" t="s">
        <v>202</v>
      </c>
      <c r="C116">
        <v>38</v>
      </c>
      <c r="D116">
        <v>149.78046797212085</v>
      </c>
      <c r="E116">
        <v>27</v>
      </c>
      <c r="F116">
        <v>122.78046797212083</v>
      </c>
      <c r="G116">
        <v>120520</v>
      </c>
      <c r="H116" t="s">
        <v>149</v>
      </c>
      <c r="I116">
        <v>2400</v>
      </c>
      <c r="J116">
        <v>0</v>
      </c>
      <c r="K116" t="s">
        <v>159</v>
      </c>
      <c r="L116">
        <v>112980</v>
      </c>
      <c r="M116">
        <v>20.336400000000001</v>
      </c>
      <c r="N116" t="s">
        <v>155</v>
      </c>
      <c r="O116">
        <v>5140</v>
      </c>
      <c r="P116">
        <v>2.1312500000000001</v>
      </c>
      <c r="S116" t="s">
        <v>201</v>
      </c>
      <c r="V116" t="s">
        <v>201</v>
      </c>
      <c r="Y116" t="s">
        <v>201</v>
      </c>
    </row>
    <row r="117" spans="1:25" x14ac:dyDescent="0.25">
      <c r="A117">
        <v>114</v>
      </c>
      <c r="B117" t="s">
        <v>202</v>
      </c>
      <c r="C117">
        <v>39</v>
      </c>
      <c r="D117">
        <v>149.48947368421051</v>
      </c>
      <c r="E117">
        <v>0</v>
      </c>
      <c r="F117">
        <v>149.48947368421051</v>
      </c>
      <c r="G117">
        <v>185250</v>
      </c>
      <c r="H117" t="s">
        <v>149</v>
      </c>
      <c r="I117">
        <v>100</v>
      </c>
      <c r="J117">
        <v>0</v>
      </c>
      <c r="K117" t="s">
        <v>69</v>
      </c>
      <c r="L117">
        <v>185150</v>
      </c>
      <c r="M117">
        <v>61.361289972674996</v>
      </c>
      <c r="P117" t="s">
        <v>201</v>
      </c>
      <c r="S117" t="s">
        <v>201</v>
      </c>
      <c r="V117" t="s">
        <v>201</v>
      </c>
      <c r="Y117" t="s">
        <v>201</v>
      </c>
    </row>
    <row r="118" spans="1:25" x14ac:dyDescent="0.25">
      <c r="A118">
        <v>115</v>
      </c>
      <c r="B118" t="s">
        <v>202</v>
      </c>
      <c r="C118">
        <v>39</v>
      </c>
      <c r="D118">
        <v>216.10551241902962</v>
      </c>
      <c r="E118">
        <v>76</v>
      </c>
      <c r="F118">
        <v>140.10551241902962</v>
      </c>
      <c r="G118">
        <v>233110</v>
      </c>
      <c r="H118" t="s">
        <v>149</v>
      </c>
      <c r="I118">
        <v>750</v>
      </c>
      <c r="J118">
        <v>0</v>
      </c>
      <c r="K118" t="s">
        <v>155</v>
      </c>
      <c r="L118">
        <v>12360</v>
      </c>
      <c r="M118">
        <v>2.1312500000000001</v>
      </c>
      <c r="N118" t="s">
        <v>159</v>
      </c>
      <c r="O118">
        <v>220000</v>
      </c>
      <c r="P118">
        <v>39.6</v>
      </c>
      <c r="S118" t="s">
        <v>201</v>
      </c>
      <c r="V118" t="s">
        <v>201</v>
      </c>
      <c r="Y118" t="s">
        <v>201</v>
      </c>
    </row>
    <row r="119" spans="1:25" x14ac:dyDescent="0.25">
      <c r="A119">
        <v>116</v>
      </c>
      <c r="B119" t="s">
        <v>204</v>
      </c>
      <c r="C119">
        <v>40</v>
      </c>
      <c r="D119">
        <v>390.88536577203666</v>
      </c>
      <c r="E119">
        <v>34</v>
      </c>
      <c r="F119">
        <v>356.88536577203666</v>
      </c>
      <c r="G119">
        <v>747050</v>
      </c>
      <c r="H119" t="s">
        <v>169</v>
      </c>
      <c r="I119">
        <v>26449.999999999996</v>
      </c>
      <c r="J119">
        <v>52.765754999999999</v>
      </c>
      <c r="K119" t="s">
        <v>160</v>
      </c>
      <c r="L119">
        <v>715000</v>
      </c>
      <c r="M119">
        <v>128.69999999999999</v>
      </c>
      <c r="N119" t="s">
        <v>168</v>
      </c>
      <c r="O119">
        <v>5600</v>
      </c>
      <c r="P119">
        <v>5.6</v>
      </c>
    </row>
    <row r="120" spans="1:25" x14ac:dyDescent="0.25">
      <c r="A120">
        <v>117</v>
      </c>
      <c r="B120" t="s">
        <v>204</v>
      </c>
      <c r="C120">
        <v>40</v>
      </c>
      <c r="D120">
        <v>453</v>
      </c>
      <c r="E120">
        <v>30</v>
      </c>
      <c r="F120">
        <v>423</v>
      </c>
      <c r="G120">
        <v>738800</v>
      </c>
      <c r="H120" t="s">
        <v>154</v>
      </c>
      <c r="I120">
        <v>19000</v>
      </c>
      <c r="J120">
        <v>3.3250000000000002E-2</v>
      </c>
      <c r="K120" t="s">
        <v>160</v>
      </c>
      <c r="L120">
        <v>715000</v>
      </c>
      <c r="M120">
        <v>128.69999999999999</v>
      </c>
      <c r="N120" t="s">
        <v>149</v>
      </c>
      <c r="O120">
        <v>4800</v>
      </c>
      <c r="P120">
        <v>0</v>
      </c>
    </row>
    <row r="121" spans="1:25" x14ac:dyDescent="0.25">
      <c r="A121">
        <v>118</v>
      </c>
      <c r="B121" t="s">
        <v>204</v>
      </c>
      <c r="C121">
        <v>40</v>
      </c>
      <c r="D121">
        <v>388.86567059201803</v>
      </c>
      <c r="E121">
        <v>36</v>
      </c>
      <c r="F121">
        <v>352.86567059201803</v>
      </c>
      <c r="G121">
        <v>746430</v>
      </c>
      <c r="H121" t="s">
        <v>169</v>
      </c>
      <c r="I121">
        <v>26449.999999999996</v>
      </c>
      <c r="J121">
        <v>52.765754999999999</v>
      </c>
      <c r="K121" t="s">
        <v>160</v>
      </c>
      <c r="L121">
        <v>715000</v>
      </c>
      <c r="M121">
        <v>128.69999999999999</v>
      </c>
      <c r="N121" t="s">
        <v>158</v>
      </c>
      <c r="O121">
        <v>4680</v>
      </c>
      <c r="P121">
        <v>1.9375</v>
      </c>
      <c r="Q121" t="s">
        <v>149</v>
      </c>
      <c r="R121">
        <v>300</v>
      </c>
      <c r="S121">
        <v>0</v>
      </c>
    </row>
    <row r="122" spans="1:25" x14ac:dyDescent="0.25">
      <c r="A122">
        <v>119</v>
      </c>
      <c r="B122" t="s">
        <v>204</v>
      </c>
      <c r="C122">
        <v>40</v>
      </c>
      <c r="D122">
        <v>402.34969677497082</v>
      </c>
      <c r="E122">
        <v>34</v>
      </c>
      <c r="F122">
        <v>368.34969677497082</v>
      </c>
      <c r="G122">
        <v>746970</v>
      </c>
      <c r="H122" t="s">
        <v>169</v>
      </c>
      <c r="I122">
        <v>31969.999999999996</v>
      </c>
      <c r="J122">
        <v>63.778154999999998</v>
      </c>
      <c r="K122" t="s">
        <v>160</v>
      </c>
      <c r="L122">
        <v>715000</v>
      </c>
      <c r="M122">
        <v>128.69999999999999</v>
      </c>
    </row>
    <row r="123" spans="1:25" x14ac:dyDescent="0.25">
      <c r="A123">
        <v>120</v>
      </c>
      <c r="B123" t="s">
        <v>204</v>
      </c>
      <c r="C123">
        <v>40</v>
      </c>
      <c r="D123">
        <v>396.91723110902882</v>
      </c>
      <c r="E123">
        <v>34</v>
      </c>
      <c r="F123">
        <v>362.91723110902882</v>
      </c>
      <c r="G123">
        <v>747050</v>
      </c>
      <c r="H123" t="s">
        <v>169</v>
      </c>
      <c r="I123">
        <v>26449.999999999996</v>
      </c>
      <c r="J123">
        <v>52.765754999999999</v>
      </c>
      <c r="K123" t="s">
        <v>160</v>
      </c>
      <c r="L123">
        <v>715000</v>
      </c>
      <c r="M123">
        <v>128.69999999999999</v>
      </c>
      <c r="N123" t="s">
        <v>168</v>
      </c>
      <c r="O123">
        <v>5600</v>
      </c>
      <c r="P123">
        <v>5.6</v>
      </c>
    </row>
    <row r="124" spans="1:25" x14ac:dyDescent="0.25">
      <c r="A124">
        <v>121</v>
      </c>
      <c r="B124" t="s">
        <v>204</v>
      </c>
      <c r="C124">
        <v>40</v>
      </c>
      <c r="D124">
        <v>435.13726633165834</v>
      </c>
      <c r="E124">
        <v>31</v>
      </c>
      <c r="F124">
        <v>404.13726633165834</v>
      </c>
      <c r="G124">
        <v>746250</v>
      </c>
      <c r="H124" t="s">
        <v>169</v>
      </c>
      <c r="I124">
        <v>26449.999999999996</v>
      </c>
      <c r="J124">
        <v>52.765754999999999</v>
      </c>
      <c r="K124" t="s">
        <v>160</v>
      </c>
      <c r="L124">
        <v>715000</v>
      </c>
      <c r="M124">
        <v>128.69999999999999</v>
      </c>
      <c r="N124" t="s">
        <v>149</v>
      </c>
      <c r="O124">
        <v>4800</v>
      </c>
      <c r="P124">
        <v>0</v>
      </c>
    </row>
    <row r="125" spans="1:25" x14ac:dyDescent="0.25">
      <c r="A125">
        <v>122</v>
      </c>
      <c r="B125" t="s">
        <v>204</v>
      </c>
      <c r="C125">
        <v>40</v>
      </c>
      <c r="D125">
        <v>280.4748880689649</v>
      </c>
      <c r="E125">
        <v>105</v>
      </c>
      <c r="F125">
        <v>175.4748880689649</v>
      </c>
      <c r="G125">
        <v>584065</v>
      </c>
      <c r="H125" t="s">
        <v>69</v>
      </c>
      <c r="I125">
        <v>33005</v>
      </c>
      <c r="J125">
        <v>10.938316908172499</v>
      </c>
      <c r="K125" t="s">
        <v>149</v>
      </c>
      <c r="L125">
        <v>1380</v>
      </c>
      <c r="M125">
        <v>0</v>
      </c>
      <c r="N125" t="s">
        <v>163</v>
      </c>
      <c r="O125">
        <v>500000</v>
      </c>
      <c r="P125">
        <v>51</v>
      </c>
      <c r="Q125" t="s">
        <v>159</v>
      </c>
      <c r="R125">
        <v>45000</v>
      </c>
      <c r="S125">
        <v>8.1</v>
      </c>
      <c r="T125" t="s">
        <v>158</v>
      </c>
      <c r="U125">
        <v>4680</v>
      </c>
      <c r="V125">
        <v>1.9375</v>
      </c>
    </row>
    <row r="126" spans="1:25" x14ac:dyDescent="0.25">
      <c r="A126">
        <v>123</v>
      </c>
      <c r="B126" t="s">
        <v>204</v>
      </c>
      <c r="C126">
        <v>40</v>
      </c>
      <c r="D126">
        <v>295</v>
      </c>
      <c r="E126">
        <v>110</v>
      </c>
      <c r="F126">
        <v>185</v>
      </c>
      <c r="G126">
        <v>589510</v>
      </c>
      <c r="H126" t="s">
        <v>149</v>
      </c>
      <c r="I126">
        <v>1830</v>
      </c>
      <c r="J126">
        <v>0</v>
      </c>
      <c r="K126" t="s">
        <v>159</v>
      </c>
      <c r="L126">
        <v>83000</v>
      </c>
      <c r="M126">
        <v>14.94</v>
      </c>
      <c r="N126" t="s">
        <v>163</v>
      </c>
      <c r="O126">
        <v>500000</v>
      </c>
      <c r="P126">
        <v>51</v>
      </c>
      <c r="Q126" t="s">
        <v>158</v>
      </c>
      <c r="R126">
        <v>4680</v>
      </c>
      <c r="S126">
        <v>1.9375</v>
      </c>
    </row>
    <row r="127" spans="1:25" x14ac:dyDescent="0.25">
      <c r="A127">
        <v>124</v>
      </c>
      <c r="B127" t="s">
        <v>204</v>
      </c>
      <c r="C127">
        <v>40</v>
      </c>
      <c r="D127">
        <v>278.74694445876952</v>
      </c>
      <c r="E127">
        <v>94.999999999999986</v>
      </c>
      <c r="F127">
        <v>183.74694445876952</v>
      </c>
      <c r="G127">
        <v>581730</v>
      </c>
      <c r="H127" t="s">
        <v>69</v>
      </c>
      <c r="I127">
        <v>33005</v>
      </c>
      <c r="J127">
        <v>10.938316908172499</v>
      </c>
      <c r="K127" t="s">
        <v>149</v>
      </c>
      <c r="L127">
        <v>1000</v>
      </c>
      <c r="M127">
        <v>0</v>
      </c>
      <c r="N127" t="s">
        <v>163</v>
      </c>
      <c r="O127">
        <v>500000</v>
      </c>
      <c r="P127">
        <v>51</v>
      </c>
      <c r="Q127" t="s">
        <v>169</v>
      </c>
      <c r="R127">
        <v>47724.999999999993</v>
      </c>
      <c r="S127">
        <v>95.209379999999982</v>
      </c>
    </row>
    <row r="128" spans="1:25" x14ac:dyDescent="0.25">
      <c r="A128">
        <v>125</v>
      </c>
      <c r="B128" t="s">
        <v>204</v>
      </c>
      <c r="C128">
        <v>40</v>
      </c>
      <c r="D128">
        <v>453.49052517596101</v>
      </c>
      <c r="E128">
        <v>30.032485110990795</v>
      </c>
      <c r="F128">
        <v>423.45804006497019</v>
      </c>
      <c r="G128">
        <v>738800</v>
      </c>
      <c r="H128" t="s">
        <v>154</v>
      </c>
      <c r="I128">
        <v>19000</v>
      </c>
      <c r="J128">
        <v>3.3250000000000002E-2</v>
      </c>
      <c r="K128" t="s">
        <v>160</v>
      </c>
      <c r="L128">
        <v>715000</v>
      </c>
      <c r="M128">
        <v>128.69999999999999</v>
      </c>
      <c r="N128" t="s">
        <v>168</v>
      </c>
      <c r="O128">
        <v>5600</v>
      </c>
      <c r="P128">
        <v>5.6</v>
      </c>
    </row>
    <row r="129" spans="1:22" x14ac:dyDescent="0.25">
      <c r="A129">
        <v>126</v>
      </c>
      <c r="B129" t="s">
        <v>204</v>
      </c>
      <c r="C129">
        <v>40</v>
      </c>
      <c r="D129">
        <v>266.44061353813299</v>
      </c>
      <c r="E129">
        <v>98</v>
      </c>
      <c r="F129">
        <v>168.44061353813302</v>
      </c>
      <c r="G129">
        <v>580730</v>
      </c>
      <c r="H129" t="s">
        <v>169</v>
      </c>
      <c r="I129">
        <v>80730</v>
      </c>
      <c r="J129">
        <v>161.05635000000001</v>
      </c>
      <c r="K129" t="s">
        <v>163</v>
      </c>
      <c r="L129">
        <v>500000</v>
      </c>
      <c r="M129">
        <v>51</v>
      </c>
    </row>
    <row r="130" spans="1:22" x14ac:dyDescent="0.25">
      <c r="A130">
        <v>127</v>
      </c>
      <c r="B130" t="s">
        <v>204</v>
      </c>
      <c r="C130">
        <v>40</v>
      </c>
      <c r="D130">
        <v>268.35005402485137</v>
      </c>
      <c r="E130">
        <v>108</v>
      </c>
      <c r="F130">
        <v>160.3500540248514</v>
      </c>
      <c r="G130">
        <v>583065</v>
      </c>
      <c r="H130" t="s">
        <v>169</v>
      </c>
      <c r="I130">
        <v>33005</v>
      </c>
      <c r="J130">
        <v>65.844975000000005</v>
      </c>
      <c r="K130" t="s">
        <v>163</v>
      </c>
      <c r="L130">
        <v>500000</v>
      </c>
      <c r="M130">
        <v>51</v>
      </c>
      <c r="N130" t="s">
        <v>159</v>
      </c>
      <c r="O130">
        <v>45000</v>
      </c>
      <c r="P130">
        <v>8.1</v>
      </c>
      <c r="Q130" t="s">
        <v>158</v>
      </c>
      <c r="R130">
        <v>4680</v>
      </c>
      <c r="S130">
        <v>1.9375</v>
      </c>
      <c r="T130" t="s">
        <v>149</v>
      </c>
      <c r="U130">
        <v>380</v>
      </c>
      <c r="V130">
        <v>0</v>
      </c>
    </row>
    <row r="131" spans="1:22" x14ac:dyDescent="0.25">
      <c r="A131">
        <v>128</v>
      </c>
      <c r="B131" t="s">
        <v>204</v>
      </c>
      <c r="C131">
        <v>40</v>
      </c>
      <c r="D131">
        <v>293.32864350491758</v>
      </c>
      <c r="E131">
        <v>99.999999999999986</v>
      </c>
      <c r="F131">
        <v>193.32864350491761</v>
      </c>
      <c r="G131">
        <v>587175</v>
      </c>
      <c r="H131" t="s">
        <v>149</v>
      </c>
      <c r="I131">
        <v>1450</v>
      </c>
      <c r="J131">
        <v>0</v>
      </c>
      <c r="K131" t="s">
        <v>159</v>
      </c>
      <c r="L131">
        <v>38000</v>
      </c>
      <c r="M131">
        <v>6.84</v>
      </c>
      <c r="N131" t="s">
        <v>163</v>
      </c>
      <c r="O131">
        <v>500000</v>
      </c>
      <c r="P131">
        <v>51</v>
      </c>
      <c r="Q131" t="s">
        <v>169</v>
      </c>
      <c r="R131">
        <v>47724.999999999993</v>
      </c>
      <c r="S131">
        <v>95.209379999999982</v>
      </c>
    </row>
    <row r="132" spans="1:22" x14ac:dyDescent="0.25">
      <c r="A132">
        <v>129</v>
      </c>
      <c r="B132" t="s">
        <v>204</v>
      </c>
      <c r="C132">
        <v>40</v>
      </c>
      <c r="D132">
        <v>453.11036816459119</v>
      </c>
      <c r="E132">
        <v>30.007309149972926</v>
      </c>
      <c r="F132">
        <v>423.10305901461828</v>
      </c>
      <c r="G132">
        <v>738800</v>
      </c>
      <c r="H132" t="s">
        <v>154</v>
      </c>
      <c r="I132">
        <v>19000</v>
      </c>
      <c r="J132">
        <v>3.3250000000000002E-2</v>
      </c>
      <c r="K132" t="s">
        <v>160</v>
      </c>
      <c r="L132">
        <v>715000</v>
      </c>
      <c r="M132">
        <v>128.69999999999999</v>
      </c>
      <c r="N132" t="s">
        <v>158</v>
      </c>
      <c r="O132">
        <v>4680</v>
      </c>
      <c r="P132">
        <v>1.9375</v>
      </c>
      <c r="Q132" t="s">
        <v>149</v>
      </c>
      <c r="R132">
        <v>300</v>
      </c>
      <c r="S132">
        <v>0</v>
      </c>
    </row>
    <row r="133" spans="1:22" x14ac:dyDescent="0.25">
      <c r="A133">
        <v>130</v>
      </c>
      <c r="B133" t="s">
        <v>204</v>
      </c>
      <c r="C133">
        <v>40</v>
      </c>
      <c r="D133">
        <v>453.47360990913029</v>
      </c>
      <c r="E133">
        <v>30</v>
      </c>
      <c r="F133">
        <v>423.47360990913029</v>
      </c>
      <c r="G133">
        <v>739520</v>
      </c>
      <c r="H133" t="s">
        <v>154</v>
      </c>
      <c r="I133">
        <v>19000</v>
      </c>
      <c r="J133">
        <v>3.3250000000000002E-2</v>
      </c>
      <c r="K133" t="s">
        <v>160</v>
      </c>
      <c r="L133">
        <v>715000</v>
      </c>
      <c r="M133">
        <v>128.69999999999999</v>
      </c>
      <c r="N133" t="s">
        <v>169</v>
      </c>
      <c r="O133">
        <v>5520</v>
      </c>
      <c r="P133">
        <v>11.012399999999998</v>
      </c>
    </row>
    <row r="134" spans="1:22" x14ac:dyDescent="0.25">
      <c r="A134">
        <v>131</v>
      </c>
      <c r="B134" t="s">
        <v>204</v>
      </c>
      <c r="C134">
        <v>40</v>
      </c>
      <c r="D134">
        <v>387</v>
      </c>
      <c r="E134">
        <v>35</v>
      </c>
      <c r="F134">
        <v>352</v>
      </c>
      <c r="G134">
        <v>740720</v>
      </c>
      <c r="H134" t="s">
        <v>149</v>
      </c>
      <c r="I134">
        <v>1100</v>
      </c>
      <c r="J134">
        <v>0</v>
      </c>
      <c r="K134" t="s">
        <v>159</v>
      </c>
      <c r="L134">
        <v>19020</v>
      </c>
      <c r="M134">
        <v>3.4236</v>
      </c>
      <c r="N134" t="s">
        <v>160</v>
      </c>
      <c r="O134">
        <v>715000</v>
      </c>
      <c r="P134">
        <v>128.69999999999999</v>
      </c>
      <c r="Q134" t="s">
        <v>168</v>
      </c>
      <c r="R134">
        <v>5600</v>
      </c>
      <c r="S134">
        <v>5.6</v>
      </c>
    </row>
    <row r="135" spans="1:22" x14ac:dyDescent="0.25">
      <c r="A135">
        <v>132</v>
      </c>
      <c r="B135" t="s">
        <v>204</v>
      </c>
      <c r="C135">
        <v>40</v>
      </c>
      <c r="D135">
        <v>660.0531587895274</v>
      </c>
      <c r="E135">
        <v>0</v>
      </c>
      <c r="F135">
        <v>660.0531587895274</v>
      </c>
      <c r="G135">
        <v>735250</v>
      </c>
      <c r="H135" t="s">
        <v>149</v>
      </c>
      <c r="I135">
        <v>400</v>
      </c>
      <c r="J135">
        <v>0</v>
      </c>
      <c r="K135" t="s">
        <v>69</v>
      </c>
      <c r="L135">
        <v>734850</v>
      </c>
      <c r="M135">
        <v>243.53952976732498</v>
      </c>
    </row>
    <row r="136" spans="1:22" x14ac:dyDescent="0.25">
      <c r="A136">
        <v>133</v>
      </c>
      <c r="B136" t="s">
        <v>204</v>
      </c>
      <c r="C136">
        <v>40</v>
      </c>
      <c r="D136">
        <v>391</v>
      </c>
      <c r="E136">
        <v>37</v>
      </c>
      <c r="F136">
        <v>354</v>
      </c>
      <c r="G136">
        <v>740100</v>
      </c>
      <c r="H136" t="s">
        <v>149</v>
      </c>
      <c r="I136">
        <v>1400</v>
      </c>
      <c r="J136">
        <v>0</v>
      </c>
      <c r="K136" t="s">
        <v>159</v>
      </c>
      <c r="L136">
        <v>19020</v>
      </c>
      <c r="M136">
        <v>3.4236</v>
      </c>
      <c r="N136" t="s">
        <v>160</v>
      </c>
      <c r="O136">
        <v>715000</v>
      </c>
      <c r="P136">
        <v>128.69999999999999</v>
      </c>
      <c r="Q136" t="s">
        <v>158</v>
      </c>
      <c r="R136">
        <v>4680</v>
      </c>
      <c r="S136">
        <v>1.9375</v>
      </c>
    </row>
    <row r="137" spans="1:22" x14ac:dyDescent="0.25">
      <c r="A137">
        <v>134</v>
      </c>
      <c r="B137" t="s">
        <v>204</v>
      </c>
      <c r="C137">
        <v>40</v>
      </c>
      <c r="D137">
        <v>399</v>
      </c>
      <c r="E137">
        <v>35</v>
      </c>
      <c r="F137">
        <v>364</v>
      </c>
      <c r="G137">
        <v>740720</v>
      </c>
      <c r="H137" t="s">
        <v>149</v>
      </c>
      <c r="I137">
        <v>1100</v>
      </c>
      <c r="J137">
        <v>0</v>
      </c>
      <c r="K137" t="s">
        <v>159</v>
      </c>
      <c r="L137">
        <v>19020</v>
      </c>
      <c r="M137">
        <v>3.4236</v>
      </c>
      <c r="N137" t="s">
        <v>160</v>
      </c>
      <c r="O137">
        <v>715000</v>
      </c>
      <c r="P137">
        <v>128.69999999999999</v>
      </c>
      <c r="Q137" t="s">
        <v>168</v>
      </c>
      <c r="R137">
        <v>5600</v>
      </c>
      <c r="S137">
        <v>5.6</v>
      </c>
    </row>
    <row r="138" spans="1:22" x14ac:dyDescent="0.25">
      <c r="A138">
        <v>135</v>
      </c>
      <c r="B138" t="s">
        <v>204</v>
      </c>
      <c r="C138">
        <v>40</v>
      </c>
      <c r="D138">
        <v>463</v>
      </c>
      <c r="E138">
        <v>30</v>
      </c>
      <c r="F138">
        <v>433</v>
      </c>
      <c r="G138">
        <v>738800</v>
      </c>
      <c r="H138" t="s">
        <v>153</v>
      </c>
      <c r="I138">
        <v>19000</v>
      </c>
      <c r="J138">
        <v>0</v>
      </c>
      <c r="K138" t="s">
        <v>160</v>
      </c>
      <c r="L138">
        <v>715000</v>
      </c>
      <c r="M138">
        <v>128.69999999999999</v>
      </c>
      <c r="N138" t="s">
        <v>149</v>
      </c>
      <c r="O138">
        <v>4800</v>
      </c>
      <c r="P138">
        <v>0</v>
      </c>
    </row>
    <row r="139" spans="1:22" x14ac:dyDescent="0.25">
      <c r="A139">
        <v>136</v>
      </c>
      <c r="B139" t="s">
        <v>204</v>
      </c>
      <c r="C139">
        <v>40</v>
      </c>
      <c r="D139">
        <v>437</v>
      </c>
      <c r="E139">
        <v>32</v>
      </c>
      <c r="F139">
        <v>405</v>
      </c>
      <c r="G139">
        <v>739920</v>
      </c>
      <c r="H139" t="s">
        <v>149</v>
      </c>
      <c r="I139">
        <v>5900</v>
      </c>
      <c r="J139">
        <v>0</v>
      </c>
      <c r="K139" t="s">
        <v>159</v>
      </c>
      <c r="L139">
        <v>19020</v>
      </c>
      <c r="M139">
        <v>3.4236</v>
      </c>
      <c r="N139" t="s">
        <v>160</v>
      </c>
      <c r="O139">
        <v>715000</v>
      </c>
      <c r="P139">
        <v>128.69999999999999</v>
      </c>
    </row>
    <row r="140" spans="1:22" x14ac:dyDescent="0.25">
      <c r="A140">
        <v>137</v>
      </c>
      <c r="B140" t="s">
        <v>204</v>
      </c>
      <c r="C140">
        <v>40</v>
      </c>
      <c r="D140">
        <v>390.86567059201803</v>
      </c>
      <c r="E140">
        <v>38</v>
      </c>
      <c r="F140">
        <v>352.86567059201803</v>
      </c>
      <c r="G140">
        <v>746430</v>
      </c>
      <c r="H140" t="s">
        <v>69</v>
      </c>
      <c r="I140">
        <v>26449.999999999996</v>
      </c>
      <c r="J140">
        <v>8.7655671535904993</v>
      </c>
      <c r="K140" t="s">
        <v>160</v>
      </c>
      <c r="L140">
        <v>715000</v>
      </c>
      <c r="M140">
        <v>128.69999999999999</v>
      </c>
      <c r="N140" t="s">
        <v>158</v>
      </c>
      <c r="O140">
        <v>4680</v>
      </c>
      <c r="P140">
        <v>1.9375</v>
      </c>
      <c r="Q140" t="s">
        <v>149</v>
      </c>
      <c r="R140">
        <v>300</v>
      </c>
      <c r="S140">
        <v>0</v>
      </c>
    </row>
    <row r="141" spans="1:22" x14ac:dyDescent="0.25">
      <c r="A141">
        <v>138</v>
      </c>
      <c r="B141" t="s">
        <v>204</v>
      </c>
      <c r="C141">
        <v>40</v>
      </c>
      <c r="D141">
        <v>404.34969677497082</v>
      </c>
      <c r="E141">
        <v>36</v>
      </c>
      <c r="F141">
        <v>368.34969677497082</v>
      </c>
      <c r="G141">
        <v>746970</v>
      </c>
      <c r="H141" t="s">
        <v>69</v>
      </c>
      <c r="I141">
        <v>26449.999999999996</v>
      </c>
      <c r="J141">
        <v>8.7655671535904993</v>
      </c>
      <c r="K141" t="s">
        <v>160</v>
      </c>
      <c r="L141">
        <v>715000</v>
      </c>
      <c r="M141">
        <v>128.69999999999999</v>
      </c>
      <c r="N141" t="s">
        <v>169</v>
      </c>
      <c r="O141">
        <v>5520</v>
      </c>
      <c r="P141">
        <v>11.012399999999998</v>
      </c>
    </row>
    <row r="142" spans="1:22" x14ac:dyDescent="0.25">
      <c r="A142">
        <v>139</v>
      </c>
      <c r="B142" t="s">
        <v>204</v>
      </c>
      <c r="C142">
        <v>40</v>
      </c>
      <c r="D142">
        <v>385.84818954554578</v>
      </c>
      <c r="E142">
        <v>36</v>
      </c>
      <c r="F142">
        <v>349.84818954554578</v>
      </c>
      <c r="G142">
        <v>747050</v>
      </c>
      <c r="H142" t="s">
        <v>69</v>
      </c>
      <c r="I142">
        <v>26449.999999999996</v>
      </c>
      <c r="J142">
        <v>8.7655671535904993</v>
      </c>
      <c r="K142" t="s">
        <v>160</v>
      </c>
      <c r="L142">
        <v>715000</v>
      </c>
      <c r="M142">
        <v>128.69999999999999</v>
      </c>
      <c r="N142" t="s">
        <v>168</v>
      </c>
      <c r="O142">
        <v>5600</v>
      </c>
      <c r="P142">
        <v>5.6</v>
      </c>
    </row>
    <row r="143" spans="1:22" x14ac:dyDescent="0.25">
      <c r="A143">
        <v>140</v>
      </c>
      <c r="B143" t="s">
        <v>204</v>
      </c>
      <c r="C143">
        <v>40</v>
      </c>
      <c r="D143">
        <v>437.13726633165834</v>
      </c>
      <c r="E143">
        <v>33</v>
      </c>
      <c r="F143">
        <v>404.13726633165834</v>
      </c>
      <c r="G143">
        <v>746250</v>
      </c>
      <c r="H143" t="s">
        <v>69</v>
      </c>
      <c r="I143">
        <v>26449.999999999996</v>
      </c>
      <c r="J143">
        <v>8.7655671535904993</v>
      </c>
      <c r="K143" t="s">
        <v>160</v>
      </c>
      <c r="L143">
        <v>715000</v>
      </c>
      <c r="M143">
        <v>128.69999999999999</v>
      </c>
      <c r="N143" t="s">
        <v>149</v>
      </c>
      <c r="O143">
        <v>4800</v>
      </c>
      <c r="P143">
        <v>0</v>
      </c>
    </row>
    <row r="144" spans="1:22" x14ac:dyDescent="0.25">
      <c r="A144">
        <v>141</v>
      </c>
      <c r="B144" t="s">
        <v>204</v>
      </c>
      <c r="C144">
        <v>40</v>
      </c>
      <c r="D144">
        <v>416.99999999999994</v>
      </c>
      <c r="E144">
        <v>34.999999999999993</v>
      </c>
      <c r="F144">
        <v>381.99999999999994</v>
      </c>
      <c r="G144">
        <v>738980</v>
      </c>
      <c r="H144" t="s">
        <v>153</v>
      </c>
      <c r="I144">
        <v>19000</v>
      </c>
      <c r="J144">
        <v>0</v>
      </c>
      <c r="K144" t="s">
        <v>160</v>
      </c>
      <c r="L144">
        <v>715000</v>
      </c>
      <c r="M144">
        <v>128.69999999999999</v>
      </c>
      <c r="N144" t="s">
        <v>158</v>
      </c>
      <c r="O144">
        <v>4680</v>
      </c>
      <c r="P144">
        <v>1.9375</v>
      </c>
      <c r="Q144" t="s">
        <v>149</v>
      </c>
      <c r="R144">
        <v>300</v>
      </c>
      <c r="S144">
        <v>0</v>
      </c>
    </row>
    <row r="145" spans="1:25" x14ac:dyDescent="0.25">
      <c r="A145">
        <v>142</v>
      </c>
      <c r="B145" t="s">
        <v>204</v>
      </c>
      <c r="C145">
        <v>40</v>
      </c>
      <c r="D145">
        <v>430.44449913457379</v>
      </c>
      <c r="E145">
        <v>33</v>
      </c>
      <c r="F145">
        <v>397.44449913457379</v>
      </c>
      <c r="G145">
        <v>739520</v>
      </c>
      <c r="H145" t="s">
        <v>153</v>
      </c>
      <c r="I145">
        <v>19000</v>
      </c>
      <c r="J145">
        <v>0</v>
      </c>
      <c r="K145" t="s">
        <v>160</v>
      </c>
      <c r="L145">
        <v>715000</v>
      </c>
      <c r="M145">
        <v>128.69999999999999</v>
      </c>
      <c r="N145" t="s">
        <v>169</v>
      </c>
      <c r="O145">
        <v>5520</v>
      </c>
      <c r="P145">
        <v>11.012399999999998</v>
      </c>
    </row>
    <row r="146" spans="1:25" x14ac:dyDescent="0.25">
      <c r="A146">
        <v>143</v>
      </c>
      <c r="B146" t="s">
        <v>204</v>
      </c>
      <c r="C146">
        <v>40</v>
      </c>
      <c r="D146">
        <v>425</v>
      </c>
      <c r="E146">
        <v>33</v>
      </c>
      <c r="F146">
        <v>392</v>
      </c>
      <c r="G146">
        <v>739600</v>
      </c>
      <c r="H146" t="s">
        <v>153</v>
      </c>
      <c r="I146">
        <v>19000</v>
      </c>
      <c r="J146">
        <v>0</v>
      </c>
      <c r="K146" t="s">
        <v>160</v>
      </c>
      <c r="L146">
        <v>715000</v>
      </c>
      <c r="M146">
        <v>128.69999999999999</v>
      </c>
      <c r="N146" t="s">
        <v>168</v>
      </c>
      <c r="O146">
        <v>5600</v>
      </c>
      <c r="P146">
        <v>5.6</v>
      </c>
    </row>
    <row r="147" spans="1:25" x14ac:dyDescent="0.25">
      <c r="A147">
        <v>144</v>
      </c>
      <c r="B147" t="s">
        <v>204</v>
      </c>
      <c r="C147">
        <v>40</v>
      </c>
      <c r="D147">
        <v>398.91723110902882</v>
      </c>
      <c r="E147">
        <v>36</v>
      </c>
      <c r="F147">
        <v>362.91723110902882</v>
      </c>
      <c r="G147">
        <v>747050</v>
      </c>
      <c r="H147" t="s">
        <v>69</v>
      </c>
      <c r="I147">
        <v>26449.999999999996</v>
      </c>
      <c r="J147">
        <v>8.7655671535904993</v>
      </c>
      <c r="K147" t="s">
        <v>160</v>
      </c>
      <c r="L147">
        <v>715000</v>
      </c>
      <c r="M147">
        <v>128.69999999999999</v>
      </c>
      <c r="N147" t="s">
        <v>168</v>
      </c>
      <c r="O147">
        <v>5600</v>
      </c>
      <c r="P147">
        <v>5.6</v>
      </c>
    </row>
    <row r="148" spans="1:25" x14ac:dyDescent="0.25">
      <c r="A148">
        <v>145</v>
      </c>
      <c r="B148" t="s">
        <v>204</v>
      </c>
      <c r="C148">
        <v>41</v>
      </c>
      <c r="D148">
        <v>310.44684622308381</v>
      </c>
      <c r="E148">
        <v>66</v>
      </c>
      <c r="F148">
        <v>244.44684622308381</v>
      </c>
      <c r="G148">
        <v>433290</v>
      </c>
      <c r="H148" t="s">
        <v>169</v>
      </c>
      <c r="I148">
        <v>5290</v>
      </c>
      <c r="J148">
        <v>10.55355</v>
      </c>
      <c r="K148" t="s">
        <v>160</v>
      </c>
      <c r="L148">
        <v>425000</v>
      </c>
      <c r="M148">
        <v>76.5</v>
      </c>
      <c r="N148" t="s">
        <v>168</v>
      </c>
      <c r="O148">
        <v>3000</v>
      </c>
      <c r="P148">
        <v>3</v>
      </c>
    </row>
    <row r="149" spans="1:25" x14ac:dyDescent="0.25">
      <c r="A149">
        <v>146</v>
      </c>
      <c r="B149" t="s">
        <v>204</v>
      </c>
      <c r="C149">
        <v>41</v>
      </c>
      <c r="D149">
        <v>334.49446098455996</v>
      </c>
      <c r="E149">
        <v>64</v>
      </c>
      <c r="F149">
        <v>270.49446098455996</v>
      </c>
      <c r="G149">
        <v>433290</v>
      </c>
      <c r="H149" t="s">
        <v>169</v>
      </c>
      <c r="I149">
        <v>5290</v>
      </c>
      <c r="J149">
        <v>10.55355</v>
      </c>
      <c r="K149" t="s">
        <v>160</v>
      </c>
      <c r="L149">
        <v>425000</v>
      </c>
      <c r="M149">
        <v>76.5</v>
      </c>
      <c r="N149" t="s">
        <v>149</v>
      </c>
      <c r="O149">
        <v>3000</v>
      </c>
      <c r="P149">
        <v>0</v>
      </c>
      <c r="S149" t="s">
        <v>201</v>
      </c>
      <c r="V149" t="s">
        <v>201</v>
      </c>
      <c r="Y149" t="s">
        <v>201</v>
      </c>
    </row>
    <row r="150" spans="1:25" x14ac:dyDescent="0.25">
      <c r="A150">
        <v>147</v>
      </c>
      <c r="B150" t="s">
        <v>204</v>
      </c>
      <c r="C150">
        <v>41</v>
      </c>
      <c r="D150">
        <v>311.44867756006363</v>
      </c>
      <c r="E150">
        <v>66</v>
      </c>
      <c r="F150">
        <v>245.44867756006366</v>
      </c>
      <c r="G150">
        <v>433290</v>
      </c>
      <c r="H150" t="s">
        <v>169</v>
      </c>
      <c r="I150">
        <v>5290</v>
      </c>
      <c r="J150">
        <v>10.55355</v>
      </c>
      <c r="K150" t="s">
        <v>160</v>
      </c>
      <c r="L150">
        <v>425000</v>
      </c>
      <c r="M150">
        <v>76.5</v>
      </c>
      <c r="N150" t="s">
        <v>168</v>
      </c>
      <c r="O150">
        <v>3000</v>
      </c>
      <c r="P150">
        <v>3</v>
      </c>
      <c r="S150" t="s">
        <v>201</v>
      </c>
      <c r="V150" t="s">
        <v>201</v>
      </c>
      <c r="Y150" t="s">
        <v>201</v>
      </c>
    </row>
    <row r="151" spans="1:25" x14ac:dyDescent="0.25">
      <c r="A151">
        <v>148</v>
      </c>
      <c r="B151" t="s">
        <v>204</v>
      </c>
      <c r="C151">
        <v>41</v>
      </c>
      <c r="D151">
        <v>280.72067521185204</v>
      </c>
      <c r="E151">
        <v>105</v>
      </c>
      <c r="F151">
        <v>175.72067521185207</v>
      </c>
      <c r="G151">
        <v>515690</v>
      </c>
      <c r="H151" t="s">
        <v>69</v>
      </c>
      <c r="I151">
        <v>15639.999999999998</v>
      </c>
      <c r="J151">
        <v>5.1829825216454992</v>
      </c>
      <c r="K151" t="s">
        <v>163</v>
      </c>
      <c r="L151">
        <v>400000</v>
      </c>
      <c r="M151">
        <v>51</v>
      </c>
      <c r="N151" t="s">
        <v>169</v>
      </c>
      <c r="O151">
        <v>100049.99999999999</v>
      </c>
      <c r="P151">
        <v>199.59775500000001</v>
      </c>
      <c r="S151" t="s">
        <v>201</v>
      </c>
      <c r="V151" t="s">
        <v>201</v>
      </c>
      <c r="Y151" t="s">
        <v>201</v>
      </c>
    </row>
    <row r="152" spans="1:25" x14ac:dyDescent="0.25">
      <c r="A152">
        <v>149</v>
      </c>
      <c r="B152" t="s">
        <v>204</v>
      </c>
      <c r="C152">
        <v>41</v>
      </c>
      <c r="D152">
        <v>326.74281536406755</v>
      </c>
      <c r="E152">
        <v>73</v>
      </c>
      <c r="F152">
        <v>253.74281536406755</v>
      </c>
      <c r="G152">
        <v>434260</v>
      </c>
      <c r="H152" t="s">
        <v>169</v>
      </c>
      <c r="I152">
        <v>5290</v>
      </c>
      <c r="J152">
        <v>10.55355</v>
      </c>
      <c r="K152" t="s">
        <v>160</v>
      </c>
      <c r="L152">
        <v>425000</v>
      </c>
      <c r="M152">
        <v>76.5</v>
      </c>
      <c r="N152" t="s">
        <v>155</v>
      </c>
      <c r="O152">
        <v>3210</v>
      </c>
      <c r="P152">
        <v>2.1312500000000001</v>
      </c>
      <c r="Q152" t="s">
        <v>149</v>
      </c>
      <c r="R152">
        <v>760</v>
      </c>
      <c r="S152">
        <v>0</v>
      </c>
      <c r="V152" t="s">
        <v>201</v>
      </c>
      <c r="Y152" t="s">
        <v>201</v>
      </c>
    </row>
    <row r="153" spans="1:25" x14ac:dyDescent="0.25">
      <c r="A153">
        <v>150</v>
      </c>
      <c r="B153" t="s">
        <v>204</v>
      </c>
      <c r="C153">
        <v>41</v>
      </c>
      <c r="D153">
        <v>328</v>
      </c>
      <c r="E153">
        <v>63</v>
      </c>
      <c r="F153">
        <v>265</v>
      </c>
      <c r="G153">
        <v>430700</v>
      </c>
      <c r="H153" t="s">
        <v>154</v>
      </c>
      <c r="I153">
        <v>2700</v>
      </c>
      <c r="J153">
        <v>4.725E-3</v>
      </c>
      <c r="K153" t="s">
        <v>160</v>
      </c>
      <c r="L153">
        <v>425000</v>
      </c>
      <c r="M153">
        <v>76.5</v>
      </c>
      <c r="N153" t="s">
        <v>149</v>
      </c>
      <c r="O153">
        <v>3000</v>
      </c>
      <c r="P153">
        <v>0</v>
      </c>
      <c r="S153" t="s">
        <v>201</v>
      </c>
    </row>
    <row r="154" spans="1:25" x14ac:dyDescent="0.25">
      <c r="A154">
        <v>151</v>
      </c>
      <c r="B154" t="s">
        <v>204</v>
      </c>
      <c r="C154">
        <v>41</v>
      </c>
      <c r="D154">
        <v>303</v>
      </c>
      <c r="E154">
        <v>65</v>
      </c>
      <c r="F154">
        <v>238</v>
      </c>
      <c r="G154">
        <v>430700</v>
      </c>
      <c r="H154" t="s">
        <v>154</v>
      </c>
      <c r="I154">
        <v>2700</v>
      </c>
      <c r="J154">
        <v>4.725E-3</v>
      </c>
      <c r="K154" t="s">
        <v>160</v>
      </c>
      <c r="L154">
        <v>425000</v>
      </c>
      <c r="M154">
        <v>76.5</v>
      </c>
      <c r="N154" t="s">
        <v>168</v>
      </c>
      <c r="O154">
        <v>3000</v>
      </c>
      <c r="P154">
        <v>3</v>
      </c>
      <c r="S154" t="s">
        <v>201</v>
      </c>
    </row>
    <row r="155" spans="1:25" x14ac:dyDescent="0.25">
      <c r="A155">
        <v>152</v>
      </c>
      <c r="B155" t="s">
        <v>204</v>
      </c>
      <c r="C155">
        <v>41</v>
      </c>
      <c r="D155">
        <v>308.72843408493566</v>
      </c>
      <c r="E155">
        <v>67</v>
      </c>
      <c r="F155">
        <v>241.72843408493569</v>
      </c>
      <c r="G155">
        <v>433740</v>
      </c>
      <c r="H155" t="s">
        <v>169</v>
      </c>
      <c r="I155">
        <v>8740</v>
      </c>
      <c r="J155">
        <v>17.436299999999999</v>
      </c>
      <c r="K155" t="s">
        <v>160</v>
      </c>
      <c r="L155">
        <v>425000</v>
      </c>
      <c r="M155">
        <v>76.5</v>
      </c>
      <c r="P155" t="s">
        <v>201</v>
      </c>
      <c r="S155" t="s">
        <v>201</v>
      </c>
      <c r="V155" t="s">
        <v>201</v>
      </c>
      <c r="Y155" t="s">
        <v>201</v>
      </c>
    </row>
    <row r="156" spans="1:25" x14ac:dyDescent="0.25">
      <c r="A156">
        <v>153</v>
      </c>
      <c r="B156" t="s">
        <v>204</v>
      </c>
      <c r="C156">
        <v>41</v>
      </c>
      <c r="D156">
        <v>301.98810483870972</v>
      </c>
      <c r="E156">
        <v>132.00000000000003</v>
      </c>
      <c r="F156">
        <v>169.98810483870969</v>
      </c>
      <c r="G156">
        <v>483600</v>
      </c>
      <c r="H156" t="s">
        <v>69</v>
      </c>
      <c r="I156">
        <v>15639.999999999998</v>
      </c>
      <c r="J156">
        <v>5.1829825216454992</v>
      </c>
      <c r="K156" t="s">
        <v>163</v>
      </c>
      <c r="L156">
        <v>400000</v>
      </c>
      <c r="M156">
        <v>51</v>
      </c>
      <c r="N156" t="s">
        <v>159</v>
      </c>
      <c r="O156">
        <v>64000</v>
      </c>
      <c r="P156">
        <v>11.52</v>
      </c>
      <c r="Q156" t="s">
        <v>155</v>
      </c>
      <c r="R156">
        <v>3210</v>
      </c>
      <c r="S156">
        <v>2.1312500000000001</v>
      </c>
      <c r="T156" t="s">
        <v>149</v>
      </c>
      <c r="U156">
        <v>750</v>
      </c>
      <c r="V156">
        <v>0</v>
      </c>
      <c r="Y156" t="s">
        <v>201</v>
      </c>
    </row>
    <row r="157" spans="1:25" x14ac:dyDescent="0.25">
      <c r="A157">
        <v>154</v>
      </c>
      <c r="B157" t="s">
        <v>204</v>
      </c>
      <c r="C157">
        <v>41</v>
      </c>
      <c r="D157">
        <v>321.27774341510872</v>
      </c>
      <c r="E157">
        <v>72</v>
      </c>
      <c r="F157">
        <v>249.27774341510872</v>
      </c>
      <c r="G157">
        <v>431670</v>
      </c>
      <c r="H157" t="s">
        <v>153</v>
      </c>
      <c r="I157">
        <v>2700</v>
      </c>
      <c r="J157">
        <v>0</v>
      </c>
      <c r="K157" t="s">
        <v>160</v>
      </c>
      <c r="L157">
        <v>425000</v>
      </c>
      <c r="M157">
        <v>76.5</v>
      </c>
      <c r="N157" t="s">
        <v>155</v>
      </c>
      <c r="O157">
        <v>3210</v>
      </c>
      <c r="P157">
        <v>2.1312500000000001</v>
      </c>
      <c r="Q157" t="s">
        <v>149</v>
      </c>
      <c r="R157">
        <v>760</v>
      </c>
      <c r="S157">
        <v>0</v>
      </c>
      <c r="V157" t="s">
        <v>201</v>
      </c>
      <c r="Y157" t="s">
        <v>201</v>
      </c>
    </row>
    <row r="158" spans="1:25" x14ac:dyDescent="0.25">
      <c r="A158">
        <v>155</v>
      </c>
      <c r="B158" t="s">
        <v>204</v>
      </c>
      <c r="C158">
        <v>41</v>
      </c>
      <c r="D158">
        <v>277.04086496456648</v>
      </c>
      <c r="E158">
        <v>99</v>
      </c>
      <c r="F158">
        <v>178.04086496456651</v>
      </c>
      <c r="G158">
        <v>515050</v>
      </c>
      <c r="H158" t="s">
        <v>149</v>
      </c>
      <c r="I158">
        <v>1000</v>
      </c>
      <c r="J158">
        <v>0</v>
      </c>
      <c r="K158" t="s">
        <v>160</v>
      </c>
      <c r="L158">
        <v>14000</v>
      </c>
      <c r="M158">
        <v>2.52</v>
      </c>
      <c r="N158" t="s">
        <v>163</v>
      </c>
      <c r="O158">
        <v>400000</v>
      </c>
      <c r="P158">
        <v>51</v>
      </c>
      <c r="Q158" t="s">
        <v>169</v>
      </c>
      <c r="R158">
        <v>100049.99999999999</v>
      </c>
      <c r="S158">
        <v>199.59775500000001</v>
      </c>
      <c r="V158" t="s">
        <v>201</v>
      </c>
      <c r="Y158" t="s">
        <v>201</v>
      </c>
    </row>
    <row r="159" spans="1:25" x14ac:dyDescent="0.25">
      <c r="A159">
        <v>156</v>
      </c>
      <c r="B159" t="s">
        <v>204</v>
      </c>
      <c r="C159">
        <v>41</v>
      </c>
      <c r="D159">
        <v>298.17148003975484</v>
      </c>
      <c r="E159">
        <v>126</v>
      </c>
      <c r="F159">
        <v>172.17148003975484</v>
      </c>
      <c r="G159">
        <v>482960</v>
      </c>
      <c r="H159" t="s">
        <v>149</v>
      </c>
      <c r="I159">
        <v>1750</v>
      </c>
      <c r="J159">
        <v>0</v>
      </c>
      <c r="K159" t="s">
        <v>160</v>
      </c>
      <c r="L159">
        <v>14000</v>
      </c>
      <c r="M159">
        <v>2.52</v>
      </c>
      <c r="N159" t="s">
        <v>163</v>
      </c>
      <c r="O159">
        <v>400000</v>
      </c>
      <c r="P159">
        <v>51</v>
      </c>
      <c r="Q159" t="s">
        <v>159</v>
      </c>
      <c r="R159">
        <v>64000</v>
      </c>
      <c r="S159">
        <v>11.52</v>
      </c>
      <c r="T159" t="s">
        <v>155</v>
      </c>
      <c r="U159">
        <v>3210</v>
      </c>
      <c r="V159">
        <v>2.1312500000000001</v>
      </c>
      <c r="Y159" t="s">
        <v>201</v>
      </c>
    </row>
    <row r="160" spans="1:25" x14ac:dyDescent="0.25">
      <c r="A160">
        <v>157</v>
      </c>
      <c r="B160" t="s">
        <v>204</v>
      </c>
      <c r="C160">
        <v>41</v>
      </c>
      <c r="D160">
        <v>281.17162400248731</v>
      </c>
      <c r="E160">
        <v>121</v>
      </c>
      <c r="F160">
        <v>160.17162400248731</v>
      </c>
      <c r="G160">
        <v>482450</v>
      </c>
      <c r="H160" t="s">
        <v>149</v>
      </c>
      <c r="I160">
        <v>1000</v>
      </c>
      <c r="J160">
        <v>0</v>
      </c>
      <c r="K160" t="s">
        <v>160</v>
      </c>
      <c r="L160">
        <v>14000</v>
      </c>
      <c r="M160">
        <v>2.52</v>
      </c>
      <c r="N160" t="s">
        <v>163</v>
      </c>
      <c r="O160">
        <v>400000</v>
      </c>
      <c r="P160">
        <v>51</v>
      </c>
      <c r="Q160" t="s">
        <v>159</v>
      </c>
      <c r="R160">
        <v>64000</v>
      </c>
      <c r="S160">
        <v>11.52</v>
      </c>
      <c r="T160" t="s">
        <v>169</v>
      </c>
      <c r="U160">
        <v>3449.9999999999995</v>
      </c>
      <c r="V160">
        <v>6.8807549999999997</v>
      </c>
      <c r="Y160" t="s">
        <v>201</v>
      </c>
    </row>
    <row r="161" spans="1:25" x14ac:dyDescent="0.25">
      <c r="A161">
        <v>158</v>
      </c>
      <c r="B161" t="s">
        <v>204</v>
      </c>
      <c r="C161">
        <v>41</v>
      </c>
      <c r="D161">
        <v>302.77716535433069</v>
      </c>
      <c r="E161">
        <v>98.999999999999986</v>
      </c>
      <c r="F161">
        <v>203.77716535433069</v>
      </c>
      <c r="G161">
        <v>514350</v>
      </c>
      <c r="H161" t="s">
        <v>153</v>
      </c>
      <c r="I161">
        <v>14300</v>
      </c>
      <c r="J161">
        <v>0</v>
      </c>
      <c r="K161" t="s">
        <v>163</v>
      </c>
      <c r="L161">
        <v>400000</v>
      </c>
      <c r="M161">
        <v>51</v>
      </c>
      <c r="N161" t="s">
        <v>169</v>
      </c>
      <c r="O161">
        <v>100049.99999999999</v>
      </c>
      <c r="P161">
        <v>199.59775500000001</v>
      </c>
      <c r="S161" t="s">
        <v>201</v>
      </c>
      <c r="V161" t="s">
        <v>201</v>
      </c>
      <c r="Y161" t="s">
        <v>201</v>
      </c>
    </row>
    <row r="162" spans="1:25" x14ac:dyDescent="0.25">
      <c r="A162">
        <v>159</v>
      </c>
      <c r="B162" t="s">
        <v>204</v>
      </c>
      <c r="C162">
        <v>41</v>
      </c>
      <c r="D162">
        <v>323.19668954505869</v>
      </c>
      <c r="E162">
        <v>125.99999999999999</v>
      </c>
      <c r="F162">
        <v>197.19668954505869</v>
      </c>
      <c r="G162">
        <v>482260</v>
      </c>
      <c r="H162" t="s">
        <v>153</v>
      </c>
      <c r="I162">
        <v>14300</v>
      </c>
      <c r="J162">
        <v>0</v>
      </c>
      <c r="K162" t="s">
        <v>163</v>
      </c>
      <c r="L162">
        <v>400000</v>
      </c>
      <c r="M162">
        <v>51</v>
      </c>
      <c r="N162" t="s">
        <v>159</v>
      </c>
      <c r="O162">
        <v>64000</v>
      </c>
      <c r="P162">
        <v>11.52</v>
      </c>
      <c r="Q162" t="s">
        <v>155</v>
      </c>
      <c r="R162">
        <v>3210</v>
      </c>
      <c r="S162">
        <v>2.1312500000000001</v>
      </c>
      <c r="T162" t="s">
        <v>149</v>
      </c>
      <c r="U162">
        <v>750</v>
      </c>
      <c r="V162">
        <v>0</v>
      </c>
      <c r="Y162" t="s">
        <v>201</v>
      </c>
    </row>
    <row r="163" spans="1:25" x14ac:dyDescent="0.25">
      <c r="A163">
        <v>160</v>
      </c>
      <c r="B163" t="s">
        <v>204</v>
      </c>
      <c r="C163">
        <v>41</v>
      </c>
      <c r="D163">
        <v>306.19872859366893</v>
      </c>
      <c r="E163">
        <v>121</v>
      </c>
      <c r="F163">
        <v>185.19872859366893</v>
      </c>
      <c r="G163">
        <v>481750</v>
      </c>
      <c r="H163" t="s">
        <v>153</v>
      </c>
      <c r="I163">
        <v>14300</v>
      </c>
      <c r="J163">
        <v>0</v>
      </c>
      <c r="K163" t="s">
        <v>163</v>
      </c>
      <c r="L163">
        <v>400000</v>
      </c>
      <c r="M163">
        <v>51</v>
      </c>
      <c r="N163" t="s">
        <v>159</v>
      </c>
      <c r="O163">
        <v>64000</v>
      </c>
      <c r="P163">
        <v>11.52</v>
      </c>
      <c r="Q163" t="s">
        <v>169</v>
      </c>
      <c r="R163">
        <v>3449.9999999999995</v>
      </c>
      <c r="S163">
        <v>6.8807549999999997</v>
      </c>
      <c r="V163" t="s">
        <v>201</v>
      </c>
      <c r="Y163" t="s">
        <v>201</v>
      </c>
    </row>
    <row r="164" spans="1:25" x14ac:dyDescent="0.25">
      <c r="A164">
        <v>161</v>
      </c>
      <c r="B164" t="s">
        <v>204</v>
      </c>
      <c r="C164">
        <v>41</v>
      </c>
      <c r="D164">
        <v>274.72067521185204</v>
      </c>
      <c r="E164">
        <v>99</v>
      </c>
      <c r="F164">
        <v>175.72067521185207</v>
      </c>
      <c r="G164">
        <v>515690</v>
      </c>
      <c r="H164" t="s">
        <v>169</v>
      </c>
      <c r="I164">
        <v>115689.99999999999</v>
      </c>
      <c r="J164">
        <v>230.79955499999997</v>
      </c>
      <c r="K164" t="s">
        <v>163</v>
      </c>
      <c r="L164">
        <v>400000</v>
      </c>
      <c r="M164">
        <v>51</v>
      </c>
      <c r="P164" t="s">
        <v>201</v>
      </c>
      <c r="S164" t="s">
        <v>201</v>
      </c>
      <c r="V164" t="s">
        <v>201</v>
      </c>
      <c r="Y164" t="s">
        <v>201</v>
      </c>
    </row>
    <row r="165" spans="1:25" x14ac:dyDescent="0.25">
      <c r="A165">
        <v>162</v>
      </c>
      <c r="B165" t="s">
        <v>204</v>
      </c>
      <c r="C165">
        <v>41</v>
      </c>
      <c r="D165">
        <v>295.98810483870972</v>
      </c>
      <c r="E165">
        <v>126.00000000000003</v>
      </c>
      <c r="F165">
        <v>169.98810483870969</v>
      </c>
      <c r="G165">
        <v>483600</v>
      </c>
      <c r="H165" t="s">
        <v>169</v>
      </c>
      <c r="I165">
        <v>15639.999999999998</v>
      </c>
      <c r="J165">
        <v>31.199804999999998</v>
      </c>
      <c r="K165" t="s">
        <v>163</v>
      </c>
      <c r="L165">
        <v>400000</v>
      </c>
      <c r="M165">
        <v>51</v>
      </c>
      <c r="N165" t="s">
        <v>159</v>
      </c>
      <c r="O165">
        <v>64000</v>
      </c>
      <c r="P165">
        <v>11.52</v>
      </c>
      <c r="Q165" t="s">
        <v>155</v>
      </c>
      <c r="R165">
        <v>3210</v>
      </c>
      <c r="S165">
        <v>2.1312500000000001</v>
      </c>
      <c r="T165" t="s">
        <v>149</v>
      </c>
      <c r="U165">
        <v>750</v>
      </c>
      <c r="V165">
        <v>0</v>
      </c>
      <c r="Y165" t="s">
        <v>201</v>
      </c>
    </row>
    <row r="166" spans="1:25" x14ac:dyDescent="0.25">
      <c r="A166">
        <v>163</v>
      </c>
      <c r="B166" t="s">
        <v>204</v>
      </c>
      <c r="C166">
        <v>41</v>
      </c>
      <c r="D166">
        <v>278.93061230826549</v>
      </c>
      <c r="E166">
        <v>121</v>
      </c>
      <c r="F166">
        <v>157.93061230826552</v>
      </c>
      <c r="G166">
        <v>483090</v>
      </c>
      <c r="H166" t="s">
        <v>169</v>
      </c>
      <c r="I166">
        <v>19090</v>
      </c>
      <c r="J166">
        <v>38.08455</v>
      </c>
      <c r="K166" t="s">
        <v>163</v>
      </c>
      <c r="L166">
        <v>400000</v>
      </c>
      <c r="M166">
        <v>51</v>
      </c>
      <c r="N166" t="s">
        <v>159</v>
      </c>
      <c r="O166">
        <v>64000</v>
      </c>
      <c r="P166">
        <v>11.52</v>
      </c>
      <c r="S166" t="s">
        <v>201</v>
      </c>
      <c r="V166" t="s">
        <v>201</v>
      </c>
      <c r="Y166" t="s">
        <v>201</v>
      </c>
    </row>
    <row r="167" spans="1:25" x14ac:dyDescent="0.25">
      <c r="A167">
        <v>164</v>
      </c>
      <c r="B167" t="s">
        <v>204</v>
      </c>
      <c r="C167">
        <v>41</v>
      </c>
      <c r="D167">
        <v>302.28326568479645</v>
      </c>
      <c r="E167">
        <v>66</v>
      </c>
      <c r="F167">
        <v>236.28326568479648</v>
      </c>
      <c r="G167">
        <v>431150</v>
      </c>
      <c r="H167" t="s">
        <v>154</v>
      </c>
      <c r="I167">
        <v>2700</v>
      </c>
      <c r="J167">
        <v>4.725E-3</v>
      </c>
      <c r="K167" t="s">
        <v>160</v>
      </c>
      <c r="L167">
        <v>425000</v>
      </c>
      <c r="M167">
        <v>76.5</v>
      </c>
      <c r="N167" t="s">
        <v>169</v>
      </c>
      <c r="O167">
        <v>3449.9999999999995</v>
      </c>
      <c r="P167">
        <v>6.8807549999999997</v>
      </c>
      <c r="S167" t="s">
        <v>201</v>
      </c>
    </row>
    <row r="168" spans="1:25" x14ac:dyDescent="0.25">
      <c r="A168">
        <v>165</v>
      </c>
      <c r="B168" t="s">
        <v>204</v>
      </c>
      <c r="C168">
        <v>41</v>
      </c>
      <c r="D168">
        <v>284.93061230826549</v>
      </c>
      <c r="E168">
        <v>126.99999999999999</v>
      </c>
      <c r="F168">
        <v>157.93061230826552</v>
      </c>
      <c r="G168">
        <v>483090</v>
      </c>
      <c r="H168" t="s">
        <v>69</v>
      </c>
      <c r="I168">
        <v>15639.999999999998</v>
      </c>
      <c r="J168">
        <v>5.1829825216454992</v>
      </c>
      <c r="K168" t="s">
        <v>163</v>
      </c>
      <c r="L168">
        <v>400000</v>
      </c>
      <c r="M168">
        <v>51</v>
      </c>
      <c r="N168" t="s">
        <v>159</v>
      </c>
      <c r="O168">
        <v>64000</v>
      </c>
      <c r="P168">
        <v>11.52</v>
      </c>
      <c r="Q168" t="s">
        <v>169</v>
      </c>
      <c r="R168">
        <v>3449.9999999999995</v>
      </c>
      <c r="S168">
        <v>6.8807549999999997</v>
      </c>
      <c r="V168" t="s">
        <v>201</v>
      </c>
      <c r="Y168" t="s">
        <v>201</v>
      </c>
    </row>
    <row r="169" spans="1:25" x14ac:dyDescent="0.25">
      <c r="A169">
        <v>166</v>
      </c>
      <c r="B169" t="s">
        <v>204</v>
      </c>
      <c r="C169">
        <v>41</v>
      </c>
      <c r="D169">
        <v>320.27662797970669</v>
      </c>
      <c r="E169">
        <v>72</v>
      </c>
      <c r="F169">
        <v>248.27662797970669</v>
      </c>
      <c r="G169">
        <v>431670</v>
      </c>
      <c r="H169" t="s">
        <v>154</v>
      </c>
      <c r="I169">
        <v>2700</v>
      </c>
      <c r="J169">
        <v>4.725E-3</v>
      </c>
      <c r="K169" t="s">
        <v>160</v>
      </c>
      <c r="L169">
        <v>425000</v>
      </c>
      <c r="M169">
        <v>76.5</v>
      </c>
      <c r="N169" t="s">
        <v>155</v>
      </c>
      <c r="O169">
        <v>3210</v>
      </c>
      <c r="P169">
        <v>2.1312500000000001</v>
      </c>
      <c r="Q169" t="s">
        <v>149</v>
      </c>
      <c r="R169">
        <v>760</v>
      </c>
      <c r="S169">
        <v>0</v>
      </c>
    </row>
    <row r="170" spans="1:25" x14ac:dyDescent="0.25">
      <c r="A170">
        <v>167</v>
      </c>
      <c r="B170" t="s">
        <v>204</v>
      </c>
      <c r="C170">
        <v>41</v>
      </c>
      <c r="D170">
        <v>312</v>
      </c>
      <c r="E170">
        <v>60</v>
      </c>
      <c r="F170">
        <v>252</v>
      </c>
      <c r="G170">
        <v>429600</v>
      </c>
      <c r="H170" t="s">
        <v>149</v>
      </c>
      <c r="I170">
        <v>1600</v>
      </c>
      <c r="J170">
        <v>0</v>
      </c>
      <c r="K170" t="s">
        <v>160</v>
      </c>
      <c r="L170">
        <v>425000</v>
      </c>
      <c r="M170">
        <v>76.5</v>
      </c>
      <c r="N170" t="s">
        <v>168</v>
      </c>
      <c r="O170">
        <v>3000</v>
      </c>
      <c r="P170">
        <v>3</v>
      </c>
      <c r="S170" t="s">
        <v>201</v>
      </c>
      <c r="V170" t="s">
        <v>201</v>
      </c>
      <c r="Y170" t="s">
        <v>201</v>
      </c>
    </row>
    <row r="171" spans="1:25" x14ac:dyDescent="0.25">
      <c r="A171">
        <v>168</v>
      </c>
      <c r="B171" t="s">
        <v>204</v>
      </c>
      <c r="C171">
        <v>41</v>
      </c>
      <c r="D171">
        <v>306</v>
      </c>
      <c r="E171">
        <v>65</v>
      </c>
      <c r="F171">
        <v>241</v>
      </c>
      <c r="G171">
        <v>430700</v>
      </c>
      <c r="H171" t="s">
        <v>153</v>
      </c>
      <c r="I171">
        <v>2700</v>
      </c>
      <c r="J171">
        <v>0</v>
      </c>
      <c r="K171" t="s">
        <v>160</v>
      </c>
      <c r="L171">
        <v>425000</v>
      </c>
      <c r="M171">
        <v>76.5</v>
      </c>
      <c r="N171" t="s">
        <v>168</v>
      </c>
      <c r="O171">
        <v>3000</v>
      </c>
      <c r="P171">
        <v>3</v>
      </c>
      <c r="S171" t="s">
        <v>201</v>
      </c>
      <c r="V171" t="s">
        <v>201</v>
      </c>
      <c r="Y171" t="s">
        <v>201</v>
      </c>
    </row>
    <row r="172" spans="1:25" x14ac:dyDescent="0.25">
      <c r="A172">
        <v>169</v>
      </c>
      <c r="B172" t="s">
        <v>204</v>
      </c>
      <c r="C172">
        <v>41</v>
      </c>
      <c r="D172">
        <v>329</v>
      </c>
      <c r="E172">
        <v>63</v>
      </c>
      <c r="F172">
        <v>266</v>
      </c>
      <c r="G172">
        <v>430700</v>
      </c>
      <c r="H172" t="s">
        <v>153</v>
      </c>
      <c r="I172">
        <v>2700</v>
      </c>
      <c r="J172">
        <v>0</v>
      </c>
      <c r="K172" t="s">
        <v>160</v>
      </c>
      <c r="L172">
        <v>425000</v>
      </c>
      <c r="M172">
        <v>76.5</v>
      </c>
      <c r="N172" t="s">
        <v>149</v>
      </c>
      <c r="O172">
        <v>3000</v>
      </c>
      <c r="P172">
        <v>0</v>
      </c>
      <c r="S172" t="s">
        <v>201</v>
      </c>
      <c r="V172" t="s">
        <v>201</v>
      </c>
      <c r="Y172" t="s">
        <v>201</v>
      </c>
    </row>
    <row r="173" spans="1:25" x14ac:dyDescent="0.25">
      <c r="A173">
        <v>170</v>
      </c>
      <c r="B173" t="s">
        <v>204</v>
      </c>
      <c r="C173">
        <v>41</v>
      </c>
      <c r="D173">
        <v>384.05711534346244</v>
      </c>
      <c r="E173">
        <v>0</v>
      </c>
      <c r="F173">
        <v>384.05711534346244</v>
      </c>
      <c r="G173">
        <v>467299.99999999994</v>
      </c>
      <c r="H173" t="s">
        <v>149</v>
      </c>
      <c r="I173">
        <v>400</v>
      </c>
      <c r="J173">
        <v>0</v>
      </c>
      <c r="K173" t="s">
        <v>69</v>
      </c>
      <c r="L173">
        <v>466899.99999999994</v>
      </c>
      <c r="M173">
        <v>154.73683460411547</v>
      </c>
      <c r="P173" t="s">
        <v>201</v>
      </c>
      <c r="S173" t="s">
        <v>201</v>
      </c>
      <c r="V173" t="s">
        <v>201</v>
      </c>
      <c r="Y173" t="s">
        <v>201</v>
      </c>
    </row>
    <row r="174" spans="1:25" x14ac:dyDescent="0.25">
      <c r="A174">
        <v>171</v>
      </c>
      <c r="B174" t="s">
        <v>204</v>
      </c>
      <c r="C174">
        <v>41</v>
      </c>
      <c r="D174">
        <v>326.58818021998354</v>
      </c>
      <c r="E174">
        <v>67</v>
      </c>
      <c r="F174">
        <v>259.58818021998354</v>
      </c>
      <c r="G174">
        <v>432305</v>
      </c>
      <c r="H174" t="s">
        <v>69</v>
      </c>
      <c r="I174">
        <v>3334.9999999999995</v>
      </c>
      <c r="J174">
        <v>1.1049340576229998</v>
      </c>
      <c r="K174" t="s">
        <v>160</v>
      </c>
      <c r="L174">
        <v>425000</v>
      </c>
      <c r="M174">
        <v>76.5</v>
      </c>
      <c r="N174" t="s">
        <v>155</v>
      </c>
      <c r="O174">
        <v>3210</v>
      </c>
      <c r="P174">
        <v>2.1312500000000001</v>
      </c>
      <c r="Q174" t="s">
        <v>149</v>
      </c>
      <c r="R174">
        <v>760</v>
      </c>
      <c r="S174">
        <v>0</v>
      </c>
      <c r="V174" t="s">
        <v>201</v>
      </c>
      <c r="Y174" t="s">
        <v>201</v>
      </c>
    </row>
    <row r="175" spans="1:25" x14ac:dyDescent="0.25">
      <c r="A175">
        <v>172</v>
      </c>
      <c r="B175" t="s">
        <v>204</v>
      </c>
      <c r="C175">
        <v>41</v>
      </c>
      <c r="D175">
        <v>308.58219773729979</v>
      </c>
      <c r="E175">
        <v>61</v>
      </c>
      <c r="F175">
        <v>247.58219773729982</v>
      </c>
      <c r="G175">
        <v>431785</v>
      </c>
      <c r="H175" t="s">
        <v>69</v>
      </c>
      <c r="I175">
        <v>3334.9999999999995</v>
      </c>
      <c r="J175">
        <v>1.1049340576229998</v>
      </c>
      <c r="K175" t="s">
        <v>160</v>
      </c>
      <c r="L175">
        <v>425000</v>
      </c>
      <c r="M175">
        <v>76.5</v>
      </c>
      <c r="N175" t="s">
        <v>169</v>
      </c>
      <c r="O175">
        <v>3449.9999999999995</v>
      </c>
      <c r="P175">
        <v>6.8807549999999997</v>
      </c>
      <c r="S175" t="s">
        <v>201</v>
      </c>
      <c r="V175" t="s">
        <v>201</v>
      </c>
      <c r="Y175" t="s">
        <v>201</v>
      </c>
    </row>
    <row r="176" spans="1:25" x14ac:dyDescent="0.25">
      <c r="A176">
        <v>173</v>
      </c>
      <c r="B176" t="s">
        <v>204</v>
      </c>
      <c r="C176">
        <v>41</v>
      </c>
      <c r="D176">
        <v>326.58818021998354</v>
      </c>
      <c r="E176">
        <v>67</v>
      </c>
      <c r="F176">
        <v>259.58818021998354</v>
      </c>
      <c r="G176">
        <v>432305</v>
      </c>
      <c r="H176" t="s">
        <v>69</v>
      </c>
      <c r="I176">
        <v>3334.9999999999995</v>
      </c>
      <c r="J176">
        <v>1.1049340576229998</v>
      </c>
      <c r="K176" t="s">
        <v>160</v>
      </c>
      <c r="L176">
        <v>425000</v>
      </c>
      <c r="M176">
        <v>76.5</v>
      </c>
      <c r="N176" t="s">
        <v>155</v>
      </c>
      <c r="O176">
        <v>3210</v>
      </c>
      <c r="P176">
        <v>2.1312500000000001</v>
      </c>
      <c r="Q176" t="s">
        <v>149</v>
      </c>
      <c r="R176">
        <v>760</v>
      </c>
      <c r="S176">
        <v>0</v>
      </c>
      <c r="V176" t="s">
        <v>201</v>
      </c>
      <c r="Y176" t="s">
        <v>201</v>
      </c>
    </row>
    <row r="177" spans="1:25" x14ac:dyDescent="0.25">
      <c r="A177">
        <v>174</v>
      </c>
      <c r="B177" t="s">
        <v>204</v>
      </c>
      <c r="C177">
        <v>41</v>
      </c>
      <c r="D177">
        <v>308.58219773729979</v>
      </c>
      <c r="E177">
        <v>61</v>
      </c>
      <c r="F177">
        <v>247.58219773729982</v>
      </c>
      <c r="G177">
        <v>431785</v>
      </c>
      <c r="H177" t="s">
        <v>69</v>
      </c>
      <c r="I177">
        <v>3334.9999999999995</v>
      </c>
      <c r="J177">
        <v>1.1049340576229998</v>
      </c>
      <c r="K177" t="s">
        <v>160</v>
      </c>
      <c r="L177">
        <v>425000</v>
      </c>
      <c r="M177">
        <v>76.5</v>
      </c>
      <c r="N177" t="s">
        <v>169</v>
      </c>
      <c r="O177">
        <v>3449.9999999999995</v>
      </c>
      <c r="P177">
        <v>6.8807549999999997</v>
      </c>
      <c r="S177" t="s">
        <v>201</v>
      </c>
      <c r="V177" t="s">
        <v>201</v>
      </c>
      <c r="Y177" t="s">
        <v>201</v>
      </c>
    </row>
    <row r="178" spans="1:25" x14ac:dyDescent="0.25">
      <c r="A178">
        <v>175</v>
      </c>
      <c r="B178" t="s">
        <v>204</v>
      </c>
      <c r="C178">
        <v>41</v>
      </c>
      <c r="D178">
        <v>311.29110262325105</v>
      </c>
      <c r="E178">
        <v>60</v>
      </c>
      <c r="F178">
        <v>251.29110262325108</v>
      </c>
      <c r="G178">
        <v>431335</v>
      </c>
      <c r="H178" t="s">
        <v>69</v>
      </c>
      <c r="I178">
        <v>3334.9999999999995</v>
      </c>
      <c r="J178">
        <v>1.1049340576229998</v>
      </c>
      <c r="K178" t="s">
        <v>160</v>
      </c>
      <c r="L178">
        <v>425000</v>
      </c>
      <c r="M178">
        <v>76.5</v>
      </c>
      <c r="N178" t="s">
        <v>168</v>
      </c>
      <c r="O178">
        <v>3000</v>
      </c>
      <c r="P178">
        <v>3</v>
      </c>
      <c r="S178" t="s">
        <v>201</v>
      </c>
      <c r="V178" t="s">
        <v>201</v>
      </c>
      <c r="Y178" t="s">
        <v>201</v>
      </c>
    </row>
    <row r="179" spans="1:25" x14ac:dyDescent="0.25">
      <c r="A179">
        <v>176</v>
      </c>
      <c r="B179" t="s">
        <v>204</v>
      </c>
      <c r="C179">
        <v>41</v>
      </c>
      <c r="D179">
        <v>310.2899428518437</v>
      </c>
      <c r="E179">
        <v>60</v>
      </c>
      <c r="F179">
        <v>250.2899428518437</v>
      </c>
      <c r="G179">
        <v>431335</v>
      </c>
      <c r="H179" t="s">
        <v>69</v>
      </c>
      <c r="I179">
        <v>3334.9999999999995</v>
      </c>
      <c r="J179">
        <v>1.1049340576229998</v>
      </c>
      <c r="K179" t="s">
        <v>160</v>
      </c>
      <c r="L179">
        <v>425000</v>
      </c>
      <c r="M179">
        <v>76.5</v>
      </c>
      <c r="N179" t="s">
        <v>168</v>
      </c>
      <c r="O179">
        <v>3000</v>
      </c>
      <c r="P179">
        <v>3</v>
      </c>
    </row>
    <row r="180" spans="1:25" x14ac:dyDescent="0.25">
      <c r="A180">
        <v>177</v>
      </c>
      <c r="B180" t="s">
        <v>204</v>
      </c>
      <c r="C180">
        <v>41</v>
      </c>
      <c r="D180">
        <v>323.2812982496813</v>
      </c>
      <c r="E180">
        <v>71</v>
      </c>
      <c r="F180">
        <v>252.28129824968127</v>
      </c>
      <c r="G180">
        <v>431350</v>
      </c>
      <c r="H180" t="s">
        <v>159</v>
      </c>
      <c r="I180">
        <v>1530</v>
      </c>
      <c r="J180">
        <v>0.27539999999999998</v>
      </c>
      <c r="K180" t="s">
        <v>149</v>
      </c>
      <c r="L180">
        <v>1610</v>
      </c>
      <c r="M180">
        <v>0</v>
      </c>
      <c r="N180" t="s">
        <v>160</v>
      </c>
      <c r="O180">
        <v>425000</v>
      </c>
      <c r="P180">
        <v>76.5</v>
      </c>
      <c r="Q180" t="s">
        <v>155</v>
      </c>
      <c r="R180">
        <v>3210</v>
      </c>
      <c r="S180">
        <v>2.1312500000000001</v>
      </c>
      <c r="V180" t="s">
        <v>201</v>
      </c>
      <c r="Y180" t="s">
        <v>201</v>
      </c>
    </row>
    <row r="181" spans="1:25" x14ac:dyDescent="0.25">
      <c r="A181">
        <v>178</v>
      </c>
      <c r="B181" t="s">
        <v>204</v>
      </c>
      <c r="C181">
        <v>41</v>
      </c>
      <c r="D181">
        <v>334.32009690843546</v>
      </c>
      <c r="E181">
        <v>58</v>
      </c>
      <c r="F181">
        <v>276.32009690843546</v>
      </c>
      <c r="G181">
        <v>431335</v>
      </c>
      <c r="H181" t="s">
        <v>69</v>
      </c>
      <c r="I181">
        <v>3334.9999999999995</v>
      </c>
      <c r="J181">
        <v>1.1049340576229998</v>
      </c>
      <c r="K181" t="s">
        <v>160</v>
      </c>
      <c r="L181">
        <v>425000</v>
      </c>
      <c r="M181">
        <v>76.5</v>
      </c>
      <c r="N181" t="s">
        <v>149</v>
      </c>
      <c r="O181">
        <v>3000</v>
      </c>
      <c r="P181">
        <v>0</v>
      </c>
      <c r="S181" t="s">
        <v>201</v>
      </c>
      <c r="V181" t="s">
        <v>201</v>
      </c>
      <c r="Y181" t="s">
        <v>201</v>
      </c>
    </row>
    <row r="182" spans="1:25" x14ac:dyDescent="0.25">
      <c r="A182">
        <v>179</v>
      </c>
      <c r="B182" t="s">
        <v>204</v>
      </c>
      <c r="C182">
        <v>41</v>
      </c>
      <c r="D182">
        <v>308</v>
      </c>
      <c r="E182">
        <v>64</v>
      </c>
      <c r="F182">
        <v>244</v>
      </c>
      <c r="G182">
        <v>430380</v>
      </c>
      <c r="H182" t="s">
        <v>159</v>
      </c>
      <c r="I182">
        <v>1530</v>
      </c>
      <c r="J182">
        <v>0.27539999999999998</v>
      </c>
      <c r="K182" t="s">
        <v>149</v>
      </c>
      <c r="L182">
        <v>850</v>
      </c>
      <c r="M182">
        <v>0</v>
      </c>
      <c r="N182" t="s">
        <v>160</v>
      </c>
      <c r="O182">
        <v>425000</v>
      </c>
      <c r="P182">
        <v>76.5</v>
      </c>
      <c r="Q182" t="s">
        <v>168</v>
      </c>
      <c r="R182">
        <v>3000</v>
      </c>
      <c r="S182">
        <v>3</v>
      </c>
      <c r="V182" t="s">
        <v>201</v>
      </c>
      <c r="Y182" t="s">
        <v>201</v>
      </c>
    </row>
    <row r="183" spans="1:25" x14ac:dyDescent="0.25">
      <c r="A183">
        <v>180</v>
      </c>
      <c r="B183" t="s">
        <v>204</v>
      </c>
      <c r="C183">
        <v>41</v>
      </c>
      <c r="D183">
        <v>307</v>
      </c>
      <c r="E183">
        <v>64</v>
      </c>
      <c r="F183">
        <v>243</v>
      </c>
      <c r="G183">
        <v>430380</v>
      </c>
      <c r="H183" t="s">
        <v>159</v>
      </c>
      <c r="I183">
        <v>1530</v>
      </c>
      <c r="J183">
        <v>0.27539999999999998</v>
      </c>
      <c r="K183" t="s">
        <v>149</v>
      </c>
      <c r="L183">
        <v>850</v>
      </c>
      <c r="M183">
        <v>0</v>
      </c>
      <c r="N183" t="s">
        <v>160</v>
      </c>
      <c r="O183">
        <v>425000</v>
      </c>
      <c r="P183">
        <v>76.5</v>
      </c>
      <c r="Q183" t="s">
        <v>168</v>
      </c>
      <c r="R183">
        <v>3000</v>
      </c>
      <c r="S183">
        <v>3</v>
      </c>
    </row>
    <row r="184" spans="1:25" x14ac:dyDescent="0.25">
      <c r="A184">
        <v>181</v>
      </c>
      <c r="B184" t="s">
        <v>204</v>
      </c>
      <c r="C184">
        <v>41</v>
      </c>
      <c r="D184">
        <v>331</v>
      </c>
      <c r="E184">
        <v>62</v>
      </c>
      <c r="F184">
        <v>269</v>
      </c>
      <c r="G184">
        <v>430380</v>
      </c>
      <c r="H184" t="s">
        <v>159</v>
      </c>
      <c r="I184">
        <v>1530</v>
      </c>
      <c r="J184">
        <v>0.27539999999999998</v>
      </c>
      <c r="K184" t="s">
        <v>149</v>
      </c>
      <c r="L184">
        <v>3850</v>
      </c>
      <c r="M184">
        <v>0</v>
      </c>
      <c r="N184" t="s">
        <v>160</v>
      </c>
      <c r="O184">
        <v>425000</v>
      </c>
      <c r="P184">
        <v>76.5</v>
      </c>
      <c r="S184" t="s">
        <v>201</v>
      </c>
      <c r="V184" t="s">
        <v>201</v>
      </c>
      <c r="Y184" t="s">
        <v>201</v>
      </c>
    </row>
    <row r="185" spans="1:25" x14ac:dyDescent="0.25">
      <c r="A185">
        <v>182</v>
      </c>
      <c r="B185" t="s">
        <v>204</v>
      </c>
      <c r="C185">
        <v>41</v>
      </c>
      <c r="D185">
        <v>327.29075411663609</v>
      </c>
      <c r="E185">
        <v>67</v>
      </c>
      <c r="F185">
        <v>260.29075411663609</v>
      </c>
      <c r="G185">
        <v>430570</v>
      </c>
      <c r="H185" t="s">
        <v>149</v>
      </c>
      <c r="I185">
        <v>2360</v>
      </c>
      <c r="J185">
        <v>0</v>
      </c>
      <c r="K185" t="s">
        <v>160</v>
      </c>
      <c r="L185">
        <v>425000</v>
      </c>
      <c r="M185">
        <v>76.5</v>
      </c>
      <c r="N185" t="s">
        <v>155</v>
      </c>
      <c r="O185">
        <v>3210</v>
      </c>
      <c r="P185">
        <v>2.1312500000000001</v>
      </c>
      <c r="S185" t="s">
        <v>201</v>
      </c>
      <c r="V185" t="s">
        <v>201</v>
      </c>
      <c r="Y185" t="s">
        <v>201</v>
      </c>
    </row>
    <row r="186" spans="1:25" x14ac:dyDescent="0.25">
      <c r="A186">
        <v>183</v>
      </c>
      <c r="B186" t="s">
        <v>204</v>
      </c>
      <c r="C186">
        <v>41</v>
      </c>
      <c r="D186">
        <v>309.29843041506797</v>
      </c>
      <c r="E186">
        <v>61</v>
      </c>
      <c r="F186">
        <v>248.298430415068</v>
      </c>
      <c r="G186">
        <v>430050</v>
      </c>
      <c r="H186" t="s">
        <v>149</v>
      </c>
      <c r="I186">
        <v>1600</v>
      </c>
      <c r="J186">
        <v>0</v>
      </c>
      <c r="K186" t="s">
        <v>160</v>
      </c>
      <c r="L186">
        <v>425000</v>
      </c>
      <c r="M186">
        <v>76.5</v>
      </c>
      <c r="N186" t="s">
        <v>169</v>
      </c>
      <c r="O186">
        <v>3449.9999999999995</v>
      </c>
      <c r="P186">
        <v>6.8807549999999997</v>
      </c>
      <c r="S186" t="s">
        <v>201</v>
      </c>
      <c r="V186" t="s">
        <v>201</v>
      </c>
      <c r="Y186" t="s">
        <v>201</v>
      </c>
    </row>
    <row r="187" spans="1:25" x14ac:dyDescent="0.25">
      <c r="A187">
        <v>184</v>
      </c>
      <c r="B187" t="s">
        <v>204</v>
      </c>
      <c r="C187">
        <v>41</v>
      </c>
      <c r="D187">
        <v>311</v>
      </c>
      <c r="E187">
        <v>60</v>
      </c>
      <c r="F187">
        <v>251</v>
      </c>
      <c r="G187">
        <v>429600</v>
      </c>
      <c r="H187" t="s">
        <v>149</v>
      </c>
      <c r="I187">
        <v>1600</v>
      </c>
      <c r="J187">
        <v>0</v>
      </c>
      <c r="K187" t="s">
        <v>160</v>
      </c>
      <c r="L187">
        <v>425000</v>
      </c>
      <c r="M187">
        <v>76.5</v>
      </c>
      <c r="N187" t="s">
        <v>168</v>
      </c>
      <c r="O187">
        <v>3000</v>
      </c>
      <c r="P187">
        <v>3</v>
      </c>
    </row>
    <row r="188" spans="1:25" x14ac:dyDescent="0.25">
      <c r="A188">
        <v>185</v>
      </c>
      <c r="B188" t="s">
        <v>204</v>
      </c>
      <c r="C188">
        <v>41</v>
      </c>
      <c r="D188">
        <v>335</v>
      </c>
      <c r="E188">
        <v>58</v>
      </c>
      <c r="F188">
        <v>277</v>
      </c>
      <c r="G188">
        <v>429600</v>
      </c>
      <c r="H188" t="s">
        <v>149</v>
      </c>
      <c r="I188">
        <v>4600</v>
      </c>
      <c r="J188">
        <v>0</v>
      </c>
      <c r="K188" t="s">
        <v>160</v>
      </c>
      <c r="L188">
        <v>425000</v>
      </c>
      <c r="M188">
        <v>76.5</v>
      </c>
      <c r="P188" t="s">
        <v>201</v>
      </c>
      <c r="S188" t="s">
        <v>201</v>
      </c>
      <c r="V188" t="s">
        <v>201</v>
      </c>
      <c r="Y188" t="s">
        <v>201</v>
      </c>
    </row>
    <row r="189" spans="1:25" x14ac:dyDescent="0.25">
      <c r="A189">
        <v>186</v>
      </c>
      <c r="B189" t="s">
        <v>204</v>
      </c>
      <c r="C189">
        <v>41</v>
      </c>
      <c r="D189">
        <v>303.28446596312187</v>
      </c>
      <c r="E189">
        <v>66</v>
      </c>
      <c r="F189">
        <v>237.28446596312187</v>
      </c>
      <c r="G189">
        <v>431150</v>
      </c>
      <c r="H189" t="s">
        <v>153</v>
      </c>
      <c r="I189">
        <v>2700</v>
      </c>
      <c r="J189">
        <v>0</v>
      </c>
      <c r="K189" t="s">
        <v>160</v>
      </c>
      <c r="L189">
        <v>425000</v>
      </c>
      <c r="M189">
        <v>76.5</v>
      </c>
      <c r="N189" t="s">
        <v>169</v>
      </c>
      <c r="O189">
        <v>3449.9999999999995</v>
      </c>
      <c r="P189">
        <v>6.8807549999999997</v>
      </c>
      <c r="S189" t="s">
        <v>201</v>
      </c>
      <c r="V189" t="s">
        <v>201</v>
      </c>
      <c r="Y189" t="s">
        <v>201</v>
      </c>
    </row>
    <row r="190" spans="1:25" x14ac:dyDescent="0.25">
      <c r="A190">
        <v>187</v>
      </c>
      <c r="B190" t="s">
        <v>204</v>
      </c>
      <c r="C190">
        <v>41</v>
      </c>
      <c r="D190">
        <v>305.28828076039269</v>
      </c>
      <c r="E190">
        <v>65</v>
      </c>
      <c r="F190">
        <v>240.28828076039272</v>
      </c>
      <c r="G190">
        <v>430830</v>
      </c>
      <c r="H190" t="s">
        <v>159</v>
      </c>
      <c r="I190">
        <v>1530</v>
      </c>
      <c r="J190">
        <v>0.27539999999999998</v>
      </c>
      <c r="K190" t="s">
        <v>149</v>
      </c>
      <c r="L190">
        <v>850</v>
      </c>
      <c r="M190">
        <v>0</v>
      </c>
      <c r="N190" t="s">
        <v>160</v>
      </c>
      <c r="O190">
        <v>425000</v>
      </c>
      <c r="P190">
        <v>76.5</v>
      </c>
      <c r="Q190" t="s">
        <v>169</v>
      </c>
      <c r="R190">
        <v>3449.9999999999995</v>
      </c>
      <c r="S190">
        <v>6.8807549999999997</v>
      </c>
      <c r="V190" t="s">
        <v>201</v>
      </c>
      <c r="Y190" t="s">
        <v>201</v>
      </c>
    </row>
    <row r="191" spans="1:25" x14ac:dyDescent="0.25">
      <c r="A191">
        <v>188</v>
      </c>
      <c r="B191" t="s">
        <v>204</v>
      </c>
      <c r="C191">
        <v>42</v>
      </c>
      <c r="D191">
        <v>381.09146740077864</v>
      </c>
      <c r="E191">
        <v>16</v>
      </c>
      <c r="F191">
        <v>365.09146740077864</v>
      </c>
      <c r="G191">
        <v>688360</v>
      </c>
      <c r="H191" t="s">
        <v>69</v>
      </c>
      <c r="I191">
        <v>1150</v>
      </c>
      <c r="J191">
        <v>0.3811260246749999</v>
      </c>
      <c r="K191" t="s">
        <v>160</v>
      </c>
      <c r="L191">
        <v>687210</v>
      </c>
      <c r="M191">
        <v>123.6978</v>
      </c>
    </row>
    <row r="192" spans="1:25" x14ac:dyDescent="0.25">
      <c r="A192">
        <v>189</v>
      </c>
      <c r="B192" t="s">
        <v>204</v>
      </c>
      <c r="C192">
        <v>42</v>
      </c>
      <c r="D192">
        <v>462.35079183602812</v>
      </c>
      <c r="E192">
        <v>159</v>
      </c>
      <c r="F192">
        <v>303.35079183602812</v>
      </c>
      <c r="G192">
        <v>554534</v>
      </c>
      <c r="H192" t="s">
        <v>149</v>
      </c>
      <c r="I192">
        <v>3050</v>
      </c>
      <c r="J192">
        <v>0</v>
      </c>
      <c r="K192" t="s">
        <v>160</v>
      </c>
      <c r="L192">
        <v>4624</v>
      </c>
      <c r="M192">
        <v>0.83231999999999995</v>
      </c>
      <c r="N192" t="s">
        <v>159</v>
      </c>
      <c r="O192">
        <v>58470</v>
      </c>
      <c r="P192">
        <v>10.5246</v>
      </c>
      <c r="Q192" t="s">
        <v>163</v>
      </c>
      <c r="R192">
        <v>484110</v>
      </c>
      <c r="S192">
        <v>51</v>
      </c>
      <c r="T192" t="s">
        <v>155</v>
      </c>
      <c r="U192">
        <v>4280</v>
      </c>
      <c r="V192">
        <v>2.1312500000000001</v>
      </c>
    </row>
    <row r="193" spans="1:25" x14ac:dyDescent="0.25">
      <c r="A193">
        <v>190</v>
      </c>
      <c r="B193" t="s">
        <v>204</v>
      </c>
      <c r="C193">
        <v>42</v>
      </c>
      <c r="D193">
        <v>422.52518456877687</v>
      </c>
      <c r="E193">
        <v>138</v>
      </c>
      <c r="F193">
        <v>284.52518456877687</v>
      </c>
      <c r="G193">
        <v>506518.5</v>
      </c>
      <c r="H193" t="s">
        <v>149</v>
      </c>
      <c r="I193">
        <v>2200</v>
      </c>
      <c r="J193">
        <v>0</v>
      </c>
      <c r="K193" t="s">
        <v>160</v>
      </c>
      <c r="L193">
        <v>4624</v>
      </c>
      <c r="M193">
        <v>0.83231999999999995</v>
      </c>
      <c r="N193" t="s">
        <v>159</v>
      </c>
      <c r="O193">
        <v>9340</v>
      </c>
      <c r="P193">
        <v>1.6811999999999998</v>
      </c>
      <c r="Q193" t="s">
        <v>163</v>
      </c>
      <c r="R193">
        <v>484110</v>
      </c>
      <c r="S193">
        <v>51</v>
      </c>
      <c r="T193" t="s">
        <v>169</v>
      </c>
      <c r="U193">
        <v>6244.4999999999991</v>
      </c>
      <c r="V193">
        <v>12.456779999999998</v>
      </c>
    </row>
    <row r="194" spans="1:25" x14ac:dyDescent="0.25">
      <c r="A194">
        <v>191</v>
      </c>
      <c r="B194" t="s">
        <v>204</v>
      </c>
      <c r="C194">
        <v>42</v>
      </c>
      <c r="D194">
        <v>320.2109624972469</v>
      </c>
      <c r="E194">
        <v>21</v>
      </c>
      <c r="F194">
        <v>299.2109624972469</v>
      </c>
      <c r="G194">
        <v>549373</v>
      </c>
      <c r="H194" t="s">
        <v>149</v>
      </c>
      <c r="I194">
        <v>1250</v>
      </c>
      <c r="J194">
        <v>0</v>
      </c>
      <c r="K194" t="s">
        <v>69</v>
      </c>
      <c r="L194">
        <v>10603</v>
      </c>
      <c r="M194">
        <v>3.5139819475034995</v>
      </c>
      <c r="N194" t="s">
        <v>163</v>
      </c>
      <c r="O194">
        <v>484110</v>
      </c>
      <c r="P194">
        <v>51</v>
      </c>
      <c r="Q194" t="s">
        <v>159</v>
      </c>
      <c r="R194">
        <v>49130</v>
      </c>
      <c r="S194">
        <v>8.8434000000000008</v>
      </c>
      <c r="T194" t="s">
        <v>155</v>
      </c>
      <c r="U194">
        <v>4280</v>
      </c>
      <c r="V194">
        <v>2.1312500000000001</v>
      </c>
    </row>
    <row r="195" spans="1:25" x14ac:dyDescent="0.25">
      <c r="A195">
        <v>192</v>
      </c>
      <c r="B195" t="s">
        <v>204</v>
      </c>
      <c r="C195">
        <v>42</v>
      </c>
      <c r="D195">
        <v>280.40631759772219</v>
      </c>
      <c r="E195">
        <v>0</v>
      </c>
      <c r="F195">
        <v>280.40631759772219</v>
      </c>
      <c r="G195">
        <v>501357.5</v>
      </c>
      <c r="H195" t="s">
        <v>149</v>
      </c>
      <c r="I195">
        <v>400</v>
      </c>
      <c r="J195">
        <v>0</v>
      </c>
      <c r="K195" t="s">
        <v>69</v>
      </c>
      <c r="L195">
        <v>10603</v>
      </c>
      <c r="M195">
        <v>3.5139819475034995</v>
      </c>
      <c r="N195" t="s">
        <v>163</v>
      </c>
      <c r="O195">
        <v>484110</v>
      </c>
      <c r="P195">
        <v>51</v>
      </c>
      <c r="Q195" t="s">
        <v>169</v>
      </c>
      <c r="R195">
        <v>6244.4999999999991</v>
      </c>
      <c r="S195">
        <v>12.456779999999998</v>
      </c>
    </row>
    <row r="196" spans="1:25" x14ac:dyDescent="0.25">
      <c r="A196">
        <v>193</v>
      </c>
      <c r="B196" t="s">
        <v>204</v>
      </c>
      <c r="C196">
        <v>42</v>
      </c>
      <c r="D196">
        <v>393.35252875258033</v>
      </c>
      <c r="E196">
        <v>36</v>
      </c>
      <c r="F196">
        <v>357.35252875258033</v>
      </c>
      <c r="G196">
        <v>691764</v>
      </c>
      <c r="H196" t="s">
        <v>69</v>
      </c>
      <c r="I196">
        <v>1150</v>
      </c>
      <c r="J196">
        <v>0.3811260246749999</v>
      </c>
      <c r="K196" t="s">
        <v>160</v>
      </c>
      <c r="L196">
        <v>687210</v>
      </c>
      <c r="M196">
        <v>123.6978</v>
      </c>
      <c r="N196" t="s">
        <v>169</v>
      </c>
      <c r="O196">
        <v>3403.9999999999995</v>
      </c>
      <c r="P196">
        <v>6.7889849999999994</v>
      </c>
    </row>
    <row r="197" spans="1:25" x14ac:dyDescent="0.25">
      <c r="A197">
        <v>194</v>
      </c>
      <c r="B197" t="s">
        <v>204</v>
      </c>
      <c r="C197">
        <v>42</v>
      </c>
      <c r="D197">
        <v>401.78463040930592</v>
      </c>
      <c r="E197">
        <v>16.469719461203464</v>
      </c>
      <c r="F197">
        <v>385.31491094810247</v>
      </c>
      <c r="G197">
        <v>691170</v>
      </c>
      <c r="H197" t="s">
        <v>149</v>
      </c>
      <c r="I197">
        <v>1000</v>
      </c>
      <c r="J197">
        <v>0</v>
      </c>
      <c r="K197" t="s">
        <v>160</v>
      </c>
      <c r="L197">
        <v>687210</v>
      </c>
      <c r="M197">
        <v>123.6978</v>
      </c>
      <c r="N197" t="s">
        <v>149</v>
      </c>
      <c r="O197">
        <v>1161</v>
      </c>
      <c r="P197">
        <v>0</v>
      </c>
      <c r="Q197" t="s">
        <v>159</v>
      </c>
      <c r="R197">
        <v>17960</v>
      </c>
      <c r="S197">
        <v>3.2328000000000001</v>
      </c>
      <c r="T197" t="s">
        <v>155</v>
      </c>
      <c r="U197">
        <v>4130</v>
      </c>
      <c r="V197">
        <v>2.1312500000000001</v>
      </c>
    </row>
    <row r="198" spans="1:25" x14ac:dyDescent="0.25">
      <c r="A198">
        <v>195</v>
      </c>
      <c r="B198" t="s">
        <v>204</v>
      </c>
      <c r="C198">
        <v>42</v>
      </c>
      <c r="D198">
        <v>378.26725485603237</v>
      </c>
      <c r="E198">
        <v>16</v>
      </c>
      <c r="F198">
        <v>362.26725485603237</v>
      </c>
      <c r="G198">
        <v>691614</v>
      </c>
      <c r="H198" t="s">
        <v>154</v>
      </c>
      <c r="I198">
        <v>1000</v>
      </c>
      <c r="J198">
        <v>1.75E-3</v>
      </c>
      <c r="K198" t="s">
        <v>160</v>
      </c>
      <c r="L198">
        <v>687210</v>
      </c>
      <c r="M198">
        <v>123.6978</v>
      </c>
      <c r="N198" t="s">
        <v>169</v>
      </c>
      <c r="O198">
        <v>3403.9999999999995</v>
      </c>
      <c r="P198">
        <v>6.7889849999999994</v>
      </c>
    </row>
    <row r="199" spans="1:25" x14ac:dyDescent="0.25">
      <c r="A199">
        <v>196</v>
      </c>
      <c r="B199" t="s">
        <v>204</v>
      </c>
      <c r="C199">
        <v>42</v>
      </c>
      <c r="D199">
        <v>393.54260022859785</v>
      </c>
      <c r="E199">
        <v>16.469719461203464</v>
      </c>
      <c r="F199">
        <v>377.07288076739439</v>
      </c>
      <c r="G199">
        <v>691170</v>
      </c>
      <c r="H199" t="s">
        <v>153</v>
      </c>
      <c r="I199">
        <v>1000</v>
      </c>
      <c r="J199">
        <v>0</v>
      </c>
      <c r="K199" t="s">
        <v>160</v>
      </c>
      <c r="L199">
        <v>687210</v>
      </c>
      <c r="M199">
        <v>123.6978</v>
      </c>
      <c r="N199" t="s">
        <v>149</v>
      </c>
      <c r="O199">
        <v>1161</v>
      </c>
      <c r="P199">
        <v>0</v>
      </c>
      <c r="Q199" t="s">
        <v>159</v>
      </c>
      <c r="R199">
        <v>17960</v>
      </c>
      <c r="S199">
        <v>3.2328000000000001</v>
      </c>
      <c r="T199" t="s">
        <v>155</v>
      </c>
      <c r="U199">
        <v>4130</v>
      </c>
      <c r="V199">
        <v>2.1312500000000001</v>
      </c>
    </row>
    <row r="200" spans="1:25" x14ac:dyDescent="0.25">
      <c r="A200">
        <v>197</v>
      </c>
      <c r="B200" t="s">
        <v>204</v>
      </c>
      <c r="C200">
        <v>42</v>
      </c>
      <c r="D200">
        <v>394.26430176370053</v>
      </c>
      <c r="E200">
        <v>36</v>
      </c>
      <c r="F200">
        <v>358.26430176370053</v>
      </c>
      <c r="G200">
        <v>691614</v>
      </c>
      <c r="H200" t="s">
        <v>153</v>
      </c>
      <c r="I200">
        <v>1000</v>
      </c>
      <c r="J200">
        <v>0</v>
      </c>
      <c r="K200" t="s">
        <v>160</v>
      </c>
      <c r="L200">
        <v>687210</v>
      </c>
      <c r="M200">
        <v>123.6978</v>
      </c>
      <c r="N200" t="s">
        <v>169</v>
      </c>
      <c r="O200">
        <v>3403.9999999999995</v>
      </c>
      <c r="P200">
        <v>6.7889849999999994</v>
      </c>
    </row>
    <row r="201" spans="1:25" x14ac:dyDescent="0.25">
      <c r="A201">
        <v>198</v>
      </c>
      <c r="B201" t="s">
        <v>204</v>
      </c>
      <c r="C201">
        <v>42</v>
      </c>
      <c r="D201">
        <v>402.26975511529713</v>
      </c>
      <c r="E201">
        <v>36</v>
      </c>
      <c r="F201">
        <v>366.26975511529713</v>
      </c>
      <c r="G201">
        <v>692775</v>
      </c>
      <c r="H201" t="s">
        <v>149</v>
      </c>
      <c r="I201">
        <v>2161</v>
      </c>
      <c r="J201">
        <v>0</v>
      </c>
      <c r="K201" t="s">
        <v>160</v>
      </c>
      <c r="L201">
        <v>687210</v>
      </c>
      <c r="M201">
        <v>123.6978</v>
      </c>
      <c r="N201" t="s">
        <v>169</v>
      </c>
      <c r="O201">
        <v>3403.9999999999995</v>
      </c>
      <c r="P201">
        <v>6.7889849999999994</v>
      </c>
    </row>
    <row r="202" spans="1:25" x14ac:dyDescent="0.25">
      <c r="A202">
        <v>199</v>
      </c>
      <c r="B202" t="s">
        <v>204</v>
      </c>
      <c r="C202">
        <v>42</v>
      </c>
      <c r="D202">
        <v>538.7373559931367</v>
      </c>
      <c r="E202">
        <v>0</v>
      </c>
      <c r="F202">
        <v>538.7373559931367</v>
      </c>
      <c r="G202">
        <v>734340</v>
      </c>
      <c r="H202" t="s">
        <v>149</v>
      </c>
      <c r="I202">
        <v>400</v>
      </c>
      <c r="J202">
        <v>0</v>
      </c>
      <c r="K202" t="s">
        <v>69</v>
      </c>
      <c r="L202">
        <v>711850</v>
      </c>
      <c r="M202">
        <v>235.91700927382496</v>
      </c>
      <c r="N202" t="s">
        <v>159</v>
      </c>
      <c r="O202">
        <v>17960</v>
      </c>
      <c r="P202">
        <v>3.2328000000000001</v>
      </c>
      <c r="Q202" t="s">
        <v>155</v>
      </c>
      <c r="R202">
        <v>4130</v>
      </c>
      <c r="S202">
        <v>2.1312500000000001</v>
      </c>
    </row>
    <row r="203" spans="1:25" x14ac:dyDescent="0.25">
      <c r="A203">
        <v>200</v>
      </c>
      <c r="B203" t="s">
        <v>204</v>
      </c>
      <c r="C203">
        <v>42</v>
      </c>
      <c r="D203">
        <v>389.42158513824381</v>
      </c>
      <c r="E203">
        <v>16.469719461203464</v>
      </c>
      <c r="F203">
        <v>372.95186567704036</v>
      </c>
      <c r="G203">
        <v>691170</v>
      </c>
      <c r="H203" t="s">
        <v>154</v>
      </c>
      <c r="I203">
        <v>1000</v>
      </c>
      <c r="J203">
        <v>1.75E-3</v>
      </c>
      <c r="K203" t="s">
        <v>160</v>
      </c>
      <c r="L203">
        <v>687210</v>
      </c>
      <c r="M203">
        <v>123.6978</v>
      </c>
      <c r="N203" t="s">
        <v>149</v>
      </c>
      <c r="O203">
        <v>1161</v>
      </c>
      <c r="P203">
        <v>0</v>
      </c>
      <c r="Q203" t="s">
        <v>159</v>
      </c>
      <c r="R203">
        <v>17960</v>
      </c>
      <c r="S203">
        <v>3.2328000000000001</v>
      </c>
      <c r="T203" t="s">
        <v>155</v>
      </c>
      <c r="U203">
        <v>4130</v>
      </c>
      <c r="V203">
        <v>2.1312500000000001</v>
      </c>
    </row>
    <row r="204" spans="1:25" x14ac:dyDescent="0.25">
      <c r="A204">
        <v>201</v>
      </c>
      <c r="B204" t="s">
        <v>204</v>
      </c>
      <c r="C204">
        <v>43</v>
      </c>
      <c r="D204">
        <v>452.87978409482122</v>
      </c>
      <c r="E204">
        <v>137</v>
      </c>
      <c r="F204">
        <v>315.87978409482122</v>
      </c>
      <c r="G204">
        <v>406660</v>
      </c>
      <c r="H204" t="s">
        <v>149</v>
      </c>
      <c r="I204">
        <v>2330</v>
      </c>
      <c r="J204">
        <v>0</v>
      </c>
      <c r="K204" t="s">
        <v>159</v>
      </c>
      <c r="L204">
        <v>74770</v>
      </c>
      <c r="M204">
        <v>13.458599999999999</v>
      </c>
      <c r="N204" t="s">
        <v>155</v>
      </c>
      <c r="O204">
        <v>3460</v>
      </c>
      <c r="P204">
        <v>2.1312500000000001</v>
      </c>
      <c r="Q204" t="s">
        <v>163</v>
      </c>
      <c r="R204">
        <v>308580</v>
      </c>
      <c r="S204">
        <v>51</v>
      </c>
      <c r="T204" t="s">
        <v>156</v>
      </c>
      <c r="U204">
        <v>4750</v>
      </c>
      <c r="V204">
        <v>1.9375</v>
      </c>
      <c r="W204" t="s">
        <v>155</v>
      </c>
      <c r="X204">
        <v>12770</v>
      </c>
      <c r="Y204">
        <v>2.1312500000000001</v>
      </c>
    </row>
    <row r="205" spans="1:25" x14ac:dyDescent="0.25">
      <c r="A205">
        <v>202</v>
      </c>
      <c r="B205" t="s">
        <v>204</v>
      </c>
      <c r="C205">
        <v>43</v>
      </c>
      <c r="D205">
        <v>395.09505024268293</v>
      </c>
      <c r="E205">
        <v>103.99999999999999</v>
      </c>
      <c r="F205">
        <v>291.09505024268293</v>
      </c>
      <c r="G205">
        <v>359007.5</v>
      </c>
      <c r="H205" t="s">
        <v>149</v>
      </c>
      <c r="I205">
        <v>1040</v>
      </c>
      <c r="J205">
        <v>0</v>
      </c>
      <c r="K205" t="s">
        <v>159</v>
      </c>
      <c r="L205">
        <v>40350</v>
      </c>
      <c r="M205">
        <v>7.2629999999999999</v>
      </c>
      <c r="N205" t="s">
        <v>155</v>
      </c>
      <c r="O205">
        <v>3460</v>
      </c>
      <c r="P205">
        <v>2.1312500000000001</v>
      </c>
      <c r="Q205" t="s">
        <v>163</v>
      </c>
      <c r="R205">
        <v>308580</v>
      </c>
      <c r="S205">
        <v>51</v>
      </c>
      <c r="T205" t="s">
        <v>169</v>
      </c>
      <c r="U205">
        <v>5577.5</v>
      </c>
      <c r="V205">
        <v>11.126114999999999</v>
      </c>
    </row>
    <row r="206" spans="1:25" x14ac:dyDescent="0.25">
      <c r="A206">
        <v>203</v>
      </c>
      <c r="B206" t="s">
        <v>204</v>
      </c>
      <c r="C206">
        <v>43</v>
      </c>
      <c r="D206">
        <v>394.83015487708985</v>
      </c>
      <c r="E206">
        <v>117</v>
      </c>
      <c r="F206">
        <v>277.83015487708985</v>
      </c>
      <c r="G206">
        <v>365612.5</v>
      </c>
      <c r="H206" t="s">
        <v>149</v>
      </c>
      <c r="I206">
        <v>1700</v>
      </c>
      <c r="J206">
        <v>0</v>
      </c>
      <c r="K206" t="s">
        <v>69</v>
      </c>
      <c r="L206">
        <v>3392.4999999999995</v>
      </c>
      <c r="M206">
        <v>1.1241560658239997</v>
      </c>
      <c r="N206" t="s">
        <v>163</v>
      </c>
      <c r="O206">
        <v>308580</v>
      </c>
      <c r="P206">
        <v>51</v>
      </c>
      <c r="Q206" t="s">
        <v>156</v>
      </c>
      <c r="R206">
        <v>4750</v>
      </c>
      <c r="S206">
        <v>1.9375</v>
      </c>
      <c r="T206" t="s">
        <v>159</v>
      </c>
      <c r="U206">
        <v>34420</v>
      </c>
      <c r="V206">
        <v>6.1955999999999998</v>
      </c>
      <c r="W206" t="s">
        <v>155</v>
      </c>
      <c r="X206">
        <v>12770</v>
      </c>
      <c r="Y206">
        <v>2.1312500000000001</v>
      </c>
    </row>
    <row r="207" spans="1:25" x14ac:dyDescent="0.25">
      <c r="A207">
        <v>204</v>
      </c>
      <c r="B207" t="s">
        <v>204</v>
      </c>
      <c r="C207">
        <v>43</v>
      </c>
      <c r="D207">
        <v>346.06641295801228</v>
      </c>
      <c r="E207">
        <v>93</v>
      </c>
      <c r="F207">
        <v>253.06641295801231</v>
      </c>
      <c r="G207">
        <v>317950</v>
      </c>
      <c r="H207" t="s">
        <v>149</v>
      </c>
      <c r="I207">
        <v>400</v>
      </c>
      <c r="J207">
        <v>0</v>
      </c>
      <c r="K207" t="s">
        <v>69</v>
      </c>
      <c r="L207">
        <v>3392.4999999999995</v>
      </c>
      <c r="M207">
        <v>1.1241560658239997</v>
      </c>
      <c r="N207" t="s">
        <v>163</v>
      </c>
      <c r="O207">
        <v>308580</v>
      </c>
      <c r="P207">
        <v>51</v>
      </c>
      <c r="Q207" t="s">
        <v>169</v>
      </c>
      <c r="R207">
        <v>5577.5</v>
      </c>
      <c r="S207">
        <v>11.126114999999999</v>
      </c>
    </row>
    <row r="208" spans="1:25" x14ac:dyDescent="0.25">
      <c r="A208">
        <v>205</v>
      </c>
      <c r="B208" t="s">
        <v>204</v>
      </c>
      <c r="C208">
        <v>43</v>
      </c>
      <c r="D208">
        <v>381.04780495997312</v>
      </c>
      <c r="E208">
        <v>106</v>
      </c>
      <c r="F208">
        <v>275.04780495997312</v>
      </c>
      <c r="G208">
        <v>446575</v>
      </c>
      <c r="H208" t="s">
        <v>149</v>
      </c>
      <c r="I208">
        <v>1050</v>
      </c>
      <c r="J208">
        <v>0</v>
      </c>
      <c r="K208" t="s">
        <v>159</v>
      </c>
      <c r="L208">
        <v>149880</v>
      </c>
      <c r="M208">
        <v>26.978399999999997</v>
      </c>
      <c r="N208" t="s">
        <v>160</v>
      </c>
      <c r="O208">
        <v>284260</v>
      </c>
      <c r="P208">
        <v>51.166799999999995</v>
      </c>
      <c r="Q208" t="s">
        <v>169</v>
      </c>
      <c r="R208">
        <v>11385</v>
      </c>
      <c r="S208">
        <v>22.713075</v>
      </c>
    </row>
    <row r="209" spans="1:22" x14ac:dyDescent="0.25">
      <c r="A209">
        <v>206</v>
      </c>
      <c r="B209" t="s">
        <v>204</v>
      </c>
      <c r="C209">
        <v>43</v>
      </c>
      <c r="D209">
        <v>388.70991094589897</v>
      </c>
      <c r="E209">
        <v>81</v>
      </c>
      <c r="F209">
        <v>307.70991094589897</v>
      </c>
      <c r="G209">
        <v>448716</v>
      </c>
      <c r="H209" t="s">
        <v>149</v>
      </c>
      <c r="I209">
        <v>950</v>
      </c>
      <c r="J209">
        <v>0</v>
      </c>
      <c r="K209" t="s">
        <v>69</v>
      </c>
      <c r="L209">
        <v>4186</v>
      </c>
      <c r="M209">
        <v>1.3872987298169999</v>
      </c>
      <c r="N209" t="s">
        <v>160</v>
      </c>
      <c r="O209">
        <v>284260</v>
      </c>
      <c r="P209">
        <v>51.166799999999995</v>
      </c>
      <c r="Q209" t="s">
        <v>159</v>
      </c>
      <c r="R209">
        <v>146790</v>
      </c>
      <c r="S209">
        <v>26.422199999999997</v>
      </c>
      <c r="T209" t="s">
        <v>155</v>
      </c>
      <c r="U209">
        <v>12530</v>
      </c>
      <c r="V209">
        <v>2.1312500000000001</v>
      </c>
    </row>
    <row r="210" spans="1:22" x14ac:dyDescent="0.25">
      <c r="A210">
        <v>207</v>
      </c>
      <c r="B210" t="s">
        <v>204</v>
      </c>
      <c r="C210">
        <v>43</v>
      </c>
      <c r="D210">
        <v>403.19913668101816</v>
      </c>
      <c r="E210">
        <v>116</v>
      </c>
      <c r="F210">
        <v>287.19913668101816</v>
      </c>
      <c r="G210">
        <v>448270</v>
      </c>
      <c r="H210" t="s">
        <v>149</v>
      </c>
      <c r="I210">
        <v>1600</v>
      </c>
      <c r="J210">
        <v>0</v>
      </c>
      <c r="K210" t="s">
        <v>159</v>
      </c>
      <c r="L210">
        <v>149880</v>
      </c>
      <c r="M210">
        <v>26.978399999999997</v>
      </c>
      <c r="N210" t="s">
        <v>160</v>
      </c>
      <c r="O210">
        <v>284260</v>
      </c>
      <c r="P210">
        <v>51.166799999999995</v>
      </c>
      <c r="Q210" t="s">
        <v>155</v>
      </c>
      <c r="R210">
        <v>12530</v>
      </c>
      <c r="S210">
        <v>2.1312500000000001</v>
      </c>
    </row>
    <row r="211" spans="1:22" x14ac:dyDescent="0.25">
      <c r="A211">
        <v>208</v>
      </c>
      <c r="B211" t="s">
        <v>204</v>
      </c>
      <c r="C211">
        <v>43</v>
      </c>
      <c r="D211">
        <v>344.9578503688092</v>
      </c>
      <c r="E211">
        <v>0</v>
      </c>
      <c r="F211">
        <v>344.9578503688092</v>
      </c>
      <c r="G211">
        <v>427049.99999999994</v>
      </c>
      <c r="H211" t="s">
        <v>149</v>
      </c>
      <c r="I211">
        <v>400</v>
      </c>
      <c r="J211">
        <v>0</v>
      </c>
      <c r="K211" t="s">
        <v>69</v>
      </c>
      <c r="L211">
        <v>426649.99999999994</v>
      </c>
      <c r="M211">
        <v>141.39742374049047</v>
      </c>
    </row>
    <row r="212" spans="1:22" x14ac:dyDescent="0.25">
      <c r="A212">
        <v>209</v>
      </c>
      <c r="B212" t="s">
        <v>204</v>
      </c>
      <c r="C212">
        <v>43</v>
      </c>
      <c r="D212">
        <v>366.53612716181118</v>
      </c>
      <c r="E212">
        <v>71</v>
      </c>
      <c r="F212">
        <v>295.53612716181118</v>
      </c>
      <c r="G212">
        <v>447021</v>
      </c>
      <c r="H212" t="s">
        <v>149</v>
      </c>
      <c r="I212">
        <v>400</v>
      </c>
      <c r="J212">
        <v>0</v>
      </c>
      <c r="K212" t="s">
        <v>69</v>
      </c>
      <c r="L212">
        <v>4186</v>
      </c>
      <c r="M212">
        <v>1.3872987298169999</v>
      </c>
      <c r="N212" t="s">
        <v>160</v>
      </c>
      <c r="O212">
        <v>284260</v>
      </c>
      <c r="P212">
        <v>51.166799999999995</v>
      </c>
      <c r="Q212" t="s">
        <v>159</v>
      </c>
      <c r="R212">
        <v>146790</v>
      </c>
      <c r="S212">
        <v>26.422199999999997</v>
      </c>
      <c r="T212" t="s">
        <v>169</v>
      </c>
      <c r="U212">
        <v>11385</v>
      </c>
      <c r="V212">
        <v>22.713075</v>
      </c>
    </row>
    <row r="213" spans="1:22" x14ac:dyDescent="0.25">
      <c r="A213">
        <v>210</v>
      </c>
      <c r="B213" t="s">
        <v>204</v>
      </c>
      <c r="C213">
        <v>44</v>
      </c>
      <c r="D213">
        <v>264.52855465414177</v>
      </c>
      <c r="E213">
        <v>90</v>
      </c>
      <c r="F213">
        <v>174.52855465414177</v>
      </c>
      <c r="G213">
        <v>562080</v>
      </c>
      <c r="H213" t="s">
        <v>169</v>
      </c>
      <c r="I213">
        <v>45195</v>
      </c>
      <c r="J213">
        <v>90.164024999999995</v>
      </c>
      <c r="K213" t="s">
        <v>149</v>
      </c>
      <c r="L213">
        <v>1500</v>
      </c>
      <c r="M213">
        <v>0</v>
      </c>
      <c r="N213" t="s">
        <v>163</v>
      </c>
      <c r="O213">
        <v>460760</v>
      </c>
      <c r="P213">
        <v>51</v>
      </c>
      <c r="Q213" t="s">
        <v>69</v>
      </c>
      <c r="R213">
        <v>54624.999999999993</v>
      </c>
      <c r="S213">
        <v>18.103154758127999</v>
      </c>
    </row>
    <row r="214" spans="1:22" x14ac:dyDescent="0.25">
      <c r="A214">
        <v>211</v>
      </c>
      <c r="B214" t="s">
        <v>204</v>
      </c>
      <c r="C214">
        <v>44</v>
      </c>
      <c r="D214">
        <v>299.70614016611876</v>
      </c>
      <c r="E214">
        <v>109</v>
      </c>
      <c r="F214">
        <v>190.70614016611873</v>
      </c>
      <c r="G214">
        <v>545995</v>
      </c>
      <c r="H214" t="s">
        <v>169</v>
      </c>
      <c r="I214">
        <v>45195</v>
      </c>
      <c r="J214">
        <v>90.164024999999995</v>
      </c>
      <c r="K214" t="s">
        <v>149</v>
      </c>
      <c r="L214">
        <v>1200</v>
      </c>
      <c r="M214">
        <v>0</v>
      </c>
      <c r="N214" t="s">
        <v>163</v>
      </c>
      <c r="O214">
        <v>460760</v>
      </c>
      <c r="P214">
        <v>51</v>
      </c>
      <c r="Q214" t="s">
        <v>155</v>
      </c>
      <c r="R214">
        <v>7200</v>
      </c>
      <c r="S214">
        <v>2.1312500000000001</v>
      </c>
      <c r="T214" t="s">
        <v>159</v>
      </c>
      <c r="U214">
        <v>31640</v>
      </c>
      <c r="V214">
        <v>5.6951999999999998</v>
      </c>
    </row>
    <row r="215" spans="1:22" x14ac:dyDescent="0.25">
      <c r="A215">
        <v>212</v>
      </c>
      <c r="B215" t="s">
        <v>204</v>
      </c>
      <c r="C215">
        <v>44</v>
      </c>
      <c r="D215">
        <v>668.17357279507587</v>
      </c>
      <c r="E215">
        <v>199</v>
      </c>
      <c r="F215">
        <v>469.17357279507587</v>
      </c>
      <c r="G215">
        <v>721340</v>
      </c>
      <c r="H215" t="s">
        <v>149</v>
      </c>
      <c r="I215">
        <v>2790</v>
      </c>
      <c r="J215">
        <v>0</v>
      </c>
      <c r="K215" t="s">
        <v>155</v>
      </c>
      <c r="L215">
        <v>32750</v>
      </c>
      <c r="M215">
        <v>2.1312500000000001</v>
      </c>
      <c r="N215" t="s">
        <v>159</v>
      </c>
      <c r="O215">
        <v>18800</v>
      </c>
      <c r="P215">
        <v>3.3839999999999999</v>
      </c>
      <c r="Q215" t="s">
        <v>160</v>
      </c>
      <c r="R215">
        <v>667000</v>
      </c>
      <c r="S215">
        <v>120.06</v>
      </c>
    </row>
    <row r="216" spans="1:22" x14ac:dyDescent="0.25">
      <c r="A216">
        <v>213</v>
      </c>
      <c r="B216" t="s">
        <v>204</v>
      </c>
      <c r="C216">
        <v>44</v>
      </c>
      <c r="D216">
        <v>301.80951147860094</v>
      </c>
      <c r="E216">
        <v>107</v>
      </c>
      <c r="F216">
        <v>194.80951147860097</v>
      </c>
      <c r="G216">
        <v>559955</v>
      </c>
      <c r="H216" t="s">
        <v>149</v>
      </c>
      <c r="I216">
        <v>880</v>
      </c>
      <c r="J216">
        <v>0</v>
      </c>
      <c r="K216" t="s">
        <v>159</v>
      </c>
      <c r="L216">
        <v>43690</v>
      </c>
      <c r="M216">
        <v>7.8641999999999994</v>
      </c>
      <c r="N216" t="s">
        <v>163</v>
      </c>
      <c r="O216">
        <v>460760</v>
      </c>
      <c r="P216">
        <v>51</v>
      </c>
      <c r="Q216" t="s">
        <v>69</v>
      </c>
      <c r="R216">
        <v>54624.999999999993</v>
      </c>
      <c r="S216">
        <v>18.103154758127999</v>
      </c>
    </row>
    <row r="217" spans="1:22" x14ac:dyDescent="0.25">
      <c r="A217">
        <v>214</v>
      </c>
      <c r="B217" t="s">
        <v>204</v>
      </c>
      <c r="C217">
        <v>44</v>
      </c>
      <c r="D217">
        <v>572.5324348268</v>
      </c>
      <c r="E217">
        <v>95</v>
      </c>
      <c r="F217">
        <v>477.5324348268</v>
      </c>
      <c r="G217">
        <v>728060</v>
      </c>
      <c r="H217" t="s">
        <v>149</v>
      </c>
      <c r="I217">
        <v>2200</v>
      </c>
      <c r="J217">
        <v>0</v>
      </c>
      <c r="K217" t="s">
        <v>69</v>
      </c>
      <c r="L217">
        <v>31509.999999999996</v>
      </c>
      <c r="M217">
        <v>10.442521662160498</v>
      </c>
      <c r="N217" t="s">
        <v>160</v>
      </c>
      <c r="O217">
        <v>667000</v>
      </c>
      <c r="P217">
        <v>120.06</v>
      </c>
      <c r="Q217" t="s">
        <v>155</v>
      </c>
      <c r="R217">
        <v>15000</v>
      </c>
      <c r="S217">
        <v>2.1312500000000001</v>
      </c>
      <c r="T217" t="s">
        <v>159</v>
      </c>
      <c r="U217">
        <v>12350</v>
      </c>
      <c r="V217">
        <v>2.2229999999999999</v>
      </c>
    </row>
    <row r="218" spans="1:22" x14ac:dyDescent="0.25">
      <c r="A218">
        <v>215</v>
      </c>
      <c r="B218" t="s">
        <v>204</v>
      </c>
      <c r="C218">
        <v>44</v>
      </c>
      <c r="D218">
        <v>526.31513272713698</v>
      </c>
      <c r="E218">
        <v>70</v>
      </c>
      <c r="F218">
        <v>456.31513272713698</v>
      </c>
      <c r="G218">
        <v>736285</v>
      </c>
      <c r="H218" t="s">
        <v>149</v>
      </c>
      <c r="I218">
        <v>400</v>
      </c>
      <c r="J218">
        <v>0</v>
      </c>
      <c r="K218" t="s">
        <v>69</v>
      </c>
      <c r="L218">
        <v>31509.999999999996</v>
      </c>
      <c r="M218">
        <v>10.442521662160498</v>
      </c>
      <c r="N218" t="s">
        <v>160</v>
      </c>
      <c r="O218">
        <v>667000</v>
      </c>
      <c r="P218">
        <v>120.06</v>
      </c>
      <c r="Q218" t="s">
        <v>169</v>
      </c>
      <c r="R218">
        <v>37375</v>
      </c>
      <c r="S218">
        <v>74.563124999999999</v>
      </c>
    </row>
    <row r="219" spans="1:22" x14ac:dyDescent="0.25">
      <c r="A219">
        <v>216</v>
      </c>
      <c r="B219" t="s">
        <v>204</v>
      </c>
      <c r="C219">
        <v>44</v>
      </c>
      <c r="D219">
        <v>390.96674003423823</v>
      </c>
      <c r="E219">
        <v>0</v>
      </c>
      <c r="F219">
        <v>390.96674003423823</v>
      </c>
      <c r="G219">
        <v>613350</v>
      </c>
      <c r="H219" t="s">
        <v>149</v>
      </c>
      <c r="I219">
        <v>400</v>
      </c>
      <c r="J219">
        <v>0</v>
      </c>
      <c r="K219" t="s">
        <v>69</v>
      </c>
      <c r="L219">
        <v>612950</v>
      </c>
      <c r="M219">
        <v>203.14017115177498</v>
      </c>
    </row>
    <row r="220" spans="1:22" x14ac:dyDescent="0.25">
      <c r="A220">
        <v>217</v>
      </c>
      <c r="B220" t="s">
        <v>204</v>
      </c>
      <c r="C220">
        <v>44</v>
      </c>
      <c r="D220">
        <v>622.02087716653068</v>
      </c>
      <c r="E220">
        <v>174</v>
      </c>
      <c r="F220">
        <v>448.02087716653074</v>
      </c>
      <c r="G220">
        <v>729565</v>
      </c>
      <c r="H220" t="s">
        <v>149</v>
      </c>
      <c r="I220">
        <v>990</v>
      </c>
      <c r="J220">
        <v>0</v>
      </c>
      <c r="K220" t="s">
        <v>155</v>
      </c>
      <c r="L220">
        <v>17750</v>
      </c>
      <c r="M220">
        <v>2.1312500000000001</v>
      </c>
      <c r="N220" t="s">
        <v>159</v>
      </c>
      <c r="O220">
        <v>6450</v>
      </c>
      <c r="P220">
        <v>1.161</v>
      </c>
      <c r="Q220" t="s">
        <v>160</v>
      </c>
      <c r="R220">
        <v>667000</v>
      </c>
      <c r="S220">
        <v>120.06</v>
      </c>
      <c r="T220" t="s">
        <v>169</v>
      </c>
      <c r="U220">
        <v>37375</v>
      </c>
      <c r="V220">
        <v>74.563124999999999</v>
      </c>
    </row>
    <row r="221" spans="1:22" x14ac:dyDescent="0.25">
      <c r="A221">
        <v>218</v>
      </c>
      <c r="B221" t="s">
        <v>204</v>
      </c>
      <c r="C221">
        <v>44</v>
      </c>
      <c r="D221">
        <v>336.41701141816981</v>
      </c>
      <c r="E221">
        <v>126</v>
      </c>
      <c r="F221">
        <v>210.41701141816981</v>
      </c>
      <c r="G221">
        <v>543870</v>
      </c>
      <c r="H221" t="s">
        <v>149</v>
      </c>
      <c r="I221">
        <v>580</v>
      </c>
      <c r="J221">
        <v>0</v>
      </c>
      <c r="K221" t="s">
        <v>159</v>
      </c>
      <c r="L221">
        <v>75330</v>
      </c>
      <c r="M221">
        <v>13.559399999999998</v>
      </c>
      <c r="N221" t="s">
        <v>163</v>
      </c>
      <c r="O221">
        <v>460760</v>
      </c>
      <c r="P221">
        <v>51</v>
      </c>
      <c r="Q221" t="s">
        <v>155</v>
      </c>
      <c r="R221">
        <v>7200</v>
      </c>
      <c r="S221">
        <v>2.1312500000000001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ADF0-5F19-4CEF-83E1-66C527ED2335}">
  <sheetPr codeName="Tabelle20"/>
  <dimension ref="A1:Z221"/>
  <sheetViews>
    <sheetView workbookViewId="0">
      <selection activeCell="A2" sqref="A2"/>
    </sheetView>
  </sheetViews>
  <sheetFormatPr baseColWidth="10" defaultColWidth="8.5" defaultRowHeight="15.75" x14ac:dyDescent="0.25"/>
  <cols>
    <col min="1" max="1" width="3.875" bestFit="1" customWidth="1"/>
    <col min="2" max="2" width="10.75" bestFit="1" customWidth="1"/>
    <col min="3" max="3" width="14.375" bestFit="1" customWidth="1"/>
    <col min="4" max="6" width="11.875" bestFit="1" customWidth="1"/>
    <col min="7" max="7" width="8.875" bestFit="1" customWidth="1"/>
    <col min="8" max="8" width="14.125" bestFit="1" customWidth="1"/>
    <col min="9" max="9" width="12.25" bestFit="1" customWidth="1"/>
    <col min="10" max="10" width="11.875" bestFit="1" customWidth="1"/>
    <col min="11" max="11" width="14.375" bestFit="1" customWidth="1"/>
    <col min="12" max="12" width="12.25" bestFit="1" customWidth="1"/>
    <col min="13" max="13" width="11.875" bestFit="1" customWidth="1"/>
    <col min="14" max="14" width="14.375" bestFit="1" customWidth="1"/>
    <col min="15" max="15" width="12.25" bestFit="1" customWidth="1"/>
    <col min="16" max="16" width="11.625" bestFit="1" customWidth="1"/>
    <col min="17" max="17" width="14.375" bestFit="1" customWidth="1"/>
    <col min="18" max="18" width="12.25" bestFit="1" customWidth="1"/>
    <col min="19" max="19" width="11.875" bestFit="1" customWidth="1"/>
    <col min="20" max="20" width="14.125" bestFit="1" customWidth="1"/>
    <col min="21" max="21" width="12.25" bestFit="1" customWidth="1"/>
    <col min="22" max="22" width="11.625" bestFit="1" customWidth="1"/>
    <col min="23" max="23" width="7.75" bestFit="1" customWidth="1"/>
    <col min="24" max="24" width="12.25" bestFit="1" customWidth="1"/>
    <col min="25" max="25" width="11.625" bestFit="1" customWidth="1"/>
    <col min="27" max="30" width="12.125" bestFit="1" customWidth="1"/>
    <col min="31" max="1030" width="8.375" customWidth="1"/>
  </cols>
  <sheetData>
    <row r="1" spans="1:26" s="33" customFormat="1" x14ac:dyDescent="0.25">
      <c r="B1" s="33" t="s">
        <v>174</v>
      </c>
      <c r="C1" s="33" t="s">
        <v>174</v>
      </c>
      <c r="D1" s="33" t="s">
        <v>147</v>
      </c>
      <c r="E1" s="33" t="s">
        <v>147</v>
      </c>
      <c r="F1" s="33" t="s">
        <v>147</v>
      </c>
      <c r="G1" s="33" t="s">
        <v>147</v>
      </c>
      <c r="H1" s="33" t="s">
        <v>147</v>
      </c>
      <c r="I1" s="33" t="s">
        <v>147</v>
      </c>
      <c r="J1" s="33" t="s">
        <v>147</v>
      </c>
      <c r="K1" s="33" t="s">
        <v>147</v>
      </c>
      <c r="L1" s="33" t="s">
        <v>147</v>
      </c>
      <c r="M1" s="33" t="s">
        <v>147</v>
      </c>
      <c r="N1" s="33" t="s">
        <v>147</v>
      </c>
      <c r="O1" s="33" t="s">
        <v>147</v>
      </c>
      <c r="P1" s="33" t="s">
        <v>147</v>
      </c>
      <c r="Q1" s="33" t="s">
        <v>147</v>
      </c>
      <c r="R1" s="33" t="s">
        <v>147</v>
      </c>
      <c r="S1" s="33" t="s">
        <v>147</v>
      </c>
      <c r="T1" s="33" t="s">
        <v>147</v>
      </c>
      <c r="U1" s="33" t="s">
        <v>147</v>
      </c>
      <c r="V1" s="33" t="s">
        <v>147</v>
      </c>
      <c r="W1" s="33" t="s">
        <v>147</v>
      </c>
      <c r="X1" s="33" t="s">
        <v>147</v>
      </c>
      <c r="Y1" s="33" t="s">
        <v>147</v>
      </c>
      <c r="Z1"/>
    </row>
    <row r="2" spans="1:26" s="33" customFormat="1" x14ac:dyDescent="0.25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x14ac:dyDescent="0.25">
      <c r="A3">
        <v>0</v>
      </c>
      <c r="B3" t="s">
        <v>200</v>
      </c>
      <c r="C3">
        <v>1</v>
      </c>
      <c r="D3">
        <v>30</v>
      </c>
      <c r="E3">
        <v>0</v>
      </c>
      <c r="F3">
        <v>30</v>
      </c>
      <c r="G3">
        <v>2500</v>
      </c>
      <c r="H3" t="s">
        <v>149</v>
      </c>
      <c r="I3">
        <v>2500</v>
      </c>
      <c r="J3">
        <v>0</v>
      </c>
      <c r="M3" t="s">
        <v>201</v>
      </c>
      <c r="P3" t="s">
        <v>201</v>
      </c>
      <c r="S3" t="s">
        <v>201</v>
      </c>
      <c r="V3" t="s">
        <v>201</v>
      </c>
      <c r="Y3" t="s">
        <v>201</v>
      </c>
    </row>
    <row r="4" spans="1:26" x14ac:dyDescent="0.25">
      <c r="A4">
        <v>1</v>
      </c>
      <c r="B4" t="s">
        <v>200</v>
      </c>
      <c r="C4">
        <v>1</v>
      </c>
      <c r="D4">
        <v>8</v>
      </c>
      <c r="E4">
        <v>0</v>
      </c>
      <c r="F4">
        <v>8</v>
      </c>
      <c r="G4">
        <v>2600</v>
      </c>
      <c r="H4" t="s">
        <v>153</v>
      </c>
      <c r="I4">
        <v>2600</v>
      </c>
      <c r="J4">
        <v>0</v>
      </c>
      <c r="M4" t="s">
        <v>201</v>
      </c>
      <c r="P4" t="s">
        <v>201</v>
      </c>
      <c r="S4" t="s">
        <v>201</v>
      </c>
      <c r="V4" t="s">
        <v>201</v>
      </c>
      <c r="Y4" t="s">
        <v>201</v>
      </c>
    </row>
    <row r="5" spans="1:26" x14ac:dyDescent="0.25">
      <c r="A5">
        <v>2</v>
      </c>
      <c r="B5" t="s">
        <v>200</v>
      </c>
      <c r="C5">
        <v>1</v>
      </c>
      <c r="D5">
        <v>17.002845188284518</v>
      </c>
      <c r="E5">
        <v>0</v>
      </c>
      <c r="F5">
        <v>17.002845188284518</v>
      </c>
      <c r="G5">
        <v>3824</v>
      </c>
      <c r="H5" t="s">
        <v>149</v>
      </c>
      <c r="I5">
        <v>400</v>
      </c>
      <c r="J5">
        <v>0</v>
      </c>
      <c r="K5" t="s">
        <v>69</v>
      </c>
      <c r="L5">
        <v>3424</v>
      </c>
      <c r="M5">
        <v>1.18015176419712</v>
      </c>
      <c r="P5" t="s">
        <v>201</v>
      </c>
      <c r="S5" t="s">
        <v>201</v>
      </c>
      <c r="V5" t="s">
        <v>201</v>
      </c>
      <c r="Y5" t="s">
        <v>201</v>
      </c>
    </row>
    <row r="6" spans="1:26" x14ac:dyDescent="0.25">
      <c r="A6">
        <v>3</v>
      </c>
      <c r="B6" t="s">
        <v>200</v>
      </c>
      <c r="C6">
        <v>1</v>
      </c>
      <c r="D6">
        <v>19.104406332453824</v>
      </c>
      <c r="E6">
        <v>0.9339050131926121</v>
      </c>
      <c r="F6">
        <v>18.170501319261213</v>
      </c>
      <c r="G6">
        <v>3790</v>
      </c>
      <c r="H6" t="s">
        <v>149</v>
      </c>
      <c r="I6">
        <v>500</v>
      </c>
      <c r="J6">
        <v>0</v>
      </c>
      <c r="K6" t="s">
        <v>158</v>
      </c>
      <c r="L6">
        <v>1620</v>
      </c>
      <c r="M6">
        <v>1.66625</v>
      </c>
      <c r="N6" t="s">
        <v>155</v>
      </c>
      <c r="O6">
        <v>1670</v>
      </c>
      <c r="P6">
        <v>1.7689375000000001</v>
      </c>
      <c r="S6" t="s">
        <v>201</v>
      </c>
      <c r="V6" t="s">
        <v>201</v>
      </c>
      <c r="Y6" t="s">
        <v>201</v>
      </c>
    </row>
    <row r="7" spans="1:26" x14ac:dyDescent="0.25">
      <c r="A7">
        <v>4</v>
      </c>
      <c r="B7" t="s">
        <v>200</v>
      </c>
      <c r="C7">
        <v>1</v>
      </c>
      <c r="D7">
        <v>7.0909000000000004</v>
      </c>
      <c r="E7">
        <v>0</v>
      </c>
      <c r="F7">
        <v>7.0909000000000004</v>
      </c>
      <c r="G7">
        <v>2600</v>
      </c>
      <c r="H7" t="s">
        <v>154</v>
      </c>
      <c r="I7">
        <v>2600</v>
      </c>
      <c r="J7">
        <v>4.5500000000000002E-3</v>
      </c>
      <c r="M7" t="s">
        <v>201</v>
      </c>
      <c r="P7" t="s">
        <v>201</v>
      </c>
      <c r="S7" t="s">
        <v>201</v>
      </c>
      <c r="V7" t="s">
        <v>201</v>
      </c>
      <c r="Y7" t="s">
        <v>201</v>
      </c>
    </row>
    <row r="8" spans="1:26" x14ac:dyDescent="0.25">
      <c r="A8">
        <v>5</v>
      </c>
      <c r="B8" t="s">
        <v>200</v>
      </c>
      <c r="C8">
        <v>2</v>
      </c>
      <c r="D8">
        <v>28</v>
      </c>
      <c r="E8">
        <v>0</v>
      </c>
      <c r="F8">
        <v>28</v>
      </c>
      <c r="G8">
        <v>2300</v>
      </c>
      <c r="H8" t="s">
        <v>149</v>
      </c>
      <c r="I8">
        <v>2300</v>
      </c>
      <c r="J8">
        <v>0</v>
      </c>
      <c r="M8" t="s">
        <v>201</v>
      </c>
      <c r="P8" t="s">
        <v>201</v>
      </c>
      <c r="S8" t="s">
        <v>201</v>
      </c>
      <c r="V8" t="s">
        <v>201</v>
      </c>
      <c r="Y8" t="s">
        <v>201</v>
      </c>
    </row>
    <row r="9" spans="1:26" x14ac:dyDescent="0.25">
      <c r="A9">
        <v>6</v>
      </c>
      <c r="B9" t="s">
        <v>200</v>
      </c>
      <c r="C9">
        <v>2</v>
      </c>
      <c r="D9">
        <v>8</v>
      </c>
      <c r="E9">
        <v>0</v>
      </c>
      <c r="F9">
        <v>8</v>
      </c>
      <c r="G9">
        <v>2600</v>
      </c>
      <c r="H9" t="s">
        <v>153</v>
      </c>
      <c r="I9">
        <v>2600</v>
      </c>
      <c r="J9">
        <v>0</v>
      </c>
      <c r="M9" t="s">
        <v>201</v>
      </c>
      <c r="P9" t="s">
        <v>201</v>
      </c>
      <c r="S9" t="s">
        <v>201</v>
      </c>
      <c r="V9" t="s">
        <v>201</v>
      </c>
      <c r="Y9" t="s">
        <v>201</v>
      </c>
    </row>
    <row r="10" spans="1:26" x14ac:dyDescent="0.25">
      <c r="A10">
        <v>7</v>
      </c>
      <c r="B10" t="s">
        <v>200</v>
      </c>
      <c r="C10">
        <v>2</v>
      </c>
      <c r="D10">
        <v>13.844248554913296</v>
      </c>
      <c r="E10">
        <v>0</v>
      </c>
      <c r="F10">
        <v>13.844248554913296</v>
      </c>
      <c r="G10">
        <v>2768</v>
      </c>
      <c r="H10" t="s">
        <v>149</v>
      </c>
      <c r="I10">
        <v>200</v>
      </c>
      <c r="J10">
        <v>0</v>
      </c>
      <c r="K10" t="s">
        <v>69</v>
      </c>
      <c r="L10">
        <v>2568</v>
      </c>
      <c r="M10">
        <v>0.88511382314783993</v>
      </c>
      <c r="P10" t="s">
        <v>201</v>
      </c>
      <c r="S10" t="s">
        <v>201</v>
      </c>
      <c r="V10" t="s">
        <v>201</v>
      </c>
      <c r="Y10" t="s">
        <v>201</v>
      </c>
    </row>
    <row r="11" spans="1:26" x14ac:dyDescent="0.25">
      <c r="A11">
        <v>8</v>
      </c>
      <c r="B11" t="s">
        <v>200</v>
      </c>
      <c r="C11">
        <v>2</v>
      </c>
      <c r="D11">
        <v>20.419760479041916</v>
      </c>
      <c r="E11">
        <v>2</v>
      </c>
      <c r="F11">
        <v>18.419760479041916</v>
      </c>
      <c r="G11">
        <v>3340</v>
      </c>
      <c r="H11" t="s">
        <v>149</v>
      </c>
      <c r="I11">
        <v>1300</v>
      </c>
      <c r="J11">
        <v>0</v>
      </c>
      <c r="K11" t="s">
        <v>159</v>
      </c>
      <c r="L11">
        <v>2040</v>
      </c>
      <c r="M11">
        <v>0.31579200000000002</v>
      </c>
      <c r="P11" t="s">
        <v>201</v>
      </c>
      <c r="S11" t="s">
        <v>201</v>
      </c>
      <c r="V11" t="s">
        <v>201</v>
      </c>
      <c r="Y11" t="s">
        <v>201</v>
      </c>
    </row>
    <row r="12" spans="1:26" x14ac:dyDescent="0.25">
      <c r="A12">
        <v>9</v>
      </c>
      <c r="B12" t="s">
        <v>200</v>
      </c>
      <c r="C12">
        <v>2</v>
      </c>
      <c r="D12">
        <v>7.0909000000000004</v>
      </c>
      <c r="E12">
        <v>0</v>
      </c>
      <c r="F12">
        <v>7.0909000000000004</v>
      </c>
      <c r="G12">
        <v>2600</v>
      </c>
      <c r="H12" t="s">
        <v>154</v>
      </c>
      <c r="I12">
        <v>2600</v>
      </c>
      <c r="J12">
        <v>4.5500000000000002E-3</v>
      </c>
      <c r="M12" t="s">
        <v>201</v>
      </c>
      <c r="P12" t="s">
        <v>201</v>
      </c>
      <c r="S12" t="s">
        <v>201</v>
      </c>
      <c r="V12" t="s">
        <v>201</v>
      </c>
      <c r="Y12" t="s">
        <v>201</v>
      </c>
    </row>
    <row r="13" spans="1:26" x14ac:dyDescent="0.25">
      <c r="A13">
        <v>10</v>
      </c>
      <c r="B13" t="s">
        <v>200</v>
      </c>
      <c r="C13">
        <v>3</v>
      </c>
      <c r="D13">
        <v>8.1818000000000008</v>
      </c>
      <c r="E13">
        <v>0</v>
      </c>
      <c r="F13">
        <v>8.1818000000000008</v>
      </c>
      <c r="G13">
        <v>3000</v>
      </c>
      <c r="H13" t="s">
        <v>154</v>
      </c>
      <c r="I13">
        <v>3000</v>
      </c>
      <c r="J13">
        <v>5.2500000000000003E-3</v>
      </c>
      <c r="M13" t="s">
        <v>201</v>
      </c>
      <c r="P13" t="s">
        <v>201</v>
      </c>
      <c r="S13" t="s">
        <v>201</v>
      </c>
      <c r="V13" t="s">
        <v>201</v>
      </c>
      <c r="Y13" t="s">
        <v>201</v>
      </c>
    </row>
    <row r="14" spans="1:26" x14ac:dyDescent="0.25">
      <c r="A14">
        <v>11</v>
      </c>
      <c r="B14" t="s">
        <v>200</v>
      </c>
      <c r="C14">
        <v>3</v>
      </c>
      <c r="D14">
        <v>10.678851963746222</v>
      </c>
      <c r="E14">
        <v>0</v>
      </c>
      <c r="F14">
        <v>10.678851963746222</v>
      </c>
      <c r="G14">
        <v>3310</v>
      </c>
      <c r="H14" t="s">
        <v>149</v>
      </c>
      <c r="I14">
        <v>100</v>
      </c>
      <c r="J14">
        <v>0</v>
      </c>
      <c r="K14" t="s">
        <v>69</v>
      </c>
      <c r="L14">
        <v>3210</v>
      </c>
      <c r="M14">
        <v>1.1063922789348</v>
      </c>
      <c r="P14" t="s">
        <v>201</v>
      </c>
      <c r="S14" t="s">
        <v>201</v>
      </c>
      <c r="V14" t="s">
        <v>201</v>
      </c>
      <c r="Y14" t="s">
        <v>201</v>
      </c>
    </row>
    <row r="15" spans="1:26" x14ac:dyDescent="0.25">
      <c r="A15">
        <v>12</v>
      </c>
      <c r="B15" t="s">
        <v>200</v>
      </c>
      <c r="C15">
        <v>3</v>
      </c>
      <c r="D15">
        <v>38.858199356913182</v>
      </c>
      <c r="E15">
        <v>13.1491961414791</v>
      </c>
      <c r="F15">
        <v>25.709003215434084</v>
      </c>
      <c r="G15">
        <v>3110</v>
      </c>
      <c r="H15" t="s">
        <v>149</v>
      </c>
      <c r="I15">
        <v>1850</v>
      </c>
      <c r="J15">
        <v>0</v>
      </c>
      <c r="K15" t="s">
        <v>155</v>
      </c>
      <c r="L15">
        <v>1260</v>
      </c>
      <c r="M15">
        <v>1.7689375000000001</v>
      </c>
      <c r="P15" t="s">
        <v>201</v>
      </c>
      <c r="S15" t="s">
        <v>201</v>
      </c>
      <c r="V15" t="s">
        <v>201</v>
      </c>
      <c r="Y15" t="s">
        <v>201</v>
      </c>
    </row>
    <row r="16" spans="1:26" x14ac:dyDescent="0.25">
      <c r="A16">
        <v>13</v>
      </c>
      <c r="B16" t="s">
        <v>200</v>
      </c>
      <c r="C16">
        <v>3</v>
      </c>
      <c r="D16">
        <v>33</v>
      </c>
      <c r="E16">
        <v>0</v>
      </c>
      <c r="F16">
        <v>33</v>
      </c>
      <c r="G16">
        <v>2800</v>
      </c>
      <c r="H16" t="s">
        <v>149</v>
      </c>
      <c r="I16">
        <v>2800</v>
      </c>
      <c r="J16">
        <v>0</v>
      </c>
      <c r="M16" t="s">
        <v>201</v>
      </c>
      <c r="P16" t="s">
        <v>201</v>
      </c>
      <c r="S16" t="s">
        <v>201</v>
      </c>
      <c r="V16" t="s">
        <v>201</v>
      </c>
      <c r="Y16" t="s">
        <v>201</v>
      </c>
    </row>
    <row r="17" spans="1:25" x14ac:dyDescent="0.25">
      <c r="A17">
        <v>14</v>
      </c>
      <c r="B17" t="s">
        <v>200</v>
      </c>
      <c r="C17">
        <v>3</v>
      </c>
      <c r="D17">
        <v>10</v>
      </c>
      <c r="E17">
        <v>0</v>
      </c>
      <c r="F17">
        <v>10</v>
      </c>
      <c r="G17">
        <v>3000</v>
      </c>
      <c r="H17" t="s">
        <v>153</v>
      </c>
      <c r="I17">
        <v>3000</v>
      </c>
      <c r="J17">
        <v>0</v>
      </c>
      <c r="M17" t="s">
        <v>201</v>
      </c>
      <c r="P17" t="s">
        <v>201</v>
      </c>
      <c r="S17" t="s">
        <v>201</v>
      </c>
      <c r="V17" t="s">
        <v>201</v>
      </c>
      <c r="Y17" t="s">
        <v>201</v>
      </c>
    </row>
    <row r="18" spans="1:25" x14ac:dyDescent="0.25">
      <c r="A18">
        <v>15</v>
      </c>
      <c r="B18" t="s">
        <v>200</v>
      </c>
      <c r="C18">
        <v>4</v>
      </c>
      <c r="D18">
        <v>8</v>
      </c>
      <c r="E18">
        <v>0</v>
      </c>
      <c r="F18">
        <v>8</v>
      </c>
      <c r="G18">
        <v>2500</v>
      </c>
      <c r="H18" t="s">
        <v>153</v>
      </c>
      <c r="I18">
        <v>2500</v>
      </c>
      <c r="J18">
        <v>0</v>
      </c>
      <c r="M18" t="s">
        <v>201</v>
      </c>
      <c r="P18" t="s">
        <v>201</v>
      </c>
      <c r="S18" t="s">
        <v>201</v>
      </c>
      <c r="V18" t="s">
        <v>201</v>
      </c>
      <c r="Y18" t="s">
        <v>201</v>
      </c>
    </row>
    <row r="19" spans="1:25" x14ac:dyDescent="0.25">
      <c r="A19">
        <v>16</v>
      </c>
      <c r="B19" t="s">
        <v>200</v>
      </c>
      <c r="C19">
        <v>4</v>
      </c>
      <c r="D19">
        <v>12.805007290147886</v>
      </c>
      <c r="E19">
        <v>0</v>
      </c>
      <c r="F19">
        <v>12.805007290147886</v>
      </c>
      <c r="G19">
        <v>4801</v>
      </c>
      <c r="H19" t="s">
        <v>149</v>
      </c>
      <c r="I19">
        <v>200</v>
      </c>
      <c r="J19">
        <v>0</v>
      </c>
      <c r="K19" t="s">
        <v>69</v>
      </c>
      <c r="L19">
        <v>4601</v>
      </c>
      <c r="M19">
        <v>1.5858289331398798</v>
      </c>
      <c r="P19" t="s">
        <v>201</v>
      </c>
      <c r="S19" t="s">
        <v>201</v>
      </c>
      <c r="V19" t="s">
        <v>201</v>
      </c>
      <c r="Y19" t="s">
        <v>201</v>
      </c>
    </row>
    <row r="20" spans="1:25" x14ac:dyDescent="0.25">
      <c r="A20">
        <v>17</v>
      </c>
      <c r="B20" t="s">
        <v>200</v>
      </c>
      <c r="C20">
        <v>4</v>
      </c>
      <c r="D20">
        <v>18.345985401459853</v>
      </c>
      <c r="E20">
        <v>3</v>
      </c>
      <c r="F20">
        <v>15.345985401459853</v>
      </c>
      <c r="G20">
        <v>2740</v>
      </c>
      <c r="H20" t="s">
        <v>156</v>
      </c>
      <c r="I20">
        <v>2240</v>
      </c>
      <c r="J20">
        <v>1.66625</v>
      </c>
      <c r="K20" t="s">
        <v>149</v>
      </c>
      <c r="L20">
        <v>500</v>
      </c>
      <c r="M20">
        <v>0</v>
      </c>
      <c r="P20" t="s">
        <v>201</v>
      </c>
      <c r="S20" t="s">
        <v>201</v>
      </c>
      <c r="V20" t="s">
        <v>201</v>
      </c>
      <c r="Y20" t="s">
        <v>201</v>
      </c>
    </row>
    <row r="21" spans="1:25" x14ac:dyDescent="0.25">
      <c r="A21">
        <v>18</v>
      </c>
      <c r="B21" t="s">
        <v>200</v>
      </c>
      <c r="C21">
        <v>4</v>
      </c>
      <c r="D21">
        <v>32</v>
      </c>
      <c r="E21">
        <v>0</v>
      </c>
      <c r="F21">
        <v>32</v>
      </c>
      <c r="G21">
        <v>2500</v>
      </c>
      <c r="H21" t="s">
        <v>149</v>
      </c>
      <c r="I21">
        <v>2500</v>
      </c>
      <c r="J21">
        <v>0</v>
      </c>
      <c r="M21" t="s">
        <v>201</v>
      </c>
      <c r="P21" t="s">
        <v>201</v>
      </c>
      <c r="S21" t="s">
        <v>201</v>
      </c>
      <c r="V21" t="s">
        <v>201</v>
      </c>
      <c r="Y21" t="s">
        <v>201</v>
      </c>
    </row>
    <row r="22" spans="1:25" x14ac:dyDescent="0.25">
      <c r="A22">
        <v>19</v>
      </c>
      <c r="B22" t="s">
        <v>200</v>
      </c>
      <c r="C22">
        <v>4</v>
      </c>
      <c r="D22">
        <v>6.8182</v>
      </c>
      <c r="E22">
        <v>0</v>
      </c>
      <c r="F22">
        <v>6.8182</v>
      </c>
      <c r="G22">
        <v>2500</v>
      </c>
      <c r="H22" t="s">
        <v>154</v>
      </c>
      <c r="I22">
        <v>2500</v>
      </c>
      <c r="J22">
        <v>4.3750000000000004E-3</v>
      </c>
      <c r="M22" t="s">
        <v>201</v>
      </c>
      <c r="P22" t="s">
        <v>201</v>
      </c>
      <c r="S22" t="s">
        <v>201</v>
      </c>
      <c r="V22" t="s">
        <v>201</v>
      </c>
      <c r="Y22" t="s">
        <v>201</v>
      </c>
    </row>
    <row r="23" spans="1:25" x14ac:dyDescent="0.25">
      <c r="A23">
        <v>20</v>
      </c>
      <c r="B23" t="s">
        <v>200</v>
      </c>
      <c r="C23">
        <v>5</v>
      </c>
      <c r="D23">
        <v>8.5414855631474556</v>
      </c>
      <c r="E23">
        <v>0</v>
      </c>
      <c r="F23">
        <v>8.5414855631474556</v>
      </c>
      <c r="G23">
        <v>4537</v>
      </c>
      <c r="H23" t="s">
        <v>149</v>
      </c>
      <c r="I23">
        <v>150</v>
      </c>
      <c r="J23">
        <v>0</v>
      </c>
      <c r="K23" t="s">
        <v>69</v>
      </c>
      <c r="L23">
        <v>4387</v>
      </c>
      <c r="M23">
        <v>1.5120694478775598</v>
      </c>
      <c r="P23" t="s">
        <v>201</v>
      </c>
      <c r="S23" t="s">
        <v>201</v>
      </c>
      <c r="V23" t="s">
        <v>201</v>
      </c>
      <c r="Y23" t="s">
        <v>201</v>
      </c>
    </row>
    <row r="24" spans="1:25" x14ac:dyDescent="0.25">
      <c r="A24">
        <v>21</v>
      </c>
      <c r="B24" t="s">
        <v>200</v>
      </c>
      <c r="C24">
        <v>5</v>
      </c>
      <c r="D24">
        <v>29.429503816793897</v>
      </c>
      <c r="E24">
        <v>4.653625954198473</v>
      </c>
      <c r="F24">
        <v>24.775877862595422</v>
      </c>
      <c r="G24">
        <v>2620</v>
      </c>
      <c r="H24" t="s">
        <v>149</v>
      </c>
      <c r="I24">
        <v>1200</v>
      </c>
      <c r="J24">
        <v>0</v>
      </c>
      <c r="K24" t="s">
        <v>155</v>
      </c>
      <c r="L24">
        <v>1210</v>
      </c>
      <c r="M24">
        <v>1.7689375000000001</v>
      </c>
      <c r="N24" t="s">
        <v>149</v>
      </c>
      <c r="O24">
        <v>210</v>
      </c>
      <c r="P24">
        <v>0</v>
      </c>
      <c r="S24" t="s">
        <v>201</v>
      </c>
      <c r="V24" t="s">
        <v>201</v>
      </c>
      <c r="Y24" t="s">
        <v>201</v>
      </c>
    </row>
    <row r="25" spans="1:25" x14ac:dyDescent="0.25">
      <c r="A25">
        <v>22</v>
      </c>
      <c r="B25" t="s">
        <v>200</v>
      </c>
      <c r="C25">
        <v>5</v>
      </c>
      <c r="D25">
        <v>32</v>
      </c>
      <c r="E25">
        <v>0</v>
      </c>
      <c r="F25">
        <v>32</v>
      </c>
      <c r="G25">
        <v>2600</v>
      </c>
      <c r="H25" t="s">
        <v>149</v>
      </c>
      <c r="I25">
        <v>2600</v>
      </c>
      <c r="J25">
        <v>0</v>
      </c>
      <c r="M25" t="s">
        <v>201</v>
      </c>
      <c r="P25" t="s">
        <v>201</v>
      </c>
      <c r="S25" t="s">
        <v>201</v>
      </c>
      <c r="V25" t="s">
        <v>201</v>
      </c>
      <c r="Y25" t="s">
        <v>201</v>
      </c>
    </row>
    <row r="26" spans="1:25" x14ac:dyDescent="0.25">
      <c r="A26">
        <v>23</v>
      </c>
      <c r="B26" t="s">
        <v>200</v>
      </c>
      <c r="C26">
        <v>5</v>
      </c>
      <c r="D26">
        <v>10</v>
      </c>
      <c r="E26">
        <v>0</v>
      </c>
      <c r="F26">
        <v>10</v>
      </c>
      <c r="G26">
        <v>2700</v>
      </c>
      <c r="H26" t="s">
        <v>153</v>
      </c>
      <c r="I26">
        <v>2700</v>
      </c>
      <c r="J26">
        <v>0</v>
      </c>
      <c r="M26" t="s">
        <v>201</v>
      </c>
      <c r="P26" t="s">
        <v>201</v>
      </c>
      <c r="S26" t="s">
        <v>201</v>
      </c>
      <c r="V26" t="s">
        <v>201</v>
      </c>
      <c r="Y26" t="s">
        <v>201</v>
      </c>
    </row>
    <row r="27" spans="1:25" x14ac:dyDescent="0.25">
      <c r="A27">
        <v>24</v>
      </c>
      <c r="B27" t="s">
        <v>200</v>
      </c>
      <c r="C27">
        <v>5</v>
      </c>
      <c r="D27">
        <v>7.3635999999999999</v>
      </c>
      <c r="E27">
        <v>0</v>
      </c>
      <c r="F27">
        <v>7.3635999999999999</v>
      </c>
      <c r="G27">
        <v>2700</v>
      </c>
      <c r="H27" t="s">
        <v>154</v>
      </c>
      <c r="I27">
        <v>2700</v>
      </c>
      <c r="J27">
        <v>4.725E-3</v>
      </c>
      <c r="M27" t="s">
        <v>201</v>
      </c>
      <c r="P27" t="s">
        <v>201</v>
      </c>
      <c r="S27" t="s">
        <v>201</v>
      </c>
      <c r="V27" t="s">
        <v>201</v>
      </c>
      <c r="Y27" t="s">
        <v>201</v>
      </c>
    </row>
    <row r="28" spans="1:25" x14ac:dyDescent="0.25">
      <c r="A28">
        <v>25</v>
      </c>
      <c r="B28" t="s">
        <v>200</v>
      </c>
      <c r="C28">
        <v>6</v>
      </c>
      <c r="D28">
        <v>7.9090999999999996</v>
      </c>
      <c r="E28">
        <v>0</v>
      </c>
      <c r="F28">
        <v>7.9090999999999996</v>
      </c>
      <c r="G28">
        <v>2900</v>
      </c>
      <c r="H28" t="s">
        <v>154</v>
      </c>
      <c r="I28">
        <v>2900</v>
      </c>
      <c r="J28">
        <v>5.0749999999999997E-3</v>
      </c>
      <c r="M28" t="s">
        <v>201</v>
      </c>
      <c r="P28" t="s">
        <v>201</v>
      </c>
      <c r="S28" t="s">
        <v>201</v>
      </c>
      <c r="V28" t="s">
        <v>201</v>
      </c>
      <c r="Y28" t="s">
        <v>201</v>
      </c>
    </row>
    <row r="29" spans="1:25" x14ac:dyDescent="0.25">
      <c r="A29">
        <v>26</v>
      </c>
      <c r="B29" t="s">
        <v>200</v>
      </c>
      <c r="C29">
        <v>6</v>
      </c>
      <c r="D29">
        <v>11</v>
      </c>
      <c r="E29">
        <v>0</v>
      </c>
      <c r="F29">
        <v>11</v>
      </c>
      <c r="G29">
        <v>2900</v>
      </c>
      <c r="H29" t="s">
        <v>153</v>
      </c>
      <c r="I29">
        <v>2900</v>
      </c>
      <c r="J29">
        <v>0</v>
      </c>
      <c r="M29" t="s">
        <v>201</v>
      </c>
      <c r="P29" t="s">
        <v>201</v>
      </c>
      <c r="S29" t="s">
        <v>201</v>
      </c>
      <c r="V29" t="s">
        <v>201</v>
      </c>
      <c r="Y29" t="s">
        <v>201</v>
      </c>
    </row>
    <row r="30" spans="1:25" x14ac:dyDescent="0.25">
      <c r="A30">
        <v>27</v>
      </c>
      <c r="B30" t="s">
        <v>200</v>
      </c>
      <c r="C30">
        <v>6</v>
      </c>
      <c r="D30">
        <v>22.574999999999999</v>
      </c>
      <c r="E30">
        <v>6</v>
      </c>
      <c r="F30">
        <v>16.574999999999999</v>
      </c>
      <c r="G30">
        <v>2600</v>
      </c>
      <c r="H30" t="s">
        <v>159</v>
      </c>
      <c r="I30">
        <v>1300</v>
      </c>
      <c r="J30">
        <v>0.20124</v>
      </c>
      <c r="K30" t="s">
        <v>149</v>
      </c>
      <c r="L30">
        <v>1300</v>
      </c>
      <c r="M30">
        <v>0</v>
      </c>
      <c r="P30" t="s">
        <v>201</v>
      </c>
      <c r="S30" t="s">
        <v>201</v>
      </c>
      <c r="V30" t="s">
        <v>201</v>
      </c>
      <c r="Y30" t="s">
        <v>201</v>
      </c>
    </row>
    <row r="31" spans="1:25" x14ac:dyDescent="0.25">
      <c r="A31">
        <v>28</v>
      </c>
      <c r="B31" t="s">
        <v>200</v>
      </c>
      <c r="C31">
        <v>6</v>
      </c>
      <c r="D31">
        <v>7.4765050950151473</v>
      </c>
      <c r="E31">
        <v>0</v>
      </c>
      <c r="F31">
        <v>7.4765050950151473</v>
      </c>
      <c r="G31">
        <v>3631</v>
      </c>
      <c r="H31" t="s">
        <v>149</v>
      </c>
      <c r="I31">
        <v>100</v>
      </c>
      <c r="J31">
        <v>0</v>
      </c>
      <c r="K31" t="s">
        <v>69</v>
      </c>
      <c r="L31">
        <v>3531</v>
      </c>
      <c r="M31">
        <v>1.21703150682828</v>
      </c>
      <c r="P31" t="s">
        <v>201</v>
      </c>
      <c r="S31" t="s">
        <v>201</v>
      </c>
      <c r="V31" t="s">
        <v>201</v>
      </c>
      <c r="Y31" t="s">
        <v>201</v>
      </c>
    </row>
    <row r="32" spans="1:25" x14ac:dyDescent="0.25">
      <c r="A32">
        <v>29</v>
      </c>
      <c r="B32" t="s">
        <v>200</v>
      </c>
      <c r="C32">
        <v>6</v>
      </c>
      <c r="D32">
        <v>35</v>
      </c>
      <c r="E32">
        <v>0</v>
      </c>
      <c r="F32">
        <v>35</v>
      </c>
      <c r="G32">
        <v>2900</v>
      </c>
      <c r="H32" t="s">
        <v>149</v>
      </c>
      <c r="I32">
        <v>2900</v>
      </c>
      <c r="J32">
        <v>0</v>
      </c>
      <c r="M32" t="s">
        <v>201</v>
      </c>
      <c r="P32" t="s">
        <v>201</v>
      </c>
      <c r="S32" t="s">
        <v>201</v>
      </c>
      <c r="V32" t="s">
        <v>201</v>
      </c>
      <c r="Y32" t="s">
        <v>201</v>
      </c>
    </row>
    <row r="33" spans="1:25" x14ac:dyDescent="0.25">
      <c r="A33">
        <v>30</v>
      </c>
      <c r="B33" t="s">
        <v>200</v>
      </c>
      <c r="C33">
        <v>7</v>
      </c>
      <c r="D33">
        <v>7.471634182908546</v>
      </c>
      <c r="E33">
        <v>0</v>
      </c>
      <c r="F33">
        <v>7.471634182908546</v>
      </c>
      <c r="G33">
        <v>2668</v>
      </c>
      <c r="H33" t="s">
        <v>149</v>
      </c>
      <c r="I33">
        <v>100</v>
      </c>
      <c r="J33">
        <v>0</v>
      </c>
      <c r="K33" t="s">
        <v>69</v>
      </c>
      <c r="L33">
        <v>2568</v>
      </c>
      <c r="M33">
        <v>0.88511382314783993</v>
      </c>
      <c r="P33" t="s">
        <v>201</v>
      </c>
      <c r="S33" t="s">
        <v>201</v>
      </c>
      <c r="V33" t="s">
        <v>201</v>
      </c>
      <c r="Y33" t="s">
        <v>201</v>
      </c>
    </row>
    <row r="34" spans="1:25" x14ac:dyDescent="0.25">
      <c r="A34">
        <v>31</v>
      </c>
      <c r="B34" t="s">
        <v>200</v>
      </c>
      <c r="C34">
        <v>7</v>
      </c>
      <c r="D34">
        <v>31</v>
      </c>
      <c r="E34">
        <v>0</v>
      </c>
      <c r="F34">
        <v>31</v>
      </c>
      <c r="G34">
        <v>2400</v>
      </c>
      <c r="H34" t="s">
        <v>149</v>
      </c>
      <c r="I34">
        <v>2400</v>
      </c>
      <c r="J34">
        <v>0</v>
      </c>
      <c r="M34" t="s">
        <v>201</v>
      </c>
      <c r="P34" t="s">
        <v>201</v>
      </c>
      <c r="S34" t="s">
        <v>201</v>
      </c>
      <c r="V34" t="s">
        <v>201</v>
      </c>
      <c r="Y34" t="s">
        <v>201</v>
      </c>
    </row>
    <row r="35" spans="1:25" x14ac:dyDescent="0.25">
      <c r="A35">
        <v>32</v>
      </c>
      <c r="B35" t="s">
        <v>200</v>
      </c>
      <c r="C35">
        <v>7</v>
      </c>
      <c r="D35">
        <v>9</v>
      </c>
      <c r="E35">
        <v>0</v>
      </c>
      <c r="F35">
        <v>9</v>
      </c>
      <c r="G35">
        <v>2400</v>
      </c>
      <c r="H35" t="s">
        <v>153</v>
      </c>
      <c r="I35">
        <v>2400</v>
      </c>
      <c r="J35">
        <v>0</v>
      </c>
      <c r="M35" t="s">
        <v>201</v>
      </c>
      <c r="P35" t="s">
        <v>201</v>
      </c>
      <c r="S35" t="s">
        <v>201</v>
      </c>
      <c r="V35" t="s">
        <v>201</v>
      </c>
      <c r="Y35" t="s">
        <v>201</v>
      </c>
    </row>
    <row r="36" spans="1:25" x14ac:dyDescent="0.25">
      <c r="A36">
        <v>33</v>
      </c>
      <c r="B36" t="s">
        <v>200</v>
      </c>
      <c r="C36">
        <v>7</v>
      </c>
      <c r="D36">
        <v>6.5454999999999997</v>
      </c>
      <c r="E36">
        <v>0</v>
      </c>
      <c r="F36">
        <v>6.5454999999999997</v>
      </c>
      <c r="G36">
        <v>2400</v>
      </c>
      <c r="H36" t="s">
        <v>154</v>
      </c>
      <c r="I36">
        <v>2400</v>
      </c>
      <c r="J36">
        <v>4.1999999999999997E-3</v>
      </c>
      <c r="M36" t="s">
        <v>201</v>
      </c>
      <c r="P36" t="s">
        <v>201</v>
      </c>
      <c r="S36" t="s">
        <v>201</v>
      </c>
      <c r="V36" t="s">
        <v>201</v>
      </c>
      <c r="Y36" t="s">
        <v>201</v>
      </c>
    </row>
    <row r="37" spans="1:25" x14ac:dyDescent="0.25">
      <c r="A37">
        <v>34</v>
      </c>
      <c r="B37" t="s">
        <v>200</v>
      </c>
      <c r="C37">
        <v>8</v>
      </c>
      <c r="D37">
        <v>12.726792452830189</v>
      </c>
      <c r="E37">
        <v>0</v>
      </c>
      <c r="F37">
        <v>12.726792452830189</v>
      </c>
      <c r="G37">
        <v>2968</v>
      </c>
      <c r="H37" t="s">
        <v>149</v>
      </c>
      <c r="I37">
        <v>400</v>
      </c>
      <c r="J37">
        <v>0</v>
      </c>
      <c r="K37" t="s">
        <v>69</v>
      </c>
      <c r="L37">
        <v>2568</v>
      </c>
      <c r="M37">
        <v>0.88511382314783993</v>
      </c>
      <c r="P37" t="s">
        <v>201</v>
      </c>
      <c r="S37" t="s">
        <v>201</v>
      </c>
      <c r="V37" t="s">
        <v>201</v>
      </c>
      <c r="Y37" t="s">
        <v>201</v>
      </c>
    </row>
    <row r="38" spans="1:25" x14ac:dyDescent="0.25">
      <c r="A38">
        <v>35</v>
      </c>
      <c r="B38" t="s">
        <v>200</v>
      </c>
      <c r="C38">
        <v>8</v>
      </c>
      <c r="D38">
        <v>12.842560553633216</v>
      </c>
      <c r="E38">
        <v>0.82698961937716253</v>
      </c>
      <c r="F38">
        <v>12.015570934256054</v>
      </c>
      <c r="G38">
        <v>2890</v>
      </c>
      <c r="H38" t="s">
        <v>149</v>
      </c>
      <c r="I38">
        <v>700</v>
      </c>
      <c r="J38">
        <v>0</v>
      </c>
      <c r="K38" t="s">
        <v>159</v>
      </c>
      <c r="L38">
        <v>1500</v>
      </c>
      <c r="M38">
        <v>0.23219999999999999</v>
      </c>
      <c r="N38" t="s">
        <v>149</v>
      </c>
      <c r="O38">
        <v>190</v>
      </c>
      <c r="P38">
        <v>0</v>
      </c>
      <c r="S38" t="s">
        <v>201</v>
      </c>
      <c r="V38" t="s">
        <v>201</v>
      </c>
      <c r="Y38" t="s">
        <v>201</v>
      </c>
    </row>
    <row r="39" spans="1:25" x14ac:dyDescent="0.25">
      <c r="A39">
        <v>36</v>
      </c>
      <c r="B39" t="s">
        <v>200</v>
      </c>
      <c r="C39">
        <v>8</v>
      </c>
      <c r="D39">
        <v>31</v>
      </c>
      <c r="E39">
        <v>0</v>
      </c>
      <c r="F39">
        <v>31</v>
      </c>
      <c r="G39">
        <v>2400</v>
      </c>
      <c r="H39" t="s">
        <v>149</v>
      </c>
      <c r="I39">
        <v>2400</v>
      </c>
      <c r="J39">
        <v>0</v>
      </c>
      <c r="M39" t="s">
        <v>201</v>
      </c>
      <c r="P39" t="s">
        <v>201</v>
      </c>
      <c r="S39" t="s">
        <v>201</v>
      </c>
      <c r="V39" t="s">
        <v>201</v>
      </c>
      <c r="Y39" t="s">
        <v>201</v>
      </c>
    </row>
    <row r="40" spans="1:25" x14ac:dyDescent="0.25">
      <c r="A40">
        <v>37</v>
      </c>
      <c r="B40" t="s">
        <v>200</v>
      </c>
      <c r="C40">
        <v>8</v>
      </c>
      <c r="D40">
        <v>10</v>
      </c>
      <c r="E40">
        <v>0</v>
      </c>
      <c r="F40">
        <v>10</v>
      </c>
      <c r="G40">
        <v>2600</v>
      </c>
      <c r="H40" t="s">
        <v>153</v>
      </c>
      <c r="I40">
        <v>2600</v>
      </c>
      <c r="J40">
        <v>0</v>
      </c>
      <c r="M40" t="s">
        <v>201</v>
      </c>
      <c r="P40" t="s">
        <v>201</v>
      </c>
      <c r="S40" t="s">
        <v>201</v>
      </c>
      <c r="V40" t="s">
        <v>201</v>
      </c>
      <c r="Y40" t="s">
        <v>201</v>
      </c>
    </row>
    <row r="41" spans="1:25" x14ac:dyDescent="0.25">
      <c r="A41">
        <v>38</v>
      </c>
      <c r="B41" t="s">
        <v>200</v>
      </c>
      <c r="C41">
        <v>8</v>
      </c>
      <c r="D41">
        <v>7.0909000000000004</v>
      </c>
      <c r="E41">
        <v>0</v>
      </c>
      <c r="F41">
        <v>7.0909000000000004</v>
      </c>
      <c r="G41">
        <v>2600</v>
      </c>
      <c r="H41" t="s">
        <v>154</v>
      </c>
      <c r="I41">
        <v>2600</v>
      </c>
      <c r="J41">
        <v>4.5500000000000002E-3</v>
      </c>
      <c r="M41" t="s">
        <v>201</v>
      </c>
      <c r="P41" t="s">
        <v>201</v>
      </c>
      <c r="S41" t="s">
        <v>201</v>
      </c>
      <c r="V41" t="s">
        <v>201</v>
      </c>
      <c r="Y41" t="s">
        <v>201</v>
      </c>
    </row>
    <row r="42" spans="1:25" x14ac:dyDescent="0.25">
      <c r="A42">
        <v>39</v>
      </c>
      <c r="B42" t="s">
        <v>200</v>
      </c>
      <c r="C42">
        <v>9</v>
      </c>
      <c r="D42">
        <v>28</v>
      </c>
      <c r="E42">
        <v>0</v>
      </c>
      <c r="F42">
        <v>28</v>
      </c>
      <c r="G42">
        <v>2200</v>
      </c>
      <c r="H42" t="s">
        <v>149</v>
      </c>
      <c r="I42">
        <v>2200</v>
      </c>
      <c r="J42">
        <v>0</v>
      </c>
      <c r="M42" t="s">
        <v>201</v>
      </c>
      <c r="P42" t="s">
        <v>201</v>
      </c>
      <c r="S42" t="s">
        <v>201</v>
      </c>
      <c r="V42" t="s">
        <v>201</v>
      </c>
      <c r="Y42" t="s">
        <v>201</v>
      </c>
    </row>
    <row r="43" spans="1:25" x14ac:dyDescent="0.25">
      <c r="A43">
        <v>40</v>
      </c>
      <c r="B43" t="s">
        <v>200</v>
      </c>
      <c r="C43">
        <v>9</v>
      </c>
      <c r="D43">
        <v>6</v>
      </c>
      <c r="E43">
        <v>0</v>
      </c>
      <c r="F43">
        <v>6</v>
      </c>
      <c r="G43">
        <v>2200</v>
      </c>
      <c r="H43" t="s">
        <v>154</v>
      </c>
      <c r="I43">
        <v>2200</v>
      </c>
      <c r="J43">
        <v>3.8500000000000006E-3</v>
      </c>
      <c r="M43" t="s">
        <v>201</v>
      </c>
      <c r="P43" t="s">
        <v>201</v>
      </c>
      <c r="S43" t="s">
        <v>201</v>
      </c>
      <c r="V43" t="s">
        <v>201</v>
      </c>
      <c r="Y43" t="s">
        <v>201</v>
      </c>
    </row>
    <row r="44" spans="1:25" x14ac:dyDescent="0.25">
      <c r="A44">
        <v>41</v>
      </c>
      <c r="B44" t="s">
        <v>200</v>
      </c>
      <c r="C44">
        <v>9</v>
      </c>
      <c r="D44">
        <v>5.3357375713121442</v>
      </c>
      <c r="E44">
        <v>0</v>
      </c>
      <c r="F44">
        <v>5.3357375713121442</v>
      </c>
      <c r="G44">
        <v>2454</v>
      </c>
      <c r="H44" t="s">
        <v>149</v>
      </c>
      <c r="I44">
        <v>100</v>
      </c>
      <c r="J44">
        <v>0</v>
      </c>
      <c r="K44" t="s">
        <v>69</v>
      </c>
      <c r="L44">
        <v>2354</v>
      </c>
      <c r="M44">
        <v>0.81135433788552003</v>
      </c>
      <c r="P44" t="s">
        <v>201</v>
      </c>
      <c r="S44" t="s">
        <v>201</v>
      </c>
      <c r="V44" t="s">
        <v>201</v>
      </c>
      <c r="Y44" t="s">
        <v>201</v>
      </c>
    </row>
    <row r="45" spans="1:25" x14ac:dyDescent="0.25">
      <c r="A45">
        <v>42</v>
      </c>
      <c r="B45" t="s">
        <v>200</v>
      </c>
      <c r="C45">
        <v>9</v>
      </c>
      <c r="D45">
        <v>8</v>
      </c>
      <c r="E45">
        <v>0</v>
      </c>
      <c r="F45">
        <v>8</v>
      </c>
      <c r="G45">
        <v>2200</v>
      </c>
      <c r="H45" t="s">
        <v>153</v>
      </c>
      <c r="I45">
        <v>2200</v>
      </c>
      <c r="J45">
        <v>0</v>
      </c>
      <c r="M45" t="s">
        <v>201</v>
      </c>
      <c r="P45" t="s">
        <v>201</v>
      </c>
      <c r="S45" t="s">
        <v>201</v>
      </c>
      <c r="V45" t="s">
        <v>201</v>
      </c>
      <c r="Y45" t="s">
        <v>201</v>
      </c>
    </row>
    <row r="46" spans="1:25" x14ac:dyDescent="0.25">
      <c r="A46">
        <v>43</v>
      </c>
      <c r="B46" t="s">
        <v>200</v>
      </c>
      <c r="C46">
        <v>10</v>
      </c>
      <c r="D46">
        <v>6.4003094233473989</v>
      </c>
      <c r="E46">
        <v>0</v>
      </c>
      <c r="F46">
        <v>6.4003094233473989</v>
      </c>
      <c r="G46">
        <v>2133</v>
      </c>
      <c r="H46" t="s">
        <v>149</v>
      </c>
      <c r="I46">
        <v>100</v>
      </c>
      <c r="J46">
        <v>0</v>
      </c>
      <c r="K46" t="s">
        <v>69</v>
      </c>
      <c r="L46">
        <v>2033.0000000000002</v>
      </c>
      <c r="M46">
        <v>0.7007151099920399</v>
      </c>
      <c r="P46" t="s">
        <v>201</v>
      </c>
      <c r="S46" t="s">
        <v>201</v>
      </c>
      <c r="V46" t="s">
        <v>201</v>
      </c>
      <c r="Y46" t="s">
        <v>201</v>
      </c>
    </row>
    <row r="47" spans="1:25" x14ac:dyDescent="0.25">
      <c r="A47">
        <v>44</v>
      </c>
      <c r="B47" t="s">
        <v>200</v>
      </c>
      <c r="C47">
        <v>10</v>
      </c>
      <c r="D47">
        <v>28</v>
      </c>
      <c r="E47">
        <v>0</v>
      </c>
      <c r="F47">
        <v>28</v>
      </c>
      <c r="G47">
        <v>2000</v>
      </c>
      <c r="H47" t="s">
        <v>149</v>
      </c>
      <c r="I47">
        <v>2000</v>
      </c>
      <c r="J47">
        <v>0</v>
      </c>
      <c r="M47" t="s">
        <v>201</v>
      </c>
      <c r="P47" t="s">
        <v>201</v>
      </c>
      <c r="S47" t="s">
        <v>201</v>
      </c>
      <c r="V47" t="s">
        <v>201</v>
      </c>
      <c r="Y47" t="s">
        <v>201</v>
      </c>
    </row>
    <row r="48" spans="1:25" x14ac:dyDescent="0.25">
      <c r="A48">
        <v>45</v>
      </c>
      <c r="B48" t="s">
        <v>200</v>
      </c>
      <c r="C48">
        <v>10</v>
      </c>
      <c r="D48">
        <v>13</v>
      </c>
      <c r="E48">
        <v>0</v>
      </c>
      <c r="F48">
        <v>13</v>
      </c>
      <c r="G48">
        <v>2000</v>
      </c>
      <c r="H48" t="s">
        <v>153</v>
      </c>
      <c r="I48">
        <v>2000</v>
      </c>
      <c r="J48">
        <v>0</v>
      </c>
      <c r="M48" t="s">
        <v>201</v>
      </c>
      <c r="P48" t="s">
        <v>201</v>
      </c>
      <c r="S48" t="s">
        <v>201</v>
      </c>
      <c r="V48" t="s">
        <v>201</v>
      </c>
      <c r="Y48" t="s">
        <v>201</v>
      </c>
    </row>
    <row r="49" spans="1:25" x14ac:dyDescent="0.25">
      <c r="A49">
        <v>46</v>
      </c>
      <c r="B49" t="s">
        <v>200</v>
      </c>
      <c r="C49">
        <v>10</v>
      </c>
      <c r="D49">
        <v>5.4545000000000003</v>
      </c>
      <c r="E49">
        <v>0</v>
      </c>
      <c r="F49">
        <v>5.4545000000000003</v>
      </c>
      <c r="G49">
        <v>2000</v>
      </c>
      <c r="H49" t="s">
        <v>154</v>
      </c>
      <c r="I49">
        <v>2000</v>
      </c>
      <c r="J49">
        <v>3.5000000000000001E-3</v>
      </c>
      <c r="M49" t="s">
        <v>201</v>
      </c>
      <c r="P49" t="s">
        <v>201</v>
      </c>
      <c r="S49" t="s">
        <v>201</v>
      </c>
      <c r="V49" t="s">
        <v>201</v>
      </c>
      <c r="Y49" t="s">
        <v>201</v>
      </c>
    </row>
    <row r="50" spans="1:25" x14ac:dyDescent="0.25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t="s">
        <v>153</v>
      </c>
      <c r="I50">
        <v>14500</v>
      </c>
      <c r="J50">
        <v>0</v>
      </c>
    </row>
    <row r="51" spans="1:25" x14ac:dyDescent="0.25">
      <c r="A51">
        <v>48</v>
      </c>
      <c r="B51" t="s">
        <v>203</v>
      </c>
      <c r="C51">
        <v>11</v>
      </c>
      <c r="D51">
        <v>50.243366406803688</v>
      </c>
      <c r="E51">
        <v>0</v>
      </c>
      <c r="F51">
        <v>50.243366406803688</v>
      </c>
      <c r="G51">
        <v>14110</v>
      </c>
      <c r="H51" t="s">
        <v>149</v>
      </c>
      <c r="I51">
        <v>200</v>
      </c>
      <c r="J51">
        <v>0</v>
      </c>
      <c r="K51" t="s">
        <v>69</v>
      </c>
      <c r="L51">
        <v>13910</v>
      </c>
      <c r="M51">
        <v>4.7943665420507999</v>
      </c>
    </row>
    <row r="52" spans="1:25" x14ac:dyDescent="0.25">
      <c r="A52">
        <v>49</v>
      </c>
      <c r="B52" t="s">
        <v>203</v>
      </c>
      <c r="C52">
        <v>11</v>
      </c>
      <c r="D52">
        <v>48.915590008613265</v>
      </c>
      <c r="E52">
        <v>7</v>
      </c>
      <c r="F52">
        <v>41.915590008613265</v>
      </c>
      <c r="G52">
        <v>11610</v>
      </c>
      <c r="H52" t="s">
        <v>149</v>
      </c>
      <c r="I52">
        <v>110</v>
      </c>
      <c r="J52">
        <v>0</v>
      </c>
      <c r="K52" t="s">
        <v>159</v>
      </c>
      <c r="L52">
        <v>11000</v>
      </c>
      <c r="M52">
        <v>1.7027999999999999</v>
      </c>
      <c r="N52" t="s">
        <v>149</v>
      </c>
      <c r="O52">
        <v>500</v>
      </c>
      <c r="P52">
        <v>0</v>
      </c>
    </row>
    <row r="53" spans="1:25" x14ac:dyDescent="0.25">
      <c r="A53">
        <v>50</v>
      </c>
      <c r="B53" t="s">
        <v>203</v>
      </c>
      <c r="C53">
        <v>12</v>
      </c>
      <c r="D53">
        <v>46.588962605548851</v>
      </c>
      <c r="E53">
        <v>0.92237635705669485</v>
      </c>
      <c r="F53">
        <v>45.666586248492159</v>
      </c>
      <c r="G53">
        <v>16580</v>
      </c>
      <c r="H53" t="s">
        <v>149</v>
      </c>
      <c r="I53">
        <v>900</v>
      </c>
      <c r="J53">
        <v>0</v>
      </c>
      <c r="K53" t="s">
        <v>158</v>
      </c>
      <c r="L53">
        <v>7100</v>
      </c>
      <c r="M53">
        <v>1.66625</v>
      </c>
      <c r="N53" t="s">
        <v>155</v>
      </c>
      <c r="O53">
        <v>8580</v>
      </c>
      <c r="P53">
        <v>1.7689375000000001</v>
      </c>
    </row>
    <row r="54" spans="1:25" x14ac:dyDescent="0.25">
      <c r="A54">
        <v>51</v>
      </c>
      <c r="B54" t="s">
        <v>203</v>
      </c>
      <c r="C54">
        <v>12</v>
      </c>
      <c r="D54">
        <v>37.427087814458055</v>
      </c>
      <c r="E54">
        <v>0</v>
      </c>
      <c r="F54">
        <v>37.427087814458055</v>
      </c>
      <c r="G54">
        <v>21386</v>
      </c>
      <c r="H54" t="s">
        <v>149</v>
      </c>
      <c r="I54">
        <v>200</v>
      </c>
      <c r="J54">
        <v>0</v>
      </c>
      <c r="K54" t="s">
        <v>69</v>
      </c>
      <c r="L54">
        <v>21186</v>
      </c>
      <c r="M54">
        <v>7.3021890409696795</v>
      </c>
    </row>
    <row r="55" spans="1:25" x14ac:dyDescent="0.25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t="s">
        <v>153</v>
      </c>
      <c r="I55">
        <v>15000</v>
      </c>
      <c r="J55">
        <v>0</v>
      </c>
    </row>
    <row r="56" spans="1:25" x14ac:dyDescent="0.25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t="s">
        <v>153</v>
      </c>
      <c r="I56">
        <v>14900</v>
      </c>
      <c r="J56">
        <v>0</v>
      </c>
    </row>
    <row r="57" spans="1:25" x14ac:dyDescent="0.25">
      <c r="A57">
        <v>54</v>
      </c>
      <c r="B57" t="s">
        <v>203</v>
      </c>
      <c r="C57">
        <v>14</v>
      </c>
      <c r="D57">
        <v>42.762039045553152</v>
      </c>
      <c r="E57">
        <v>0</v>
      </c>
      <c r="F57">
        <v>42.762039045553152</v>
      </c>
      <c r="G57">
        <v>14752</v>
      </c>
      <c r="H57" t="s">
        <v>149</v>
      </c>
      <c r="I57">
        <v>200</v>
      </c>
      <c r="J57">
        <v>0</v>
      </c>
      <c r="K57" t="s">
        <v>69</v>
      </c>
      <c r="L57">
        <v>14552</v>
      </c>
      <c r="M57">
        <v>5.01564499783776</v>
      </c>
    </row>
    <row r="58" spans="1:25" x14ac:dyDescent="0.25">
      <c r="A58">
        <v>55</v>
      </c>
      <c r="B58" t="s">
        <v>203</v>
      </c>
      <c r="C58">
        <v>14</v>
      </c>
      <c r="D58">
        <v>78.24446161772282</v>
      </c>
      <c r="E58">
        <v>18.265842349304481</v>
      </c>
      <c r="F58">
        <v>59.978619268418342</v>
      </c>
      <c r="G58">
        <v>19410</v>
      </c>
      <c r="H58" t="s">
        <v>149</v>
      </c>
      <c r="I58">
        <v>910</v>
      </c>
      <c r="J58">
        <v>0</v>
      </c>
      <c r="K58" t="s">
        <v>155</v>
      </c>
      <c r="L58">
        <v>5000</v>
      </c>
      <c r="M58">
        <v>1.7689375000000001</v>
      </c>
      <c r="N58" t="s">
        <v>158</v>
      </c>
      <c r="O58">
        <v>13500</v>
      </c>
      <c r="P58">
        <v>1.66625</v>
      </c>
    </row>
    <row r="59" spans="1:25" x14ac:dyDescent="0.25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t="s">
        <v>153</v>
      </c>
      <c r="I59">
        <v>15200</v>
      </c>
      <c r="J59">
        <v>0</v>
      </c>
    </row>
    <row r="60" spans="1:25" x14ac:dyDescent="0.25">
      <c r="A60">
        <v>57</v>
      </c>
      <c r="B60" t="s">
        <v>203</v>
      </c>
      <c r="C60">
        <v>15</v>
      </c>
      <c r="D60">
        <v>47.041414790996789</v>
      </c>
      <c r="E60">
        <v>0</v>
      </c>
      <c r="F60">
        <v>47.041414790996789</v>
      </c>
      <c r="G60">
        <v>23947</v>
      </c>
      <c r="H60" t="s">
        <v>149</v>
      </c>
      <c r="I60">
        <v>300</v>
      </c>
      <c r="J60">
        <v>0</v>
      </c>
      <c r="K60" t="s">
        <v>69</v>
      </c>
      <c r="L60">
        <v>23647</v>
      </c>
      <c r="M60">
        <v>8.1504231214863587</v>
      </c>
    </row>
    <row r="61" spans="1:25" x14ac:dyDescent="0.25">
      <c r="A61">
        <v>58</v>
      </c>
      <c r="B61" t="s">
        <v>203</v>
      </c>
      <c r="C61">
        <v>15</v>
      </c>
      <c r="D61">
        <v>57.601683501683503</v>
      </c>
      <c r="E61">
        <v>7.2323232323232318</v>
      </c>
      <c r="F61">
        <v>50.369360269360271</v>
      </c>
      <c r="G61">
        <v>14850</v>
      </c>
      <c r="H61" t="s">
        <v>149</v>
      </c>
      <c r="I61">
        <v>350</v>
      </c>
      <c r="J61">
        <v>0</v>
      </c>
      <c r="K61" t="s">
        <v>155</v>
      </c>
      <c r="L61">
        <v>9500</v>
      </c>
      <c r="M61">
        <v>1.7689375000000001</v>
      </c>
      <c r="N61" t="s">
        <v>158</v>
      </c>
      <c r="O61">
        <v>5000</v>
      </c>
      <c r="P61">
        <v>1.66625</v>
      </c>
    </row>
    <row r="62" spans="1:25" x14ac:dyDescent="0.25">
      <c r="A62">
        <v>59</v>
      </c>
      <c r="B62" t="s">
        <v>202</v>
      </c>
      <c r="C62">
        <v>17</v>
      </c>
      <c r="D62">
        <v>205.99985407725319</v>
      </c>
      <c r="E62">
        <v>57.388847639484972</v>
      </c>
      <c r="F62">
        <v>148.61100643776822</v>
      </c>
      <c r="G62">
        <v>233000</v>
      </c>
      <c r="H62" t="s">
        <v>149</v>
      </c>
      <c r="I62">
        <v>500</v>
      </c>
      <c r="J62">
        <v>0</v>
      </c>
      <c r="K62" t="s">
        <v>158</v>
      </c>
      <c r="L62">
        <v>6000</v>
      </c>
      <c r="M62">
        <v>1.66625</v>
      </c>
      <c r="N62" t="s">
        <v>160</v>
      </c>
      <c r="O62">
        <v>183920</v>
      </c>
      <c r="P62">
        <v>28.470815999999996</v>
      </c>
      <c r="Q62" t="s">
        <v>159</v>
      </c>
      <c r="R62">
        <v>42180</v>
      </c>
      <c r="S62">
        <v>6.5294639999999999</v>
      </c>
      <c r="T62" t="s">
        <v>155</v>
      </c>
      <c r="U62">
        <v>1870</v>
      </c>
      <c r="V62">
        <v>1.7689375000000001</v>
      </c>
      <c r="W62" t="s">
        <v>149</v>
      </c>
      <c r="X62">
        <v>400</v>
      </c>
      <c r="Y62">
        <v>0</v>
      </c>
    </row>
    <row r="63" spans="1:25" x14ac:dyDescent="0.25">
      <c r="A63">
        <v>60</v>
      </c>
      <c r="B63" t="s">
        <v>202</v>
      </c>
      <c r="C63">
        <v>17</v>
      </c>
      <c r="D63">
        <v>181.87463362643223</v>
      </c>
      <c r="E63">
        <v>0</v>
      </c>
      <c r="F63">
        <v>181.87463362643223</v>
      </c>
      <c r="G63">
        <v>187650</v>
      </c>
      <c r="H63" t="s">
        <v>149</v>
      </c>
      <c r="I63">
        <v>400</v>
      </c>
      <c r="J63">
        <v>0</v>
      </c>
      <c r="K63" t="s">
        <v>69</v>
      </c>
      <c r="L63">
        <v>187250</v>
      </c>
      <c r="M63">
        <v>64.539549604529995</v>
      </c>
      <c r="P63" t="s">
        <v>201</v>
      </c>
      <c r="S63" t="s">
        <v>201</v>
      </c>
      <c r="V63" t="s">
        <v>201</v>
      </c>
      <c r="Y63" t="s">
        <v>201</v>
      </c>
    </row>
    <row r="64" spans="1:25" x14ac:dyDescent="0.25">
      <c r="A64">
        <v>61</v>
      </c>
      <c r="B64" t="s">
        <v>202</v>
      </c>
      <c r="C64">
        <v>18</v>
      </c>
      <c r="D64">
        <v>224.2513909812877</v>
      </c>
      <c r="E64">
        <v>55.953403319813219</v>
      </c>
      <c r="F64">
        <v>168.29798766147448</v>
      </c>
      <c r="G64">
        <v>234712</v>
      </c>
      <c r="H64" t="s">
        <v>149</v>
      </c>
      <c r="I64">
        <v>500</v>
      </c>
      <c r="J64">
        <v>0</v>
      </c>
      <c r="K64" t="s">
        <v>158</v>
      </c>
      <c r="L64">
        <v>6000</v>
      </c>
      <c r="M64">
        <v>1.66625</v>
      </c>
      <c r="N64" t="s">
        <v>160</v>
      </c>
      <c r="O64">
        <v>183920</v>
      </c>
      <c r="P64">
        <v>28.470815999999996</v>
      </c>
      <c r="Q64" t="s">
        <v>159</v>
      </c>
      <c r="R64">
        <v>42690</v>
      </c>
      <c r="S64">
        <v>6.6084119999999995</v>
      </c>
      <c r="T64" t="s">
        <v>155</v>
      </c>
      <c r="U64">
        <v>1302</v>
      </c>
      <c r="V64">
        <v>1.7689375000000001</v>
      </c>
      <c r="W64" t="s">
        <v>149</v>
      </c>
      <c r="X64">
        <v>300</v>
      </c>
      <c r="Y64">
        <v>0</v>
      </c>
    </row>
    <row r="65" spans="1:25" x14ac:dyDescent="0.25">
      <c r="A65">
        <v>62</v>
      </c>
      <c r="B65" t="s">
        <v>202</v>
      </c>
      <c r="C65">
        <v>18</v>
      </c>
      <c r="D65">
        <v>171.17542512342297</v>
      </c>
      <c r="E65">
        <v>0</v>
      </c>
      <c r="F65">
        <v>171.17542512342297</v>
      </c>
      <c r="G65">
        <v>182300</v>
      </c>
      <c r="H65" t="s">
        <v>149</v>
      </c>
      <c r="I65">
        <v>400</v>
      </c>
      <c r="J65">
        <v>0</v>
      </c>
      <c r="K65" t="s">
        <v>69</v>
      </c>
      <c r="L65">
        <v>181900</v>
      </c>
      <c r="M65">
        <v>62.695562472972</v>
      </c>
      <c r="P65" t="s">
        <v>201</v>
      </c>
      <c r="S65" t="s">
        <v>201</v>
      </c>
      <c r="V65" t="s">
        <v>201</v>
      </c>
      <c r="Y65" t="s">
        <v>201</v>
      </c>
    </row>
    <row r="66" spans="1:25" x14ac:dyDescent="0.25">
      <c r="A66">
        <v>63</v>
      </c>
      <c r="B66" t="s">
        <v>202</v>
      </c>
      <c r="C66">
        <v>19</v>
      </c>
      <c r="D66">
        <v>160.47709548999291</v>
      </c>
      <c r="E66">
        <v>0</v>
      </c>
      <c r="F66">
        <v>160.47709548999291</v>
      </c>
      <c r="G66">
        <v>183370</v>
      </c>
      <c r="H66" t="s">
        <v>149</v>
      </c>
      <c r="I66">
        <v>400</v>
      </c>
      <c r="J66">
        <v>0</v>
      </c>
      <c r="K66" t="s">
        <v>69</v>
      </c>
      <c r="L66">
        <v>182970</v>
      </c>
      <c r="M66">
        <v>63.064359899283595</v>
      </c>
      <c r="P66" t="s">
        <v>201</v>
      </c>
      <c r="S66" t="s">
        <v>201</v>
      </c>
      <c r="V66" t="s">
        <v>201</v>
      </c>
      <c r="Y66" t="s">
        <v>201</v>
      </c>
    </row>
    <row r="67" spans="1:25" x14ac:dyDescent="0.25">
      <c r="A67">
        <v>64</v>
      </c>
      <c r="B67" t="s">
        <v>202</v>
      </c>
      <c r="C67">
        <v>22</v>
      </c>
      <c r="D67">
        <v>257.68605019647606</v>
      </c>
      <c r="E67">
        <v>74.759950564076561</v>
      </c>
      <c r="F67">
        <v>182.92609963239951</v>
      </c>
      <c r="G67">
        <v>236670</v>
      </c>
      <c r="H67" t="s">
        <v>149</v>
      </c>
      <c r="I67">
        <v>450</v>
      </c>
      <c r="J67">
        <v>0</v>
      </c>
      <c r="K67" t="s">
        <v>155</v>
      </c>
      <c r="L67">
        <v>5050</v>
      </c>
      <c r="M67">
        <v>1.7689375000000001</v>
      </c>
      <c r="N67" t="s">
        <v>160</v>
      </c>
      <c r="O67">
        <v>187470</v>
      </c>
      <c r="P67">
        <v>29.020356</v>
      </c>
      <c r="Q67" t="s">
        <v>159</v>
      </c>
      <c r="R67">
        <v>43300</v>
      </c>
      <c r="S67">
        <v>6.7028399999999992</v>
      </c>
      <c r="T67" t="s">
        <v>149</v>
      </c>
      <c r="U67">
        <v>400</v>
      </c>
      <c r="V67">
        <v>0</v>
      </c>
      <c r="Y67" t="s">
        <v>201</v>
      </c>
    </row>
    <row r="68" spans="1:25" x14ac:dyDescent="0.25">
      <c r="A68">
        <v>65</v>
      </c>
      <c r="B68" t="s">
        <v>202</v>
      </c>
      <c r="C68">
        <v>22</v>
      </c>
      <c r="D68">
        <v>246.06528489030242</v>
      </c>
      <c r="E68">
        <v>0</v>
      </c>
      <c r="F68">
        <v>246.06528489030242</v>
      </c>
      <c r="G68">
        <v>185510</v>
      </c>
      <c r="H68" t="s">
        <v>149</v>
      </c>
      <c r="I68">
        <v>400</v>
      </c>
      <c r="J68">
        <v>0</v>
      </c>
      <c r="K68" t="s">
        <v>69</v>
      </c>
      <c r="L68">
        <v>185110</v>
      </c>
      <c r="M68">
        <v>63.801954751906798</v>
      </c>
      <c r="P68" t="s">
        <v>201</v>
      </c>
      <c r="S68" t="s">
        <v>201</v>
      </c>
      <c r="V68" t="s">
        <v>201</v>
      </c>
      <c r="Y68" t="s">
        <v>201</v>
      </c>
    </row>
    <row r="69" spans="1:25" x14ac:dyDescent="0.25">
      <c r="A69">
        <v>66</v>
      </c>
      <c r="B69" t="s">
        <v>202</v>
      </c>
      <c r="C69">
        <v>23</v>
      </c>
      <c r="D69">
        <v>160.47735971106678</v>
      </c>
      <c r="E69">
        <v>0</v>
      </c>
      <c r="F69">
        <v>160.47735971106678</v>
      </c>
      <c r="G69">
        <v>185510</v>
      </c>
      <c r="H69" t="s">
        <v>149</v>
      </c>
      <c r="I69">
        <v>400</v>
      </c>
      <c r="J69">
        <v>0</v>
      </c>
      <c r="K69" t="s">
        <v>69</v>
      </c>
      <c r="L69">
        <v>185110</v>
      </c>
      <c r="M69">
        <v>63.801954751906798</v>
      </c>
      <c r="P69" t="s">
        <v>201</v>
      </c>
      <c r="S69" t="s">
        <v>201</v>
      </c>
      <c r="V69" t="s">
        <v>201</v>
      </c>
      <c r="Y69" t="s">
        <v>201</v>
      </c>
    </row>
    <row r="70" spans="1:25" x14ac:dyDescent="0.25">
      <c r="A70">
        <v>67</v>
      </c>
      <c r="B70" t="s">
        <v>203</v>
      </c>
      <c r="C70">
        <v>24</v>
      </c>
      <c r="D70">
        <v>36.545499999999997</v>
      </c>
      <c r="E70">
        <v>0</v>
      </c>
      <c r="F70">
        <v>36.545499999999997</v>
      </c>
      <c r="G70">
        <v>13400</v>
      </c>
      <c r="H70" t="s">
        <v>154</v>
      </c>
      <c r="I70">
        <v>13400</v>
      </c>
      <c r="J70">
        <v>2.3450000000000002E-2</v>
      </c>
      <c r="M70" t="s">
        <v>201</v>
      </c>
      <c r="P70" t="s">
        <v>201</v>
      </c>
      <c r="S70" t="s">
        <v>201</v>
      </c>
      <c r="V70" t="s">
        <v>201</v>
      </c>
      <c r="Y70" t="s">
        <v>201</v>
      </c>
    </row>
    <row r="71" spans="1:25" x14ac:dyDescent="0.25">
      <c r="A71">
        <v>68</v>
      </c>
      <c r="B71" t="s">
        <v>203</v>
      </c>
      <c r="C71">
        <v>24</v>
      </c>
      <c r="D71">
        <v>26.724812895797349</v>
      </c>
      <c r="E71">
        <v>0</v>
      </c>
      <c r="F71">
        <v>26.724812895797349</v>
      </c>
      <c r="G71">
        <v>13896</v>
      </c>
      <c r="H71" t="s">
        <v>149</v>
      </c>
      <c r="I71">
        <v>200</v>
      </c>
      <c r="J71">
        <v>0</v>
      </c>
      <c r="K71" t="s">
        <v>69</v>
      </c>
      <c r="L71">
        <v>13696</v>
      </c>
      <c r="M71">
        <v>4.7206070567884799</v>
      </c>
      <c r="P71" t="s">
        <v>201</v>
      </c>
      <c r="S71" t="s">
        <v>201</v>
      </c>
      <c r="V71" t="s">
        <v>201</v>
      </c>
      <c r="Y71" t="s">
        <v>201</v>
      </c>
    </row>
    <row r="72" spans="1:25" x14ac:dyDescent="0.25">
      <c r="A72">
        <v>69</v>
      </c>
      <c r="B72" t="s">
        <v>203</v>
      </c>
      <c r="C72">
        <v>24</v>
      </c>
      <c r="D72">
        <v>45</v>
      </c>
      <c r="E72">
        <v>0</v>
      </c>
      <c r="F72">
        <v>45</v>
      </c>
      <c r="G72">
        <v>13400</v>
      </c>
      <c r="H72" t="s">
        <v>153</v>
      </c>
      <c r="I72">
        <v>13400</v>
      </c>
      <c r="J72">
        <v>0</v>
      </c>
      <c r="M72" t="s">
        <v>201</v>
      </c>
      <c r="P72" t="s">
        <v>201</v>
      </c>
      <c r="S72" t="s">
        <v>201</v>
      </c>
      <c r="V72" t="s">
        <v>201</v>
      </c>
      <c r="Y72" t="s">
        <v>201</v>
      </c>
    </row>
    <row r="73" spans="1:25" x14ac:dyDescent="0.25">
      <c r="A73">
        <v>70</v>
      </c>
      <c r="B73" t="s">
        <v>203</v>
      </c>
      <c r="C73">
        <v>24</v>
      </c>
      <c r="D73">
        <v>79.304528985507261</v>
      </c>
      <c r="E73">
        <v>25.095652173913045</v>
      </c>
      <c r="F73">
        <v>54.208876811594209</v>
      </c>
      <c r="G73">
        <v>13800</v>
      </c>
      <c r="H73" t="s">
        <v>149</v>
      </c>
      <c r="I73">
        <v>2150</v>
      </c>
      <c r="J73">
        <v>0</v>
      </c>
      <c r="K73" t="s">
        <v>159</v>
      </c>
      <c r="L73">
        <v>8450</v>
      </c>
      <c r="M73">
        <v>1.3080599999999998</v>
      </c>
      <c r="N73" t="s">
        <v>155</v>
      </c>
      <c r="O73">
        <v>3200</v>
      </c>
      <c r="P73">
        <v>1.7689375000000001</v>
      </c>
      <c r="S73" t="s">
        <v>201</v>
      </c>
      <c r="V73" t="s">
        <v>201</v>
      </c>
      <c r="Y73" t="s">
        <v>201</v>
      </c>
    </row>
    <row r="74" spans="1:25" x14ac:dyDescent="0.25">
      <c r="A74">
        <v>71</v>
      </c>
      <c r="B74" t="s">
        <v>203</v>
      </c>
      <c r="C74">
        <v>25</v>
      </c>
      <c r="D74">
        <v>40</v>
      </c>
      <c r="E74">
        <v>0</v>
      </c>
      <c r="F74">
        <v>40</v>
      </c>
      <c r="G74">
        <v>12200</v>
      </c>
      <c r="H74" t="s">
        <v>153</v>
      </c>
      <c r="I74">
        <v>12200</v>
      </c>
      <c r="J74">
        <v>0</v>
      </c>
      <c r="M74" t="s">
        <v>201</v>
      </c>
      <c r="P74" t="s">
        <v>201</v>
      </c>
      <c r="S74" t="s">
        <v>201</v>
      </c>
      <c r="V74" t="s">
        <v>201</v>
      </c>
      <c r="Y74" t="s">
        <v>201</v>
      </c>
    </row>
    <row r="75" spans="1:25" x14ac:dyDescent="0.25">
      <c r="A75">
        <v>72</v>
      </c>
      <c r="B75" t="s">
        <v>203</v>
      </c>
      <c r="C75">
        <v>25</v>
      </c>
      <c r="D75">
        <v>103.94070588235294</v>
      </c>
      <c r="E75">
        <v>28.870588235294118</v>
      </c>
      <c r="F75">
        <v>75.070117647058822</v>
      </c>
      <c r="G75">
        <v>12750</v>
      </c>
      <c r="H75" t="s">
        <v>149</v>
      </c>
      <c r="I75">
        <v>1950</v>
      </c>
      <c r="J75">
        <v>0</v>
      </c>
      <c r="K75" t="s">
        <v>156</v>
      </c>
      <c r="L75">
        <v>7600</v>
      </c>
      <c r="M75">
        <v>1.66625</v>
      </c>
      <c r="N75" t="s">
        <v>155</v>
      </c>
      <c r="O75">
        <v>3200</v>
      </c>
      <c r="P75">
        <v>1.7689375000000001</v>
      </c>
      <c r="S75" t="s">
        <v>201</v>
      </c>
      <c r="V75" t="s">
        <v>201</v>
      </c>
      <c r="Y75" t="s">
        <v>201</v>
      </c>
    </row>
    <row r="76" spans="1:25" x14ac:dyDescent="0.25">
      <c r="A76">
        <v>73</v>
      </c>
      <c r="B76" t="s">
        <v>203</v>
      </c>
      <c r="C76">
        <v>25</v>
      </c>
      <c r="D76">
        <v>29.932005998714565</v>
      </c>
      <c r="E76">
        <v>0</v>
      </c>
      <c r="F76">
        <v>29.932005998714565</v>
      </c>
      <c r="G76">
        <v>14003</v>
      </c>
      <c r="H76" t="s">
        <v>149</v>
      </c>
      <c r="I76">
        <v>200</v>
      </c>
      <c r="J76">
        <v>0</v>
      </c>
      <c r="K76" t="s">
        <v>69</v>
      </c>
      <c r="L76">
        <v>13803</v>
      </c>
      <c r="M76">
        <v>4.7574867994196399</v>
      </c>
      <c r="P76" t="s">
        <v>201</v>
      </c>
      <c r="S76" t="s">
        <v>201</v>
      </c>
      <c r="V76" t="s">
        <v>201</v>
      </c>
      <c r="Y76" t="s">
        <v>201</v>
      </c>
    </row>
    <row r="77" spans="1:25" x14ac:dyDescent="0.25">
      <c r="A77">
        <v>74</v>
      </c>
      <c r="B77" t="s">
        <v>203</v>
      </c>
      <c r="C77">
        <v>25</v>
      </c>
      <c r="D77">
        <v>33.2727</v>
      </c>
      <c r="E77">
        <v>0</v>
      </c>
      <c r="F77">
        <v>33.2727</v>
      </c>
      <c r="G77">
        <v>12200</v>
      </c>
      <c r="H77" t="s">
        <v>154</v>
      </c>
      <c r="I77">
        <v>12200</v>
      </c>
      <c r="J77">
        <v>2.1350000000000001E-2</v>
      </c>
      <c r="M77" t="s">
        <v>201</v>
      </c>
      <c r="P77" t="s">
        <v>201</v>
      </c>
      <c r="S77" t="s">
        <v>201</v>
      </c>
      <c r="V77" t="s">
        <v>201</v>
      </c>
      <c r="Y77" t="s">
        <v>201</v>
      </c>
    </row>
    <row r="78" spans="1:25" x14ac:dyDescent="0.25">
      <c r="A78">
        <v>75</v>
      </c>
      <c r="B78" t="s">
        <v>203</v>
      </c>
      <c r="C78">
        <v>26</v>
      </c>
      <c r="D78">
        <v>39.2727</v>
      </c>
      <c r="E78">
        <v>0</v>
      </c>
      <c r="F78">
        <v>39.2727</v>
      </c>
      <c r="G78">
        <v>14400</v>
      </c>
      <c r="H78" t="s">
        <v>154</v>
      </c>
      <c r="I78">
        <v>14400</v>
      </c>
      <c r="J78">
        <v>2.52E-2</v>
      </c>
      <c r="M78" t="s">
        <v>201</v>
      </c>
      <c r="P78" t="s">
        <v>201</v>
      </c>
      <c r="S78" t="s">
        <v>201</v>
      </c>
      <c r="V78" t="s">
        <v>201</v>
      </c>
      <c r="Y78" t="s">
        <v>201</v>
      </c>
    </row>
    <row r="79" spans="1:25" x14ac:dyDescent="0.25">
      <c r="A79">
        <v>76</v>
      </c>
      <c r="B79" t="s">
        <v>203</v>
      </c>
      <c r="C79">
        <v>26</v>
      </c>
      <c r="D79">
        <v>49</v>
      </c>
      <c r="E79">
        <v>0</v>
      </c>
      <c r="F79">
        <v>49</v>
      </c>
      <c r="G79">
        <v>14400</v>
      </c>
      <c r="H79" t="s">
        <v>153</v>
      </c>
      <c r="I79">
        <v>14400</v>
      </c>
      <c r="J79">
        <v>0</v>
      </c>
      <c r="M79" t="s">
        <v>201</v>
      </c>
      <c r="P79" t="s">
        <v>201</v>
      </c>
      <c r="S79" t="s">
        <v>201</v>
      </c>
      <c r="V79" t="s">
        <v>201</v>
      </c>
      <c r="Y79" t="s">
        <v>201</v>
      </c>
    </row>
    <row r="80" spans="1:25" x14ac:dyDescent="0.25">
      <c r="A80">
        <v>77</v>
      </c>
      <c r="B80" t="s">
        <v>203</v>
      </c>
      <c r="C80">
        <v>26</v>
      </c>
      <c r="D80">
        <v>83.846363636363634</v>
      </c>
      <c r="E80">
        <v>39.215909090909093</v>
      </c>
      <c r="F80">
        <v>44.630454545454548</v>
      </c>
      <c r="G80">
        <v>17600</v>
      </c>
      <c r="H80" t="s">
        <v>149</v>
      </c>
      <c r="I80">
        <v>1600</v>
      </c>
      <c r="J80">
        <v>0</v>
      </c>
      <c r="K80" t="s">
        <v>159</v>
      </c>
      <c r="L80">
        <v>13700</v>
      </c>
      <c r="M80">
        <v>2.1207599999999998</v>
      </c>
      <c r="N80" t="s">
        <v>155</v>
      </c>
      <c r="O80">
        <v>2300</v>
      </c>
      <c r="P80">
        <v>1.7689375000000001</v>
      </c>
      <c r="S80" t="s">
        <v>201</v>
      </c>
      <c r="V80" t="s">
        <v>201</v>
      </c>
      <c r="Y80" t="s">
        <v>201</v>
      </c>
    </row>
    <row r="81" spans="1:25" x14ac:dyDescent="0.25">
      <c r="A81">
        <v>78</v>
      </c>
      <c r="B81" t="s">
        <v>203</v>
      </c>
      <c r="C81">
        <v>26</v>
      </c>
      <c r="D81">
        <v>18.175544217687079</v>
      </c>
      <c r="E81">
        <v>0</v>
      </c>
      <c r="F81">
        <v>18.175544217687079</v>
      </c>
      <c r="G81">
        <v>16464</v>
      </c>
      <c r="H81" t="s">
        <v>149</v>
      </c>
      <c r="I81">
        <v>200</v>
      </c>
      <c r="J81">
        <v>0</v>
      </c>
      <c r="K81" t="s">
        <v>69</v>
      </c>
      <c r="L81">
        <v>16264.000000000002</v>
      </c>
      <c r="M81">
        <v>5.6057208799363192</v>
      </c>
      <c r="P81" t="s">
        <v>201</v>
      </c>
      <c r="S81" t="s">
        <v>201</v>
      </c>
      <c r="V81" t="s">
        <v>201</v>
      </c>
      <c r="Y81" t="s">
        <v>201</v>
      </c>
    </row>
    <row r="82" spans="1:25" x14ac:dyDescent="0.25">
      <c r="A82">
        <v>79</v>
      </c>
      <c r="B82" t="s">
        <v>203</v>
      </c>
      <c r="C82">
        <v>27</v>
      </c>
      <c r="D82">
        <v>36.545499999999997</v>
      </c>
      <c r="E82">
        <v>0</v>
      </c>
      <c r="F82">
        <v>36.545499999999997</v>
      </c>
      <c r="G82">
        <v>13400</v>
      </c>
      <c r="H82" t="s">
        <v>154</v>
      </c>
      <c r="I82">
        <v>13400</v>
      </c>
      <c r="J82">
        <v>2.3450000000000002E-2</v>
      </c>
      <c r="M82" t="s">
        <v>201</v>
      </c>
      <c r="P82" t="s">
        <v>201</v>
      </c>
      <c r="S82" t="s">
        <v>201</v>
      </c>
      <c r="V82" t="s">
        <v>201</v>
      </c>
      <c r="Y82" t="s">
        <v>201</v>
      </c>
    </row>
    <row r="83" spans="1:25" x14ac:dyDescent="0.25">
      <c r="A83">
        <v>80</v>
      </c>
      <c r="B83" t="s">
        <v>203</v>
      </c>
      <c r="C83">
        <v>27</v>
      </c>
      <c r="D83">
        <v>24.59345323741007</v>
      </c>
      <c r="E83">
        <v>0</v>
      </c>
      <c r="F83">
        <v>24.59345323741007</v>
      </c>
      <c r="G83">
        <v>19460</v>
      </c>
      <c r="H83" t="s">
        <v>149</v>
      </c>
      <c r="I83">
        <v>200</v>
      </c>
      <c r="J83">
        <v>0</v>
      </c>
      <c r="K83" t="s">
        <v>69</v>
      </c>
      <c r="L83">
        <v>19260</v>
      </c>
      <c r="M83">
        <v>6.6383536736088002</v>
      </c>
      <c r="P83" t="s">
        <v>201</v>
      </c>
      <c r="S83" t="s">
        <v>201</v>
      </c>
      <c r="V83" t="s">
        <v>201</v>
      </c>
      <c r="Y83" t="s">
        <v>201</v>
      </c>
    </row>
    <row r="84" spans="1:25" x14ac:dyDescent="0.25">
      <c r="A84">
        <v>81</v>
      </c>
      <c r="B84" t="s">
        <v>203</v>
      </c>
      <c r="C84">
        <v>27</v>
      </c>
      <c r="D84">
        <v>44</v>
      </c>
      <c r="E84">
        <v>0</v>
      </c>
      <c r="F84">
        <v>44</v>
      </c>
      <c r="G84">
        <v>13400</v>
      </c>
      <c r="H84" t="s">
        <v>153</v>
      </c>
      <c r="I84">
        <v>13400</v>
      </c>
      <c r="J84">
        <v>0</v>
      </c>
      <c r="M84" t="s">
        <v>201</v>
      </c>
      <c r="P84" t="s">
        <v>201</v>
      </c>
      <c r="S84" t="s">
        <v>201</v>
      </c>
      <c r="V84" t="s">
        <v>201</v>
      </c>
      <c r="Y84" t="s">
        <v>201</v>
      </c>
    </row>
    <row r="85" spans="1:25" x14ac:dyDescent="0.25">
      <c r="A85">
        <v>82</v>
      </c>
      <c r="B85" t="s">
        <v>203</v>
      </c>
      <c r="C85">
        <v>28</v>
      </c>
      <c r="D85">
        <v>46</v>
      </c>
      <c r="E85">
        <v>0</v>
      </c>
      <c r="F85">
        <v>46</v>
      </c>
      <c r="G85">
        <v>13100</v>
      </c>
      <c r="H85" t="s">
        <v>153</v>
      </c>
      <c r="I85">
        <v>13100</v>
      </c>
      <c r="J85">
        <v>0</v>
      </c>
      <c r="M85" t="s">
        <v>201</v>
      </c>
      <c r="P85" t="s">
        <v>201</v>
      </c>
      <c r="S85" t="s">
        <v>201</v>
      </c>
      <c r="V85" t="s">
        <v>201</v>
      </c>
      <c r="Y85" t="s">
        <v>201</v>
      </c>
    </row>
    <row r="86" spans="1:25" x14ac:dyDescent="0.25">
      <c r="A86">
        <v>83</v>
      </c>
      <c r="B86" t="s">
        <v>203</v>
      </c>
      <c r="C86">
        <v>28</v>
      </c>
      <c r="D86">
        <v>108.33908883826876</v>
      </c>
      <c r="E86">
        <v>13.493166287015944</v>
      </c>
      <c r="F86">
        <v>94.845922551252826</v>
      </c>
      <c r="G86">
        <v>26340</v>
      </c>
      <c r="H86" t="s">
        <v>149</v>
      </c>
      <c r="I86">
        <v>300</v>
      </c>
      <c r="J86">
        <v>0</v>
      </c>
      <c r="K86" t="s">
        <v>155</v>
      </c>
      <c r="L86">
        <v>12900</v>
      </c>
      <c r="M86">
        <v>1.7689375000000001</v>
      </c>
      <c r="N86" t="s">
        <v>159</v>
      </c>
      <c r="O86">
        <v>8400</v>
      </c>
      <c r="P86">
        <v>1.3003199999999999</v>
      </c>
      <c r="Q86" t="s">
        <v>155</v>
      </c>
      <c r="R86">
        <v>4740</v>
      </c>
      <c r="S86">
        <v>1.7689375000000001</v>
      </c>
      <c r="V86" t="s">
        <v>201</v>
      </c>
      <c r="Y86" t="s">
        <v>201</v>
      </c>
    </row>
    <row r="87" spans="1:25" x14ac:dyDescent="0.25">
      <c r="A87">
        <v>84</v>
      </c>
      <c r="B87" t="s">
        <v>203</v>
      </c>
      <c r="C87">
        <v>28</v>
      </c>
      <c r="D87">
        <v>39.536131447587351</v>
      </c>
      <c r="E87">
        <v>0</v>
      </c>
      <c r="F87">
        <v>39.536131447587351</v>
      </c>
      <c r="G87">
        <v>19232</v>
      </c>
      <c r="H87" t="s">
        <v>149</v>
      </c>
      <c r="I87">
        <v>400</v>
      </c>
      <c r="J87">
        <v>0</v>
      </c>
      <c r="K87" t="s">
        <v>69</v>
      </c>
      <c r="L87">
        <v>18832</v>
      </c>
      <c r="M87">
        <v>6.4908347030841602</v>
      </c>
      <c r="P87" t="s">
        <v>201</v>
      </c>
      <c r="S87" t="s">
        <v>201</v>
      </c>
      <c r="V87" t="s">
        <v>201</v>
      </c>
      <c r="Y87" t="s">
        <v>201</v>
      </c>
    </row>
    <row r="88" spans="1:25" x14ac:dyDescent="0.25">
      <c r="A88">
        <v>85</v>
      </c>
      <c r="B88" t="s">
        <v>203</v>
      </c>
      <c r="C88">
        <v>28</v>
      </c>
      <c r="D88">
        <v>35.7273</v>
      </c>
      <c r="E88">
        <v>0</v>
      </c>
      <c r="F88">
        <v>35.7273</v>
      </c>
      <c r="G88">
        <v>13100</v>
      </c>
      <c r="H88" t="s">
        <v>154</v>
      </c>
      <c r="I88">
        <v>13100</v>
      </c>
      <c r="J88">
        <v>2.2925000000000001E-2</v>
      </c>
      <c r="M88" t="s">
        <v>201</v>
      </c>
      <c r="P88" t="s">
        <v>201</v>
      </c>
      <c r="S88" t="s">
        <v>201</v>
      </c>
      <c r="V88" t="s">
        <v>201</v>
      </c>
      <c r="Y88" t="s">
        <v>201</v>
      </c>
    </row>
    <row r="89" spans="1:25" x14ac:dyDescent="0.25">
      <c r="A89">
        <v>86</v>
      </c>
      <c r="B89" t="s">
        <v>203</v>
      </c>
      <c r="C89">
        <v>29</v>
      </c>
      <c r="D89">
        <v>56</v>
      </c>
      <c r="E89">
        <v>0</v>
      </c>
      <c r="F89">
        <v>56</v>
      </c>
      <c r="G89">
        <v>16900</v>
      </c>
      <c r="H89" t="s">
        <v>153</v>
      </c>
      <c r="I89">
        <v>16900</v>
      </c>
      <c r="J89">
        <v>0</v>
      </c>
      <c r="M89" t="s">
        <v>201</v>
      </c>
      <c r="P89" t="s">
        <v>201</v>
      </c>
      <c r="S89" t="s">
        <v>201</v>
      </c>
      <c r="V89" t="s">
        <v>201</v>
      </c>
      <c r="Y89" t="s">
        <v>201</v>
      </c>
    </row>
    <row r="90" spans="1:25" x14ac:dyDescent="0.25">
      <c r="A90">
        <v>87</v>
      </c>
      <c r="B90" t="s">
        <v>203</v>
      </c>
      <c r="C90">
        <v>29</v>
      </c>
      <c r="D90">
        <v>87.925181159420305</v>
      </c>
      <c r="E90">
        <v>7.4690217391304348</v>
      </c>
      <c r="F90">
        <v>80.456159420289865</v>
      </c>
      <c r="G90">
        <v>22080</v>
      </c>
      <c r="H90" t="s">
        <v>149</v>
      </c>
      <c r="I90">
        <v>1150</v>
      </c>
      <c r="J90">
        <v>0</v>
      </c>
      <c r="K90" t="s">
        <v>155</v>
      </c>
      <c r="L90">
        <v>9770</v>
      </c>
      <c r="M90">
        <v>1.7689375000000001</v>
      </c>
      <c r="N90" t="s">
        <v>159</v>
      </c>
      <c r="O90">
        <v>11160</v>
      </c>
      <c r="P90">
        <v>1.727568</v>
      </c>
      <c r="S90" t="s">
        <v>201</v>
      </c>
      <c r="V90" t="s">
        <v>201</v>
      </c>
      <c r="Y90" t="s">
        <v>201</v>
      </c>
    </row>
    <row r="91" spans="1:25" x14ac:dyDescent="0.25">
      <c r="A91">
        <v>88</v>
      </c>
      <c r="B91" t="s">
        <v>203</v>
      </c>
      <c r="C91">
        <v>29</v>
      </c>
      <c r="D91">
        <v>34.185883916168393</v>
      </c>
      <c r="E91">
        <v>0</v>
      </c>
      <c r="F91">
        <v>34.185883916168393</v>
      </c>
      <c r="G91">
        <v>16557</v>
      </c>
      <c r="H91" t="s">
        <v>149</v>
      </c>
      <c r="I91">
        <v>400</v>
      </c>
      <c r="J91">
        <v>0</v>
      </c>
      <c r="K91" t="s">
        <v>69</v>
      </c>
      <c r="L91">
        <v>16157.000000000002</v>
      </c>
      <c r="M91">
        <v>5.5688411373051601</v>
      </c>
      <c r="P91" t="s">
        <v>201</v>
      </c>
      <c r="S91" t="s">
        <v>201</v>
      </c>
      <c r="V91" t="s">
        <v>201</v>
      </c>
      <c r="Y91" t="s">
        <v>201</v>
      </c>
    </row>
    <row r="92" spans="1:25" x14ac:dyDescent="0.25">
      <c r="A92">
        <v>89</v>
      </c>
      <c r="B92" t="s">
        <v>203</v>
      </c>
      <c r="C92">
        <v>29</v>
      </c>
      <c r="D92">
        <v>46.090899999999998</v>
      </c>
      <c r="E92">
        <v>0</v>
      </c>
      <c r="F92">
        <v>46.090899999999998</v>
      </c>
      <c r="G92">
        <v>16900</v>
      </c>
      <c r="H92" t="s">
        <v>154</v>
      </c>
      <c r="I92">
        <v>16900</v>
      </c>
      <c r="J92">
        <v>2.9574999999999997E-2</v>
      </c>
      <c r="M92" t="s">
        <v>201</v>
      </c>
      <c r="P92" t="s">
        <v>201</v>
      </c>
      <c r="S92" t="s">
        <v>201</v>
      </c>
      <c r="V92" t="s">
        <v>201</v>
      </c>
      <c r="Y92" t="s">
        <v>201</v>
      </c>
    </row>
    <row r="93" spans="1:25" x14ac:dyDescent="0.25">
      <c r="A93">
        <v>90</v>
      </c>
      <c r="B93" t="s">
        <v>203</v>
      </c>
      <c r="C93">
        <v>30</v>
      </c>
      <c r="D93">
        <v>39.535728853810156</v>
      </c>
      <c r="E93">
        <v>0</v>
      </c>
      <c r="F93">
        <v>39.535728853810156</v>
      </c>
      <c r="G93">
        <v>14317</v>
      </c>
      <c r="H93" t="s">
        <v>149</v>
      </c>
      <c r="I93">
        <v>300</v>
      </c>
      <c r="J93">
        <v>0</v>
      </c>
      <c r="K93" t="s">
        <v>69</v>
      </c>
      <c r="L93">
        <v>14017</v>
      </c>
      <c r="M93">
        <v>4.8312462846819599</v>
      </c>
      <c r="P93" t="s">
        <v>201</v>
      </c>
      <c r="S93" t="s">
        <v>201</v>
      </c>
      <c r="V93" t="s">
        <v>201</v>
      </c>
      <c r="Y93" t="s">
        <v>201</v>
      </c>
    </row>
    <row r="94" spans="1:25" x14ac:dyDescent="0.25">
      <c r="A94">
        <v>91</v>
      </c>
      <c r="B94" t="s">
        <v>203</v>
      </c>
      <c r="C94">
        <v>30</v>
      </c>
      <c r="D94">
        <v>39</v>
      </c>
      <c r="E94">
        <v>0</v>
      </c>
      <c r="F94">
        <v>39</v>
      </c>
      <c r="G94">
        <v>14300</v>
      </c>
      <c r="H94" t="s">
        <v>154</v>
      </c>
      <c r="I94">
        <v>14300</v>
      </c>
      <c r="J94">
        <v>2.5025000000000002E-2</v>
      </c>
      <c r="M94" t="s">
        <v>201</v>
      </c>
      <c r="P94" t="s">
        <v>201</v>
      </c>
      <c r="S94" t="s">
        <v>201</v>
      </c>
      <c r="V94" t="s">
        <v>201</v>
      </c>
      <c r="Y94" t="s">
        <v>201</v>
      </c>
    </row>
    <row r="95" spans="1:25" x14ac:dyDescent="0.25">
      <c r="A95">
        <v>92</v>
      </c>
      <c r="B95" t="s">
        <v>203</v>
      </c>
      <c r="C95">
        <v>30</v>
      </c>
      <c r="D95">
        <v>46</v>
      </c>
      <c r="E95">
        <v>0</v>
      </c>
      <c r="F95">
        <v>46</v>
      </c>
      <c r="G95">
        <v>14300</v>
      </c>
      <c r="H95" t="s">
        <v>153</v>
      </c>
      <c r="I95">
        <v>14300</v>
      </c>
      <c r="J95">
        <v>0</v>
      </c>
      <c r="M95" t="s">
        <v>201</v>
      </c>
      <c r="P95" t="s">
        <v>201</v>
      </c>
      <c r="S95" t="s">
        <v>201</v>
      </c>
      <c r="V95" t="s">
        <v>201</v>
      </c>
      <c r="Y95" t="s">
        <v>201</v>
      </c>
    </row>
    <row r="96" spans="1:25" x14ac:dyDescent="0.25">
      <c r="A96">
        <v>93</v>
      </c>
      <c r="B96" t="s">
        <v>203</v>
      </c>
      <c r="C96">
        <v>30</v>
      </c>
      <c r="D96">
        <v>51.86392405063291</v>
      </c>
      <c r="E96">
        <v>4</v>
      </c>
      <c r="F96">
        <v>47.86392405063291</v>
      </c>
      <c r="G96">
        <v>15800</v>
      </c>
      <c r="H96" t="s">
        <v>149</v>
      </c>
      <c r="I96">
        <v>2300</v>
      </c>
      <c r="J96">
        <v>0</v>
      </c>
      <c r="K96" t="s">
        <v>159</v>
      </c>
      <c r="L96">
        <v>13500</v>
      </c>
      <c r="M96">
        <v>2.0897999999999999</v>
      </c>
      <c r="P96" t="s">
        <v>201</v>
      </c>
      <c r="S96" t="s">
        <v>201</v>
      </c>
      <c r="V96" t="s">
        <v>201</v>
      </c>
      <c r="Y96" t="s">
        <v>201</v>
      </c>
    </row>
    <row r="97" spans="1:25" x14ac:dyDescent="0.25">
      <c r="A97">
        <v>94</v>
      </c>
      <c r="B97" t="s">
        <v>203</v>
      </c>
      <c r="C97">
        <v>31</v>
      </c>
      <c r="D97">
        <v>45</v>
      </c>
      <c r="E97">
        <v>0</v>
      </c>
      <c r="F97">
        <v>45</v>
      </c>
      <c r="G97">
        <v>14600</v>
      </c>
      <c r="H97" t="s">
        <v>153</v>
      </c>
      <c r="I97">
        <v>14600</v>
      </c>
      <c r="J97">
        <v>0</v>
      </c>
      <c r="M97" t="s">
        <v>201</v>
      </c>
      <c r="P97" t="s">
        <v>201</v>
      </c>
      <c r="S97" t="s">
        <v>201</v>
      </c>
      <c r="V97" t="s">
        <v>201</v>
      </c>
      <c r="Y97" t="s">
        <v>201</v>
      </c>
    </row>
    <row r="98" spans="1:25" x14ac:dyDescent="0.25">
      <c r="A98">
        <v>95</v>
      </c>
      <c r="B98" t="s">
        <v>203</v>
      </c>
      <c r="C98">
        <v>31</v>
      </c>
      <c r="D98">
        <v>81.135526315789463</v>
      </c>
      <c r="E98">
        <v>39</v>
      </c>
      <c r="F98">
        <v>42.13552631578947</v>
      </c>
      <c r="G98">
        <v>16720</v>
      </c>
      <c r="H98" t="s">
        <v>149</v>
      </c>
      <c r="I98">
        <v>2550</v>
      </c>
      <c r="J98">
        <v>0</v>
      </c>
      <c r="K98" t="s">
        <v>159</v>
      </c>
      <c r="L98">
        <v>14170</v>
      </c>
      <c r="M98">
        <v>2.1935159999999998</v>
      </c>
      <c r="P98" t="s">
        <v>201</v>
      </c>
      <c r="S98" t="s">
        <v>201</v>
      </c>
      <c r="V98" t="s">
        <v>201</v>
      </c>
      <c r="Y98" t="s">
        <v>201</v>
      </c>
    </row>
    <row r="99" spans="1:25" x14ac:dyDescent="0.25">
      <c r="A99">
        <v>96</v>
      </c>
      <c r="B99" t="s">
        <v>203</v>
      </c>
      <c r="C99">
        <v>31</v>
      </c>
      <c r="D99">
        <v>22.461619634000346</v>
      </c>
      <c r="E99">
        <v>0</v>
      </c>
      <c r="F99">
        <v>22.461619634000346</v>
      </c>
      <c r="G99">
        <v>17541</v>
      </c>
      <c r="H99" t="s">
        <v>149</v>
      </c>
      <c r="I99">
        <v>100</v>
      </c>
      <c r="J99">
        <v>0</v>
      </c>
      <c r="K99" t="s">
        <v>69</v>
      </c>
      <c r="L99">
        <v>17441</v>
      </c>
      <c r="M99">
        <v>6.0113980488790792</v>
      </c>
      <c r="P99" t="s">
        <v>201</v>
      </c>
      <c r="S99" t="s">
        <v>201</v>
      </c>
      <c r="V99" t="s">
        <v>201</v>
      </c>
      <c r="Y99" t="s">
        <v>201</v>
      </c>
    </row>
    <row r="100" spans="1:25" x14ac:dyDescent="0.25">
      <c r="A100">
        <v>97</v>
      </c>
      <c r="B100" t="s">
        <v>203</v>
      </c>
      <c r="C100">
        <v>31</v>
      </c>
      <c r="D100">
        <v>39.818199999999997</v>
      </c>
      <c r="E100">
        <v>0</v>
      </c>
      <c r="F100">
        <v>39.818199999999997</v>
      </c>
      <c r="G100">
        <v>14600</v>
      </c>
      <c r="H100" t="s">
        <v>154</v>
      </c>
      <c r="I100">
        <v>14600</v>
      </c>
      <c r="J100">
        <v>2.555E-2</v>
      </c>
      <c r="M100" t="s">
        <v>201</v>
      </c>
      <c r="P100" t="s">
        <v>201</v>
      </c>
      <c r="S100" t="s">
        <v>201</v>
      </c>
      <c r="V100" t="s">
        <v>201</v>
      </c>
      <c r="Y100" t="s">
        <v>201</v>
      </c>
    </row>
    <row r="101" spans="1:25" x14ac:dyDescent="0.25">
      <c r="A101">
        <v>98</v>
      </c>
      <c r="B101" t="s">
        <v>203</v>
      </c>
      <c r="C101">
        <v>32</v>
      </c>
      <c r="D101">
        <v>55</v>
      </c>
      <c r="E101">
        <v>0</v>
      </c>
      <c r="F101">
        <v>55</v>
      </c>
      <c r="G101">
        <v>14800</v>
      </c>
      <c r="H101" t="s">
        <v>153</v>
      </c>
      <c r="I101">
        <v>14800</v>
      </c>
      <c r="J101">
        <v>0</v>
      </c>
      <c r="M101" t="s">
        <v>201</v>
      </c>
      <c r="P101" t="s">
        <v>201</v>
      </c>
      <c r="S101" t="s">
        <v>201</v>
      </c>
      <c r="V101" t="s">
        <v>201</v>
      </c>
      <c r="Y101" t="s">
        <v>201</v>
      </c>
    </row>
    <row r="102" spans="1:25" x14ac:dyDescent="0.25">
      <c r="A102">
        <v>99</v>
      </c>
      <c r="B102" t="s">
        <v>203</v>
      </c>
      <c r="C102">
        <v>32</v>
      </c>
      <c r="D102">
        <v>55.158423645320198</v>
      </c>
      <c r="E102">
        <v>12.807881773399014</v>
      </c>
      <c r="F102">
        <v>42.35054187192118</v>
      </c>
      <c r="G102">
        <v>20300</v>
      </c>
      <c r="H102" t="s">
        <v>149</v>
      </c>
      <c r="I102">
        <v>280</v>
      </c>
      <c r="J102">
        <v>0</v>
      </c>
      <c r="K102" t="s">
        <v>156</v>
      </c>
      <c r="L102">
        <v>1310</v>
      </c>
      <c r="M102">
        <v>1.66625</v>
      </c>
      <c r="N102" t="s">
        <v>159</v>
      </c>
      <c r="O102">
        <v>16710</v>
      </c>
      <c r="P102">
        <v>2.5867080000000002</v>
      </c>
      <c r="Q102" t="s">
        <v>155</v>
      </c>
      <c r="R102">
        <v>2000</v>
      </c>
      <c r="S102">
        <v>1.7689375000000001</v>
      </c>
      <c r="V102" t="s">
        <v>201</v>
      </c>
      <c r="Y102" t="s">
        <v>201</v>
      </c>
    </row>
    <row r="103" spans="1:25" x14ac:dyDescent="0.25">
      <c r="A103">
        <v>100</v>
      </c>
      <c r="B103" t="s">
        <v>203</v>
      </c>
      <c r="C103">
        <v>32</v>
      </c>
      <c r="D103">
        <v>34.199298628145726</v>
      </c>
      <c r="E103">
        <v>0</v>
      </c>
      <c r="F103">
        <v>34.199298628145726</v>
      </c>
      <c r="G103">
        <v>22014</v>
      </c>
      <c r="H103" t="s">
        <v>149</v>
      </c>
      <c r="I103">
        <v>400</v>
      </c>
      <c r="J103">
        <v>0</v>
      </c>
      <c r="K103" t="s">
        <v>69</v>
      </c>
      <c r="L103">
        <v>21614</v>
      </c>
      <c r="M103">
        <v>7.4497080114943204</v>
      </c>
      <c r="P103" t="s">
        <v>201</v>
      </c>
      <c r="S103" t="s">
        <v>201</v>
      </c>
      <c r="V103" t="s">
        <v>201</v>
      </c>
      <c r="Y103" t="s">
        <v>201</v>
      </c>
    </row>
    <row r="104" spans="1:25" x14ac:dyDescent="0.25">
      <c r="A104">
        <v>101</v>
      </c>
      <c r="B104" t="s">
        <v>203</v>
      </c>
      <c r="C104">
        <v>32</v>
      </c>
      <c r="D104">
        <v>40.363599999999998</v>
      </c>
      <c r="E104">
        <v>0</v>
      </c>
      <c r="F104">
        <v>40.363599999999998</v>
      </c>
      <c r="G104">
        <v>14800</v>
      </c>
      <c r="H104" t="s">
        <v>154</v>
      </c>
      <c r="I104">
        <v>14800</v>
      </c>
      <c r="J104">
        <v>2.5900000000000003E-2</v>
      </c>
      <c r="M104" t="s">
        <v>201</v>
      </c>
      <c r="P104" t="s">
        <v>201</v>
      </c>
      <c r="S104" t="s">
        <v>201</v>
      </c>
      <c r="V104" t="s">
        <v>201</v>
      </c>
      <c r="Y104" t="s">
        <v>201</v>
      </c>
    </row>
    <row r="105" spans="1:25" x14ac:dyDescent="0.25">
      <c r="A105">
        <v>102</v>
      </c>
      <c r="B105" t="s">
        <v>202</v>
      </c>
      <c r="C105">
        <v>33</v>
      </c>
      <c r="D105">
        <v>130.52103907637655</v>
      </c>
      <c r="E105">
        <v>0</v>
      </c>
      <c r="F105">
        <v>130.52103907637655</v>
      </c>
      <c r="G105">
        <v>135120</v>
      </c>
      <c r="H105" t="s">
        <v>149</v>
      </c>
      <c r="I105">
        <v>300</v>
      </c>
      <c r="J105">
        <v>0</v>
      </c>
      <c r="K105" t="s">
        <v>69</v>
      </c>
      <c r="L105">
        <v>134820</v>
      </c>
      <c r="M105">
        <v>46.468475715261597</v>
      </c>
      <c r="P105" t="s">
        <v>201</v>
      </c>
      <c r="S105" t="s">
        <v>201</v>
      </c>
      <c r="V105" t="s">
        <v>201</v>
      </c>
      <c r="Y105" t="s">
        <v>201</v>
      </c>
    </row>
    <row r="106" spans="1:25" x14ac:dyDescent="0.25">
      <c r="A106">
        <v>103</v>
      </c>
      <c r="B106" t="s">
        <v>202</v>
      </c>
      <c r="C106">
        <v>33</v>
      </c>
      <c r="D106">
        <v>210.51840071877808</v>
      </c>
      <c r="E106">
        <v>25.590026954177898</v>
      </c>
      <c r="F106">
        <v>184.9283737646002</v>
      </c>
      <c r="G106">
        <v>166950</v>
      </c>
      <c r="H106" t="s">
        <v>149</v>
      </c>
      <c r="I106">
        <v>1850</v>
      </c>
      <c r="J106">
        <v>0</v>
      </c>
      <c r="K106" t="s">
        <v>155</v>
      </c>
      <c r="L106">
        <v>17550</v>
      </c>
      <c r="M106">
        <v>1.7689375000000001</v>
      </c>
      <c r="N106" t="s">
        <v>159</v>
      </c>
      <c r="O106">
        <v>140550</v>
      </c>
      <c r="P106">
        <v>21.75714</v>
      </c>
      <c r="Q106" t="s">
        <v>156</v>
      </c>
      <c r="R106">
        <v>7000</v>
      </c>
      <c r="S106">
        <v>1.66625</v>
      </c>
      <c r="V106" t="s">
        <v>201</v>
      </c>
      <c r="Y106" t="s">
        <v>201</v>
      </c>
    </row>
    <row r="107" spans="1:25" x14ac:dyDescent="0.25">
      <c r="A107">
        <v>104</v>
      </c>
      <c r="B107" t="s">
        <v>202</v>
      </c>
      <c r="C107">
        <v>34</v>
      </c>
      <c r="D107">
        <v>139.0821929424043</v>
      </c>
      <c r="E107">
        <v>0</v>
      </c>
      <c r="F107">
        <v>139.0821929424043</v>
      </c>
      <c r="G107">
        <v>153310</v>
      </c>
      <c r="H107" t="s">
        <v>149</v>
      </c>
      <c r="I107">
        <v>300</v>
      </c>
      <c r="J107">
        <v>0</v>
      </c>
      <c r="K107" t="s">
        <v>69</v>
      </c>
      <c r="L107">
        <v>153010</v>
      </c>
      <c r="M107">
        <v>52.738031962558793</v>
      </c>
      <c r="P107" t="s">
        <v>201</v>
      </c>
      <c r="S107" t="s">
        <v>201</v>
      </c>
      <c r="V107" t="s">
        <v>201</v>
      </c>
      <c r="Y107" t="s">
        <v>201</v>
      </c>
    </row>
    <row r="108" spans="1:25" x14ac:dyDescent="0.25">
      <c r="A108">
        <v>105</v>
      </c>
      <c r="B108" t="s">
        <v>202</v>
      </c>
      <c r="C108">
        <v>34</v>
      </c>
      <c r="D108">
        <v>165.12390794286108</v>
      </c>
      <c r="E108">
        <v>52</v>
      </c>
      <c r="F108">
        <v>113.12390794286109</v>
      </c>
      <c r="G108">
        <v>144910</v>
      </c>
      <c r="H108" t="s">
        <v>149</v>
      </c>
      <c r="I108">
        <v>1800</v>
      </c>
      <c r="J108">
        <v>0</v>
      </c>
      <c r="K108" t="s">
        <v>159</v>
      </c>
      <c r="L108">
        <v>1770</v>
      </c>
      <c r="M108">
        <v>0.27399600000000002</v>
      </c>
      <c r="N108" t="s">
        <v>160</v>
      </c>
      <c r="O108">
        <v>141340</v>
      </c>
      <c r="P108">
        <v>21.879432000000001</v>
      </c>
      <c r="S108" t="s">
        <v>201</v>
      </c>
      <c r="V108" t="s">
        <v>201</v>
      </c>
      <c r="Y108" t="s">
        <v>201</v>
      </c>
    </row>
    <row r="109" spans="1:25" x14ac:dyDescent="0.25">
      <c r="A109">
        <v>106</v>
      </c>
      <c r="B109" t="s">
        <v>202</v>
      </c>
      <c r="C109">
        <v>35</v>
      </c>
      <c r="D109">
        <v>152.99054799844541</v>
      </c>
      <c r="E109">
        <v>0</v>
      </c>
      <c r="F109">
        <v>152.99054799844541</v>
      </c>
      <c r="G109">
        <v>154380</v>
      </c>
      <c r="H109" t="s">
        <v>149</v>
      </c>
      <c r="I109">
        <v>300</v>
      </c>
      <c r="J109">
        <v>0</v>
      </c>
      <c r="K109" t="s">
        <v>69</v>
      </c>
      <c r="L109">
        <v>154080</v>
      </c>
      <c r="M109">
        <v>53.106829388870402</v>
      </c>
      <c r="P109" t="s">
        <v>201</v>
      </c>
      <c r="S109" t="s">
        <v>201</v>
      </c>
      <c r="V109" t="s">
        <v>201</v>
      </c>
      <c r="Y109" t="s">
        <v>201</v>
      </c>
    </row>
    <row r="110" spans="1:25" x14ac:dyDescent="0.25">
      <c r="A110">
        <v>107</v>
      </c>
      <c r="B110" t="s">
        <v>202</v>
      </c>
      <c r="C110">
        <v>35</v>
      </c>
      <c r="D110">
        <v>136.58269720101782</v>
      </c>
      <c r="E110">
        <v>13</v>
      </c>
      <c r="F110">
        <v>123.58269720101781</v>
      </c>
      <c r="G110">
        <v>196500</v>
      </c>
      <c r="H110" t="s">
        <v>149</v>
      </c>
      <c r="I110">
        <v>2500</v>
      </c>
      <c r="J110">
        <v>0</v>
      </c>
      <c r="K110" t="s">
        <v>160</v>
      </c>
      <c r="L110">
        <v>139000</v>
      </c>
      <c r="M110">
        <v>21.517199999999999</v>
      </c>
      <c r="N110" t="s">
        <v>159</v>
      </c>
      <c r="O110">
        <v>55000</v>
      </c>
      <c r="P110">
        <v>8.5139999999999993</v>
      </c>
      <c r="S110" t="s">
        <v>201</v>
      </c>
      <c r="V110" t="s">
        <v>201</v>
      </c>
      <c r="Y110" t="s">
        <v>201</v>
      </c>
    </row>
    <row r="111" spans="1:25" x14ac:dyDescent="0.25">
      <c r="A111">
        <v>108</v>
      </c>
      <c r="B111" t="s">
        <v>202</v>
      </c>
      <c r="C111">
        <v>36</v>
      </c>
      <c r="D111">
        <v>249.52919904237896</v>
      </c>
      <c r="E111">
        <v>46</v>
      </c>
      <c r="F111">
        <v>203.52919904237896</v>
      </c>
      <c r="G111">
        <v>238090</v>
      </c>
      <c r="H111" t="s">
        <v>149</v>
      </c>
      <c r="I111">
        <v>5100</v>
      </c>
      <c r="J111">
        <v>0</v>
      </c>
      <c r="K111" t="s">
        <v>159</v>
      </c>
      <c r="L111">
        <v>142710</v>
      </c>
      <c r="M111">
        <v>22.091508000000001</v>
      </c>
      <c r="N111" t="s">
        <v>160</v>
      </c>
      <c r="O111">
        <v>83950</v>
      </c>
      <c r="P111">
        <v>12.99546</v>
      </c>
      <c r="Q111" t="s">
        <v>159</v>
      </c>
      <c r="R111">
        <v>6330</v>
      </c>
      <c r="S111">
        <v>0.97988399999999998</v>
      </c>
      <c r="V111" t="s">
        <v>201</v>
      </c>
      <c r="Y111" t="s">
        <v>201</v>
      </c>
    </row>
    <row r="112" spans="1:25" x14ac:dyDescent="0.25">
      <c r="A112">
        <v>109</v>
      </c>
      <c r="B112" t="s">
        <v>202</v>
      </c>
      <c r="C112">
        <v>36</v>
      </c>
      <c r="D112">
        <v>195.791794495239</v>
      </c>
      <c r="E112">
        <v>0</v>
      </c>
      <c r="F112">
        <v>195.791794495239</v>
      </c>
      <c r="G112">
        <v>211090</v>
      </c>
      <c r="H112" t="s">
        <v>149</v>
      </c>
      <c r="I112">
        <v>300</v>
      </c>
      <c r="J112">
        <v>0</v>
      </c>
      <c r="K112" t="s">
        <v>69</v>
      </c>
      <c r="L112">
        <v>210790</v>
      </c>
      <c r="M112">
        <v>72.653092983385193</v>
      </c>
      <c r="P112" t="s">
        <v>201</v>
      </c>
      <c r="S112" t="s">
        <v>201</v>
      </c>
      <c r="V112" t="s">
        <v>201</v>
      </c>
      <c r="Y112" t="s">
        <v>201</v>
      </c>
    </row>
    <row r="113" spans="1:25" x14ac:dyDescent="0.25">
      <c r="A113">
        <v>110</v>
      </c>
      <c r="B113" t="s">
        <v>202</v>
      </c>
      <c r="C113">
        <v>37</v>
      </c>
      <c r="D113">
        <v>194.72656047259878</v>
      </c>
      <c r="E113">
        <v>0</v>
      </c>
      <c r="F113">
        <v>194.72656047259878</v>
      </c>
      <c r="G113">
        <v>189590</v>
      </c>
      <c r="H113" t="s">
        <v>149</v>
      </c>
      <c r="I113">
        <v>200</v>
      </c>
      <c r="J113">
        <v>0</v>
      </c>
      <c r="K113" t="s">
        <v>69</v>
      </c>
      <c r="L113">
        <v>189390</v>
      </c>
      <c r="M113">
        <v>65.277144457153199</v>
      </c>
      <c r="P113" t="s">
        <v>201</v>
      </c>
      <c r="S113" t="s">
        <v>201</v>
      </c>
      <c r="V113" t="s">
        <v>201</v>
      </c>
      <c r="Y113" t="s">
        <v>201</v>
      </c>
    </row>
    <row r="114" spans="1:25" x14ac:dyDescent="0.25">
      <c r="A114">
        <v>111</v>
      </c>
      <c r="B114" t="s">
        <v>202</v>
      </c>
      <c r="C114">
        <v>37</v>
      </c>
      <c r="D114">
        <v>312.42135845182878</v>
      </c>
      <c r="E114">
        <v>104.50956581248575</v>
      </c>
      <c r="F114">
        <v>207.91179263934302</v>
      </c>
      <c r="G114">
        <v>263020</v>
      </c>
      <c r="H114" t="s">
        <v>149</v>
      </c>
      <c r="I114">
        <v>1350</v>
      </c>
      <c r="J114">
        <v>0</v>
      </c>
      <c r="K114" t="s">
        <v>155</v>
      </c>
      <c r="L114">
        <v>2670</v>
      </c>
      <c r="M114">
        <v>1.7689375000000001</v>
      </c>
      <c r="N114" t="s">
        <v>159</v>
      </c>
      <c r="O114">
        <v>205000</v>
      </c>
      <c r="P114">
        <v>31.733999999999998</v>
      </c>
      <c r="Q114" t="s">
        <v>155</v>
      </c>
      <c r="R114">
        <v>54000</v>
      </c>
      <c r="S114">
        <v>1.7689375000000001</v>
      </c>
      <c r="V114" t="s">
        <v>201</v>
      </c>
      <c r="Y114" t="s">
        <v>201</v>
      </c>
    </row>
    <row r="115" spans="1:25" x14ac:dyDescent="0.25">
      <c r="A115">
        <v>112</v>
      </c>
      <c r="B115" t="s">
        <v>202</v>
      </c>
      <c r="C115">
        <v>38</v>
      </c>
      <c r="D115">
        <v>139.08356906409873</v>
      </c>
      <c r="E115">
        <v>0</v>
      </c>
      <c r="F115">
        <v>139.08356906409873</v>
      </c>
      <c r="G115">
        <v>166150</v>
      </c>
      <c r="H115" t="s">
        <v>149</v>
      </c>
      <c r="I115">
        <v>300</v>
      </c>
      <c r="J115">
        <v>0</v>
      </c>
      <c r="K115" t="s">
        <v>69</v>
      </c>
      <c r="L115">
        <v>165850</v>
      </c>
      <c r="M115">
        <v>57.163601078297994</v>
      </c>
      <c r="P115" t="s">
        <v>201</v>
      </c>
      <c r="S115" t="s">
        <v>201</v>
      </c>
      <c r="V115" t="s">
        <v>201</v>
      </c>
      <c r="Y115" t="s">
        <v>201</v>
      </c>
    </row>
    <row r="116" spans="1:25" x14ac:dyDescent="0.25">
      <c r="A116">
        <v>113</v>
      </c>
      <c r="B116" t="s">
        <v>202</v>
      </c>
      <c r="C116">
        <v>38</v>
      </c>
      <c r="D116">
        <v>143.47312147361436</v>
      </c>
      <c r="E116">
        <v>26.827273481579823</v>
      </c>
      <c r="F116">
        <v>116.64584799203452</v>
      </c>
      <c r="G116">
        <v>120520</v>
      </c>
      <c r="H116" t="s">
        <v>149</v>
      </c>
      <c r="I116">
        <v>2400</v>
      </c>
      <c r="J116">
        <v>0</v>
      </c>
      <c r="K116" t="s">
        <v>159</v>
      </c>
      <c r="L116">
        <v>112980</v>
      </c>
      <c r="M116">
        <v>17.489304000000001</v>
      </c>
      <c r="N116" t="s">
        <v>155</v>
      </c>
      <c r="O116">
        <v>5140</v>
      </c>
      <c r="P116">
        <v>1.7689375000000001</v>
      </c>
      <c r="S116" t="s">
        <v>201</v>
      </c>
      <c r="V116" t="s">
        <v>201</v>
      </c>
      <c r="Y116" t="s">
        <v>201</v>
      </c>
    </row>
    <row r="117" spans="1:25" x14ac:dyDescent="0.25">
      <c r="A117">
        <v>114</v>
      </c>
      <c r="B117" t="s">
        <v>202</v>
      </c>
      <c r="C117">
        <v>39</v>
      </c>
      <c r="D117">
        <v>139.0947206590474</v>
      </c>
      <c r="E117">
        <v>0</v>
      </c>
      <c r="F117">
        <v>139.0947206590474</v>
      </c>
      <c r="G117">
        <v>172370</v>
      </c>
      <c r="H117" t="s">
        <v>149</v>
      </c>
      <c r="I117">
        <v>100</v>
      </c>
      <c r="J117">
        <v>0</v>
      </c>
      <c r="K117" t="s">
        <v>69</v>
      </c>
      <c r="L117">
        <v>172270</v>
      </c>
      <c r="M117">
        <v>59.376385636167598</v>
      </c>
      <c r="P117" t="s">
        <v>201</v>
      </c>
      <c r="S117" t="s">
        <v>201</v>
      </c>
      <c r="V117" t="s">
        <v>201</v>
      </c>
      <c r="Y117" t="s">
        <v>201</v>
      </c>
    </row>
    <row r="118" spans="1:25" x14ac:dyDescent="0.25">
      <c r="A118">
        <v>115</v>
      </c>
      <c r="B118" t="s">
        <v>202</v>
      </c>
      <c r="C118">
        <v>39</v>
      </c>
      <c r="D118">
        <v>208.35231778988461</v>
      </c>
      <c r="E118">
        <v>75.395547166573721</v>
      </c>
      <c r="F118">
        <v>132.95677062331089</v>
      </c>
      <c r="G118">
        <v>233110</v>
      </c>
      <c r="H118" t="s">
        <v>149</v>
      </c>
      <c r="I118">
        <v>750</v>
      </c>
      <c r="J118">
        <v>0</v>
      </c>
      <c r="K118" t="s">
        <v>155</v>
      </c>
      <c r="L118">
        <v>12360</v>
      </c>
      <c r="M118">
        <v>1.7689375000000001</v>
      </c>
      <c r="N118" t="s">
        <v>159</v>
      </c>
      <c r="O118">
        <v>220000</v>
      </c>
      <c r="P118">
        <v>34.055999999999997</v>
      </c>
      <c r="S118" t="s">
        <v>201</v>
      </c>
      <c r="V118" t="s">
        <v>201</v>
      </c>
      <c r="Y118" t="s">
        <v>201</v>
      </c>
    </row>
    <row r="119" spans="1:25" x14ac:dyDescent="0.25">
      <c r="A119">
        <v>116</v>
      </c>
      <c r="B119" t="s">
        <v>204</v>
      </c>
      <c r="C119">
        <v>40</v>
      </c>
      <c r="D119">
        <v>372.67793574965441</v>
      </c>
      <c r="E119">
        <v>33.887717556125118</v>
      </c>
      <c r="F119">
        <v>338.79021819352931</v>
      </c>
      <c r="G119">
        <v>745210</v>
      </c>
      <c r="H119" t="s">
        <v>169</v>
      </c>
      <c r="I119">
        <v>24610</v>
      </c>
      <c r="J119">
        <v>7.1368999999999989</v>
      </c>
      <c r="K119" t="s">
        <v>160</v>
      </c>
      <c r="L119">
        <v>715000</v>
      </c>
      <c r="M119">
        <v>110.682</v>
      </c>
      <c r="N119" t="s">
        <v>168</v>
      </c>
      <c r="O119">
        <v>5600</v>
      </c>
      <c r="P119">
        <v>5.6</v>
      </c>
    </row>
    <row r="120" spans="1:25" x14ac:dyDescent="0.25">
      <c r="A120">
        <v>117</v>
      </c>
      <c r="B120" t="s">
        <v>204</v>
      </c>
      <c r="C120">
        <v>40</v>
      </c>
      <c r="D120">
        <v>432.53133459664321</v>
      </c>
      <c r="E120">
        <v>30</v>
      </c>
      <c r="F120">
        <v>402.53133459664321</v>
      </c>
      <c r="G120">
        <v>738800</v>
      </c>
      <c r="H120" t="s">
        <v>154</v>
      </c>
      <c r="I120">
        <v>19000</v>
      </c>
      <c r="J120">
        <v>3.3250000000000002E-2</v>
      </c>
      <c r="K120" t="s">
        <v>160</v>
      </c>
      <c r="L120">
        <v>715000</v>
      </c>
      <c r="M120">
        <v>110.682</v>
      </c>
      <c r="N120" t="s">
        <v>149</v>
      </c>
      <c r="O120">
        <v>4800</v>
      </c>
      <c r="P120">
        <v>0</v>
      </c>
    </row>
    <row r="121" spans="1:25" x14ac:dyDescent="0.25">
      <c r="A121">
        <v>118</v>
      </c>
      <c r="B121" t="s">
        <v>204</v>
      </c>
      <c r="C121">
        <v>40</v>
      </c>
      <c r="D121">
        <v>370.73022428450554</v>
      </c>
      <c r="E121">
        <v>35.881013712244325</v>
      </c>
      <c r="F121">
        <v>334.8492105722612</v>
      </c>
      <c r="G121">
        <v>744590</v>
      </c>
      <c r="H121" t="s">
        <v>169</v>
      </c>
      <c r="I121">
        <v>24610</v>
      </c>
      <c r="J121">
        <v>7.1368999999999989</v>
      </c>
      <c r="K121" t="s">
        <v>160</v>
      </c>
      <c r="L121">
        <v>715000</v>
      </c>
      <c r="M121">
        <v>110.682</v>
      </c>
      <c r="N121" t="s">
        <v>158</v>
      </c>
      <c r="O121">
        <v>4680</v>
      </c>
      <c r="P121">
        <v>1.66625</v>
      </c>
      <c r="Q121" t="s">
        <v>149</v>
      </c>
      <c r="R121">
        <v>300</v>
      </c>
      <c r="S121">
        <v>0</v>
      </c>
    </row>
    <row r="122" spans="1:25" x14ac:dyDescent="0.25">
      <c r="A122">
        <v>119</v>
      </c>
      <c r="B122" t="s">
        <v>204</v>
      </c>
      <c r="C122">
        <v>40</v>
      </c>
      <c r="D122">
        <v>383.31841476154284</v>
      </c>
      <c r="E122">
        <v>33.864200143404595</v>
      </c>
      <c r="F122">
        <v>349.45421461813822</v>
      </c>
      <c r="G122">
        <v>744746</v>
      </c>
      <c r="H122" t="s">
        <v>169</v>
      </c>
      <c r="I122">
        <v>29746</v>
      </c>
      <c r="J122">
        <v>8.626339999999999</v>
      </c>
      <c r="K122" t="s">
        <v>160</v>
      </c>
      <c r="L122">
        <v>715000</v>
      </c>
      <c r="M122">
        <v>110.682</v>
      </c>
    </row>
    <row r="123" spans="1:25" x14ac:dyDescent="0.25">
      <c r="A123">
        <v>120</v>
      </c>
      <c r="B123" t="s">
        <v>204</v>
      </c>
      <c r="C123">
        <v>40</v>
      </c>
      <c r="D123">
        <v>378.40396760644643</v>
      </c>
      <c r="E123">
        <v>33.887717556125118</v>
      </c>
      <c r="F123">
        <v>344.51625005032133</v>
      </c>
      <c r="G123">
        <v>745210</v>
      </c>
      <c r="H123" t="s">
        <v>169</v>
      </c>
      <c r="I123">
        <v>24610</v>
      </c>
      <c r="J123">
        <v>7.1368999999999989</v>
      </c>
      <c r="K123" t="s">
        <v>160</v>
      </c>
      <c r="L123">
        <v>715000</v>
      </c>
      <c r="M123">
        <v>110.682</v>
      </c>
      <c r="N123" t="s">
        <v>168</v>
      </c>
      <c r="O123">
        <v>5600</v>
      </c>
      <c r="P123">
        <v>5.6</v>
      </c>
    </row>
    <row r="124" spans="1:25" x14ac:dyDescent="0.25">
      <c r="A124">
        <v>121</v>
      </c>
      <c r="B124" t="s">
        <v>204</v>
      </c>
      <c r="C124">
        <v>40</v>
      </c>
      <c r="D124">
        <v>414.52192259641856</v>
      </c>
      <c r="E124">
        <v>30.897514810386749</v>
      </c>
      <c r="F124">
        <v>383.62440778603184</v>
      </c>
      <c r="G124">
        <v>744410</v>
      </c>
      <c r="H124" t="s">
        <v>169</v>
      </c>
      <c r="I124">
        <v>24610</v>
      </c>
      <c r="J124">
        <v>7.1368999999999989</v>
      </c>
      <c r="K124" t="s">
        <v>160</v>
      </c>
      <c r="L124">
        <v>715000</v>
      </c>
      <c r="M124">
        <v>110.682</v>
      </c>
      <c r="N124" t="s">
        <v>149</v>
      </c>
      <c r="O124">
        <v>4800</v>
      </c>
      <c r="P124">
        <v>0</v>
      </c>
    </row>
    <row r="125" spans="1:25" x14ac:dyDescent="0.25">
      <c r="A125">
        <v>122</v>
      </c>
      <c r="B125" t="s">
        <v>204</v>
      </c>
      <c r="C125">
        <v>40</v>
      </c>
      <c r="D125">
        <v>278.89999401824434</v>
      </c>
      <c r="E125">
        <v>105</v>
      </c>
      <c r="F125">
        <v>173.89999401824437</v>
      </c>
      <c r="G125">
        <v>581769</v>
      </c>
      <c r="H125" t="s">
        <v>69</v>
      </c>
      <c r="I125">
        <v>30709</v>
      </c>
      <c r="J125">
        <v>10.584486135142919</v>
      </c>
      <c r="K125" t="s">
        <v>149</v>
      </c>
      <c r="L125">
        <v>1380</v>
      </c>
      <c r="M125">
        <v>0</v>
      </c>
      <c r="N125" t="s">
        <v>163</v>
      </c>
      <c r="O125">
        <v>500000</v>
      </c>
      <c r="P125">
        <v>51</v>
      </c>
      <c r="Q125" t="s">
        <v>159</v>
      </c>
      <c r="R125">
        <v>45000</v>
      </c>
      <c r="S125">
        <v>6.9659999999999993</v>
      </c>
      <c r="T125" t="s">
        <v>158</v>
      </c>
      <c r="U125">
        <v>4680</v>
      </c>
      <c r="V125">
        <v>1.66625</v>
      </c>
    </row>
    <row r="126" spans="1:25" x14ac:dyDescent="0.25">
      <c r="A126">
        <v>123</v>
      </c>
      <c r="B126" t="s">
        <v>204</v>
      </c>
      <c r="C126">
        <v>40</v>
      </c>
      <c r="D126">
        <v>293.62421332971451</v>
      </c>
      <c r="E126">
        <v>110</v>
      </c>
      <c r="F126">
        <v>183.62421332971451</v>
      </c>
      <c r="G126">
        <v>589510</v>
      </c>
      <c r="H126" t="s">
        <v>149</v>
      </c>
      <c r="I126">
        <v>1830</v>
      </c>
      <c r="J126">
        <v>0</v>
      </c>
      <c r="K126" t="s">
        <v>159</v>
      </c>
      <c r="L126">
        <v>83000</v>
      </c>
      <c r="M126">
        <v>12.8484</v>
      </c>
      <c r="N126" t="s">
        <v>163</v>
      </c>
      <c r="O126">
        <v>500000</v>
      </c>
      <c r="P126">
        <v>51</v>
      </c>
      <c r="Q126" t="s">
        <v>158</v>
      </c>
      <c r="R126">
        <v>4680</v>
      </c>
      <c r="S126">
        <v>1.66625</v>
      </c>
    </row>
    <row r="127" spans="1:25" x14ac:dyDescent="0.25">
      <c r="A127">
        <v>124</v>
      </c>
      <c r="B127" t="s">
        <v>204</v>
      </c>
      <c r="C127">
        <v>40</v>
      </c>
      <c r="D127">
        <v>275.91056440218432</v>
      </c>
      <c r="E127">
        <v>94.26777078842035</v>
      </c>
      <c r="F127">
        <v>181.64279361376396</v>
      </c>
      <c r="G127">
        <v>576114</v>
      </c>
      <c r="H127" t="s">
        <v>69</v>
      </c>
      <c r="I127">
        <v>30709</v>
      </c>
      <c r="J127">
        <v>10.584486135142919</v>
      </c>
      <c r="K127" t="s">
        <v>149</v>
      </c>
      <c r="L127">
        <v>1000</v>
      </c>
      <c r="M127">
        <v>0</v>
      </c>
      <c r="N127" t="s">
        <v>163</v>
      </c>
      <c r="O127">
        <v>500000</v>
      </c>
      <c r="P127">
        <v>51</v>
      </c>
      <c r="Q127" t="s">
        <v>169</v>
      </c>
      <c r="R127">
        <v>44405</v>
      </c>
      <c r="S127">
        <v>12.87745</v>
      </c>
    </row>
    <row r="128" spans="1:25" x14ac:dyDescent="0.25">
      <c r="A128">
        <v>125</v>
      </c>
      <c r="B128" t="s">
        <v>204</v>
      </c>
      <c r="C128">
        <v>40</v>
      </c>
      <c r="D128">
        <v>433.02185977260427</v>
      </c>
      <c r="E128">
        <v>30.032485110990795</v>
      </c>
      <c r="F128">
        <v>402.98937466161345</v>
      </c>
      <c r="G128">
        <v>738800</v>
      </c>
      <c r="H128" t="s">
        <v>154</v>
      </c>
      <c r="I128">
        <v>19000</v>
      </c>
      <c r="J128">
        <v>3.3250000000000002E-2</v>
      </c>
      <c r="K128" t="s">
        <v>160</v>
      </c>
      <c r="L128">
        <v>715000</v>
      </c>
      <c r="M128">
        <v>110.682</v>
      </c>
      <c r="N128" t="s">
        <v>168</v>
      </c>
      <c r="O128">
        <v>5600</v>
      </c>
      <c r="P128">
        <v>5.6</v>
      </c>
    </row>
    <row r="129" spans="1:22" x14ac:dyDescent="0.25">
      <c r="A129">
        <v>126</v>
      </c>
      <c r="B129" t="s">
        <v>204</v>
      </c>
      <c r="C129">
        <v>40</v>
      </c>
      <c r="D129">
        <v>263.22856251108476</v>
      </c>
      <c r="E129">
        <v>96.720049937925353</v>
      </c>
      <c r="F129">
        <v>166.50851257315941</v>
      </c>
      <c r="G129">
        <v>575114</v>
      </c>
      <c r="H129" t="s">
        <v>169</v>
      </c>
      <c r="I129">
        <v>75114</v>
      </c>
      <c r="J129">
        <v>21.783059999999999</v>
      </c>
      <c r="K129" t="s">
        <v>163</v>
      </c>
      <c r="L129">
        <v>500000</v>
      </c>
      <c r="M129">
        <v>51</v>
      </c>
    </row>
    <row r="130" spans="1:22" x14ac:dyDescent="0.25">
      <c r="A130">
        <v>127</v>
      </c>
      <c r="B130" t="s">
        <v>204</v>
      </c>
      <c r="C130">
        <v>40</v>
      </c>
      <c r="D130">
        <v>266.33739226783797</v>
      </c>
      <c r="E130">
        <v>107.42893439560308</v>
      </c>
      <c r="F130">
        <v>158.90845787223489</v>
      </c>
      <c r="G130">
        <v>580769</v>
      </c>
      <c r="H130" t="s">
        <v>169</v>
      </c>
      <c r="I130">
        <v>30709</v>
      </c>
      <c r="J130">
        <v>8.9056099999999994</v>
      </c>
      <c r="K130" t="s">
        <v>163</v>
      </c>
      <c r="L130">
        <v>500000</v>
      </c>
      <c r="M130">
        <v>51</v>
      </c>
      <c r="N130" t="s">
        <v>159</v>
      </c>
      <c r="O130">
        <v>45000</v>
      </c>
      <c r="P130">
        <v>6.9659999999999993</v>
      </c>
      <c r="Q130" t="s">
        <v>158</v>
      </c>
      <c r="R130">
        <v>4680</v>
      </c>
      <c r="S130">
        <v>1.66625</v>
      </c>
      <c r="T130" t="s">
        <v>149</v>
      </c>
      <c r="U130">
        <v>380</v>
      </c>
      <c r="V130">
        <v>0</v>
      </c>
    </row>
    <row r="131" spans="1:22" x14ac:dyDescent="0.25">
      <c r="A131">
        <v>128</v>
      </c>
      <c r="B131" t="s">
        <v>204</v>
      </c>
      <c r="C131">
        <v>40</v>
      </c>
      <c r="D131">
        <v>290.63474638394808</v>
      </c>
      <c r="E131">
        <v>99.239451576161898</v>
      </c>
      <c r="F131">
        <v>191.3952948077862</v>
      </c>
      <c r="G131">
        <v>583855</v>
      </c>
      <c r="H131" t="s">
        <v>149</v>
      </c>
      <c r="I131">
        <v>1450</v>
      </c>
      <c r="J131">
        <v>0</v>
      </c>
      <c r="K131" t="s">
        <v>159</v>
      </c>
      <c r="L131">
        <v>38000</v>
      </c>
      <c r="M131">
        <v>5.8823999999999996</v>
      </c>
      <c r="N131" t="s">
        <v>163</v>
      </c>
      <c r="O131">
        <v>500000</v>
      </c>
      <c r="P131">
        <v>51</v>
      </c>
      <c r="Q131" t="s">
        <v>169</v>
      </c>
      <c r="R131">
        <v>44405</v>
      </c>
      <c r="S131">
        <v>12.87745</v>
      </c>
    </row>
    <row r="132" spans="1:22" x14ac:dyDescent="0.25">
      <c r="A132">
        <v>129</v>
      </c>
      <c r="B132" t="s">
        <v>204</v>
      </c>
      <c r="C132">
        <v>40</v>
      </c>
      <c r="D132">
        <v>432.50772604223067</v>
      </c>
      <c r="E132">
        <v>30.007309149972926</v>
      </c>
      <c r="F132">
        <v>402.50041689225776</v>
      </c>
      <c r="G132">
        <v>738800</v>
      </c>
      <c r="H132" t="s">
        <v>154</v>
      </c>
      <c r="I132">
        <v>19000</v>
      </c>
      <c r="J132">
        <v>3.3250000000000002E-2</v>
      </c>
      <c r="K132" t="s">
        <v>160</v>
      </c>
      <c r="L132">
        <v>715000</v>
      </c>
      <c r="M132">
        <v>110.682</v>
      </c>
      <c r="N132" t="s">
        <v>158</v>
      </c>
      <c r="O132">
        <v>4680</v>
      </c>
      <c r="P132">
        <v>1.66625</v>
      </c>
      <c r="Q132" t="s">
        <v>149</v>
      </c>
      <c r="R132">
        <v>300</v>
      </c>
      <c r="S132">
        <v>0</v>
      </c>
    </row>
    <row r="133" spans="1:22" x14ac:dyDescent="0.25">
      <c r="A133">
        <v>130</v>
      </c>
      <c r="B133" t="s">
        <v>204</v>
      </c>
      <c r="C133">
        <v>40</v>
      </c>
      <c r="D133">
        <v>432.72554301238199</v>
      </c>
      <c r="E133">
        <v>29.979154039310764</v>
      </c>
      <c r="F133">
        <v>402.74638897307125</v>
      </c>
      <c r="G133">
        <v>739136</v>
      </c>
      <c r="H133" t="s">
        <v>154</v>
      </c>
      <c r="I133">
        <v>19000</v>
      </c>
      <c r="J133">
        <v>3.3250000000000002E-2</v>
      </c>
      <c r="K133" t="s">
        <v>160</v>
      </c>
      <c r="L133">
        <v>715000</v>
      </c>
      <c r="M133">
        <v>110.682</v>
      </c>
      <c r="N133" t="s">
        <v>169</v>
      </c>
      <c r="O133">
        <v>5136</v>
      </c>
      <c r="P133">
        <v>1.4894399999999999</v>
      </c>
    </row>
    <row r="134" spans="1:22" x14ac:dyDescent="0.25">
      <c r="A134">
        <v>131</v>
      </c>
      <c r="B134" t="s">
        <v>204</v>
      </c>
      <c r="C134">
        <v>40</v>
      </c>
      <c r="D134">
        <v>369.55919645750078</v>
      </c>
      <c r="E134">
        <v>35</v>
      </c>
      <c r="F134">
        <v>334.55919645750078</v>
      </c>
      <c r="G134">
        <v>740720</v>
      </c>
      <c r="H134" t="s">
        <v>149</v>
      </c>
      <c r="I134">
        <v>1100</v>
      </c>
      <c r="J134">
        <v>0</v>
      </c>
      <c r="K134" t="s">
        <v>159</v>
      </c>
      <c r="L134">
        <v>19020</v>
      </c>
      <c r="M134">
        <v>2.944296</v>
      </c>
      <c r="N134" t="s">
        <v>160</v>
      </c>
      <c r="O134">
        <v>715000</v>
      </c>
      <c r="P134">
        <v>110.682</v>
      </c>
      <c r="Q134" t="s">
        <v>168</v>
      </c>
      <c r="R134">
        <v>5600</v>
      </c>
      <c r="S134">
        <v>5.6</v>
      </c>
    </row>
    <row r="135" spans="1:22" x14ac:dyDescent="0.25">
      <c r="A135">
        <v>132</v>
      </c>
      <c r="B135" t="s">
        <v>204</v>
      </c>
      <c r="C135">
        <v>40</v>
      </c>
      <c r="D135">
        <v>614.15650738894669</v>
      </c>
      <c r="E135">
        <v>0</v>
      </c>
      <c r="F135">
        <v>614.15650738894669</v>
      </c>
      <c r="G135">
        <v>684130</v>
      </c>
      <c r="H135" t="s">
        <v>149</v>
      </c>
      <c r="I135">
        <v>400</v>
      </c>
      <c r="J135">
        <v>0</v>
      </c>
      <c r="K135" t="s">
        <v>69</v>
      </c>
      <c r="L135">
        <v>683730</v>
      </c>
      <c r="M135">
        <v>235.66155541311241</v>
      </c>
    </row>
    <row r="136" spans="1:22" x14ac:dyDescent="0.25">
      <c r="A136">
        <v>133</v>
      </c>
      <c r="B136" t="s">
        <v>204</v>
      </c>
      <c r="C136">
        <v>40</v>
      </c>
      <c r="D136">
        <v>373.33348196189701</v>
      </c>
      <c r="E136">
        <v>37</v>
      </c>
      <c r="F136">
        <v>336.33348196189701</v>
      </c>
      <c r="G136">
        <v>740100</v>
      </c>
      <c r="H136" t="s">
        <v>149</v>
      </c>
      <c r="I136">
        <v>1400</v>
      </c>
      <c r="J136">
        <v>0</v>
      </c>
      <c r="K136" t="s">
        <v>159</v>
      </c>
      <c r="L136">
        <v>19020</v>
      </c>
      <c r="M136">
        <v>2.944296</v>
      </c>
      <c r="N136" t="s">
        <v>160</v>
      </c>
      <c r="O136">
        <v>715000</v>
      </c>
      <c r="P136">
        <v>110.682</v>
      </c>
      <c r="Q136" t="s">
        <v>158</v>
      </c>
      <c r="R136">
        <v>4680</v>
      </c>
      <c r="S136">
        <v>1.66625</v>
      </c>
    </row>
    <row r="137" spans="1:22" x14ac:dyDescent="0.25">
      <c r="A137">
        <v>134</v>
      </c>
      <c r="B137" t="s">
        <v>204</v>
      </c>
      <c r="C137">
        <v>40</v>
      </c>
      <c r="D137">
        <v>380.964623609461</v>
      </c>
      <c r="E137">
        <v>35</v>
      </c>
      <c r="F137">
        <v>345.964623609461</v>
      </c>
      <c r="G137">
        <v>740720</v>
      </c>
      <c r="H137" t="s">
        <v>149</v>
      </c>
      <c r="I137">
        <v>1100</v>
      </c>
      <c r="J137">
        <v>0</v>
      </c>
      <c r="K137" t="s">
        <v>159</v>
      </c>
      <c r="L137">
        <v>19020</v>
      </c>
      <c r="M137">
        <v>2.944296</v>
      </c>
      <c r="N137" t="s">
        <v>160</v>
      </c>
      <c r="O137">
        <v>715000</v>
      </c>
      <c r="P137">
        <v>110.682</v>
      </c>
      <c r="Q137" t="s">
        <v>168</v>
      </c>
      <c r="R137">
        <v>5600</v>
      </c>
      <c r="S137">
        <v>5.6</v>
      </c>
    </row>
    <row r="138" spans="1:22" x14ac:dyDescent="0.25">
      <c r="A138">
        <v>135</v>
      </c>
      <c r="B138" t="s">
        <v>204</v>
      </c>
      <c r="C138">
        <v>40</v>
      </c>
      <c r="D138">
        <v>442.04744179750946</v>
      </c>
      <c r="E138">
        <v>30</v>
      </c>
      <c r="F138">
        <v>412.04744179750946</v>
      </c>
      <c r="G138">
        <v>738800</v>
      </c>
      <c r="H138" t="s">
        <v>153</v>
      </c>
      <c r="I138">
        <v>19000</v>
      </c>
      <c r="J138">
        <v>0</v>
      </c>
      <c r="K138" t="s">
        <v>160</v>
      </c>
      <c r="L138">
        <v>715000</v>
      </c>
      <c r="M138">
        <v>110.682</v>
      </c>
      <c r="N138" t="s">
        <v>149</v>
      </c>
      <c r="O138">
        <v>4800</v>
      </c>
      <c r="P138">
        <v>0</v>
      </c>
    </row>
    <row r="139" spans="1:22" x14ac:dyDescent="0.25">
      <c r="A139">
        <v>136</v>
      </c>
      <c r="B139" t="s">
        <v>204</v>
      </c>
      <c r="C139">
        <v>40</v>
      </c>
      <c r="D139">
        <v>416.91147015893608</v>
      </c>
      <c r="E139">
        <v>32</v>
      </c>
      <c r="F139">
        <v>384.91147015893608</v>
      </c>
      <c r="G139">
        <v>739920</v>
      </c>
      <c r="H139" t="s">
        <v>149</v>
      </c>
      <c r="I139">
        <v>5900</v>
      </c>
      <c r="J139">
        <v>0</v>
      </c>
      <c r="K139" t="s">
        <v>159</v>
      </c>
      <c r="L139">
        <v>19020</v>
      </c>
      <c r="M139">
        <v>2.944296</v>
      </c>
      <c r="N139" t="s">
        <v>160</v>
      </c>
      <c r="O139">
        <v>715000</v>
      </c>
      <c r="P139">
        <v>110.682</v>
      </c>
    </row>
    <row r="140" spans="1:22" x14ac:dyDescent="0.25">
      <c r="A140">
        <v>137</v>
      </c>
      <c r="B140" t="s">
        <v>204</v>
      </c>
      <c r="C140">
        <v>40</v>
      </c>
      <c r="D140">
        <v>372.8492105722612</v>
      </c>
      <c r="E140">
        <v>38</v>
      </c>
      <c r="F140">
        <v>334.8492105722612</v>
      </c>
      <c r="G140">
        <v>744590</v>
      </c>
      <c r="H140" t="s">
        <v>69</v>
      </c>
      <c r="I140">
        <v>24610</v>
      </c>
      <c r="J140">
        <v>8.4823408051667997</v>
      </c>
      <c r="K140" t="s">
        <v>160</v>
      </c>
      <c r="L140">
        <v>715000</v>
      </c>
      <c r="M140">
        <v>110.682</v>
      </c>
      <c r="N140" t="s">
        <v>158</v>
      </c>
      <c r="O140">
        <v>4680</v>
      </c>
      <c r="P140">
        <v>1.66625</v>
      </c>
      <c r="Q140" t="s">
        <v>149</v>
      </c>
      <c r="R140">
        <v>300</v>
      </c>
      <c r="S140">
        <v>0</v>
      </c>
    </row>
    <row r="141" spans="1:22" x14ac:dyDescent="0.25">
      <c r="A141">
        <v>138</v>
      </c>
      <c r="B141" t="s">
        <v>204</v>
      </c>
      <c r="C141">
        <v>40</v>
      </c>
      <c r="D141">
        <v>385.42938789869294</v>
      </c>
      <c r="E141">
        <v>35.975173280554714</v>
      </c>
      <c r="F141">
        <v>349.45421461813822</v>
      </c>
      <c r="G141">
        <v>744746</v>
      </c>
      <c r="H141" t="s">
        <v>69</v>
      </c>
      <c r="I141">
        <v>24610</v>
      </c>
      <c r="J141">
        <v>8.4823408051667997</v>
      </c>
      <c r="K141" t="s">
        <v>160</v>
      </c>
      <c r="L141">
        <v>715000</v>
      </c>
      <c r="M141">
        <v>110.682</v>
      </c>
      <c r="N141" t="s">
        <v>169</v>
      </c>
      <c r="O141">
        <v>5136</v>
      </c>
      <c r="P141">
        <v>1.4894399999999999</v>
      </c>
    </row>
    <row r="142" spans="1:22" x14ac:dyDescent="0.25">
      <c r="A142">
        <v>139</v>
      </c>
      <c r="B142" t="s">
        <v>204</v>
      </c>
      <c r="C142">
        <v>40</v>
      </c>
      <c r="D142">
        <v>368.1098476939386</v>
      </c>
      <c r="E142">
        <v>36</v>
      </c>
      <c r="F142">
        <v>332.1098476939386</v>
      </c>
      <c r="G142">
        <v>745210</v>
      </c>
      <c r="H142" t="s">
        <v>69</v>
      </c>
      <c r="I142">
        <v>24610</v>
      </c>
      <c r="J142">
        <v>8.4823408051667997</v>
      </c>
      <c r="K142" t="s">
        <v>160</v>
      </c>
      <c r="L142">
        <v>715000</v>
      </c>
      <c r="M142">
        <v>110.682</v>
      </c>
      <c r="N142" t="s">
        <v>168</v>
      </c>
      <c r="O142">
        <v>5600</v>
      </c>
      <c r="P142">
        <v>5.6</v>
      </c>
    </row>
    <row r="143" spans="1:22" x14ac:dyDescent="0.25">
      <c r="A143">
        <v>140</v>
      </c>
      <c r="B143" t="s">
        <v>204</v>
      </c>
      <c r="C143">
        <v>40</v>
      </c>
      <c r="D143">
        <v>416.62440778603184</v>
      </c>
      <c r="E143">
        <v>33</v>
      </c>
      <c r="F143">
        <v>383.62440778603184</v>
      </c>
      <c r="G143">
        <v>744410</v>
      </c>
      <c r="H143" t="s">
        <v>69</v>
      </c>
      <c r="I143">
        <v>24610</v>
      </c>
      <c r="J143">
        <v>8.4823408051667997</v>
      </c>
      <c r="K143" t="s">
        <v>160</v>
      </c>
      <c r="L143">
        <v>715000</v>
      </c>
      <c r="M143">
        <v>110.682</v>
      </c>
      <c r="N143" t="s">
        <v>149</v>
      </c>
      <c r="O143">
        <v>4800</v>
      </c>
      <c r="P143">
        <v>0</v>
      </c>
    </row>
    <row r="144" spans="1:22" x14ac:dyDescent="0.25">
      <c r="A144">
        <v>141</v>
      </c>
      <c r="B144" t="s">
        <v>204</v>
      </c>
      <c r="C144">
        <v>40</v>
      </c>
      <c r="D144">
        <v>398.39883623372748</v>
      </c>
      <c r="E144">
        <v>34.999999999999993</v>
      </c>
      <c r="F144">
        <v>363.39883623372748</v>
      </c>
      <c r="G144">
        <v>738980</v>
      </c>
      <c r="H144" t="s">
        <v>153</v>
      </c>
      <c r="I144">
        <v>19000</v>
      </c>
      <c r="J144">
        <v>0</v>
      </c>
      <c r="K144" t="s">
        <v>160</v>
      </c>
      <c r="L144">
        <v>715000</v>
      </c>
      <c r="M144">
        <v>110.682</v>
      </c>
      <c r="N144" t="s">
        <v>158</v>
      </c>
      <c r="O144">
        <v>4680</v>
      </c>
      <c r="P144">
        <v>1.66625</v>
      </c>
      <c r="Q144" t="s">
        <v>149</v>
      </c>
      <c r="R144">
        <v>300</v>
      </c>
      <c r="S144">
        <v>0</v>
      </c>
    </row>
    <row r="145" spans="1:25" x14ac:dyDescent="0.25">
      <c r="A145">
        <v>142</v>
      </c>
      <c r="B145" t="s">
        <v>204</v>
      </c>
      <c r="C145">
        <v>40</v>
      </c>
      <c r="D145">
        <v>410.96836122175074</v>
      </c>
      <c r="E145">
        <v>32.977069443241838</v>
      </c>
      <c r="F145">
        <v>377.99129177850892</v>
      </c>
      <c r="G145">
        <v>739136</v>
      </c>
      <c r="H145" t="s">
        <v>153</v>
      </c>
      <c r="I145">
        <v>19000</v>
      </c>
      <c r="J145">
        <v>0</v>
      </c>
      <c r="K145" t="s">
        <v>160</v>
      </c>
      <c r="L145">
        <v>715000</v>
      </c>
      <c r="M145">
        <v>110.682</v>
      </c>
      <c r="N145" t="s">
        <v>169</v>
      </c>
      <c r="O145">
        <v>5136</v>
      </c>
      <c r="P145">
        <v>1.4894399999999999</v>
      </c>
    </row>
    <row r="146" spans="1:25" x14ac:dyDescent="0.25">
      <c r="A146">
        <v>143</v>
      </c>
      <c r="B146" t="s">
        <v>204</v>
      </c>
      <c r="C146">
        <v>40</v>
      </c>
      <c r="D146">
        <v>406.05191995673334</v>
      </c>
      <c r="E146">
        <v>33</v>
      </c>
      <c r="F146">
        <v>373.05191995673334</v>
      </c>
      <c r="G146">
        <v>739600</v>
      </c>
      <c r="H146" t="s">
        <v>153</v>
      </c>
      <c r="I146">
        <v>19000</v>
      </c>
      <c r="J146">
        <v>0</v>
      </c>
      <c r="K146" t="s">
        <v>160</v>
      </c>
      <c r="L146">
        <v>715000</v>
      </c>
      <c r="M146">
        <v>110.682</v>
      </c>
      <c r="N146" t="s">
        <v>168</v>
      </c>
      <c r="O146">
        <v>5600</v>
      </c>
      <c r="P146">
        <v>5.6</v>
      </c>
    </row>
    <row r="147" spans="1:25" x14ac:dyDescent="0.25">
      <c r="A147">
        <v>144</v>
      </c>
      <c r="B147" t="s">
        <v>204</v>
      </c>
      <c r="C147">
        <v>40</v>
      </c>
      <c r="D147">
        <v>380.51625005032133</v>
      </c>
      <c r="E147">
        <v>36</v>
      </c>
      <c r="F147">
        <v>344.51625005032133</v>
      </c>
      <c r="G147">
        <v>745210</v>
      </c>
      <c r="H147" t="s">
        <v>69</v>
      </c>
      <c r="I147">
        <v>24610</v>
      </c>
      <c r="J147">
        <v>8.4823408051667997</v>
      </c>
      <c r="K147" t="s">
        <v>160</v>
      </c>
      <c r="L147">
        <v>715000</v>
      </c>
      <c r="M147">
        <v>110.682</v>
      </c>
      <c r="N147" t="s">
        <v>168</v>
      </c>
      <c r="O147">
        <v>5600</v>
      </c>
      <c r="P147">
        <v>5.6</v>
      </c>
    </row>
    <row r="148" spans="1:25" x14ac:dyDescent="0.25">
      <c r="A148">
        <v>145</v>
      </c>
      <c r="B148" t="s">
        <v>204</v>
      </c>
      <c r="C148">
        <v>41</v>
      </c>
      <c r="D148">
        <v>298.14239645940836</v>
      </c>
      <c r="E148">
        <v>65.924962926347007</v>
      </c>
      <c r="F148">
        <v>232.21743353306138</v>
      </c>
      <c r="G148">
        <v>432922</v>
      </c>
      <c r="H148" t="s">
        <v>169</v>
      </c>
      <c r="I148">
        <v>4922</v>
      </c>
      <c r="J148">
        <v>1.4273799999999999</v>
      </c>
      <c r="K148" t="s">
        <v>160</v>
      </c>
      <c r="L148">
        <v>425000</v>
      </c>
      <c r="M148">
        <v>65.789999999999992</v>
      </c>
      <c r="N148" t="s">
        <v>168</v>
      </c>
      <c r="O148">
        <v>3000</v>
      </c>
      <c r="P148">
        <v>3</v>
      </c>
    </row>
    <row r="149" spans="1:25" x14ac:dyDescent="0.25">
      <c r="A149">
        <v>146</v>
      </c>
      <c r="B149" t="s">
        <v>204</v>
      </c>
      <c r="C149">
        <v>41</v>
      </c>
      <c r="D149">
        <v>320.88915093250051</v>
      </c>
      <c r="E149">
        <v>63.927236777063762</v>
      </c>
      <c r="F149">
        <v>256.96191415543677</v>
      </c>
      <c r="G149">
        <v>432922</v>
      </c>
      <c r="H149" t="s">
        <v>169</v>
      </c>
      <c r="I149">
        <v>4922</v>
      </c>
      <c r="J149">
        <v>1.4273799999999999</v>
      </c>
      <c r="K149" t="s">
        <v>160</v>
      </c>
      <c r="L149">
        <v>425000</v>
      </c>
      <c r="M149">
        <v>65.789999999999992</v>
      </c>
      <c r="N149" t="s">
        <v>149</v>
      </c>
      <c r="O149">
        <v>3000</v>
      </c>
      <c r="P149">
        <v>0</v>
      </c>
      <c r="S149" t="s">
        <v>201</v>
      </c>
      <c r="V149" t="s">
        <v>201</v>
      </c>
      <c r="Y149" t="s">
        <v>201</v>
      </c>
    </row>
    <row r="150" spans="1:25" x14ac:dyDescent="0.25">
      <c r="A150">
        <v>147</v>
      </c>
      <c r="B150" t="s">
        <v>204</v>
      </c>
      <c r="C150">
        <v>41</v>
      </c>
      <c r="D150">
        <v>299.09410725257669</v>
      </c>
      <c r="E150">
        <v>65.924962926347007</v>
      </c>
      <c r="F150">
        <v>233.16914432622966</v>
      </c>
      <c r="G150">
        <v>432922</v>
      </c>
      <c r="H150" t="s">
        <v>169</v>
      </c>
      <c r="I150">
        <v>4922</v>
      </c>
      <c r="J150">
        <v>1.4273799999999999</v>
      </c>
      <c r="K150" t="s">
        <v>160</v>
      </c>
      <c r="L150">
        <v>425000</v>
      </c>
      <c r="M150">
        <v>65.789999999999992</v>
      </c>
      <c r="N150" t="s">
        <v>168</v>
      </c>
      <c r="O150">
        <v>3000</v>
      </c>
      <c r="P150">
        <v>3</v>
      </c>
      <c r="S150" t="s">
        <v>201</v>
      </c>
      <c r="V150" t="s">
        <v>201</v>
      </c>
      <c r="Y150" t="s">
        <v>201</v>
      </c>
    </row>
    <row r="151" spans="1:25" x14ac:dyDescent="0.25">
      <c r="A151">
        <v>148</v>
      </c>
      <c r="B151" t="s">
        <v>204</v>
      </c>
      <c r="C151">
        <v>41</v>
      </c>
      <c r="D151">
        <v>275.59785202957994</v>
      </c>
      <c r="E151">
        <v>103.07453874974885</v>
      </c>
      <c r="F151">
        <v>172.52331327983106</v>
      </c>
      <c r="G151">
        <v>507642</v>
      </c>
      <c r="H151" t="s">
        <v>69</v>
      </c>
      <c r="I151">
        <v>14552</v>
      </c>
      <c r="J151">
        <v>5.01564499783776</v>
      </c>
      <c r="K151" t="s">
        <v>163</v>
      </c>
      <c r="L151">
        <v>400000</v>
      </c>
      <c r="M151">
        <v>51</v>
      </c>
      <c r="N151" t="s">
        <v>169</v>
      </c>
      <c r="O151">
        <v>93090</v>
      </c>
      <c r="P151">
        <v>26.996099999999998</v>
      </c>
      <c r="S151" t="s">
        <v>201</v>
      </c>
      <c r="V151" t="s">
        <v>201</v>
      </c>
      <c r="Y151" t="s">
        <v>201</v>
      </c>
    </row>
    <row r="152" spans="1:25" x14ac:dyDescent="0.25">
      <c r="A152">
        <v>149</v>
      </c>
      <c r="B152" t="s">
        <v>204</v>
      </c>
      <c r="C152">
        <v>41</v>
      </c>
      <c r="D152">
        <v>313.777344638758</v>
      </c>
      <c r="E152">
        <v>72.836180201524797</v>
      </c>
      <c r="F152">
        <v>240.94116443723323</v>
      </c>
      <c r="G152">
        <v>433892</v>
      </c>
      <c r="H152" t="s">
        <v>169</v>
      </c>
      <c r="I152">
        <v>4922</v>
      </c>
      <c r="J152">
        <v>1.4273799999999999</v>
      </c>
      <c r="K152" t="s">
        <v>160</v>
      </c>
      <c r="L152">
        <v>425000</v>
      </c>
      <c r="M152">
        <v>65.789999999999992</v>
      </c>
      <c r="N152" t="s">
        <v>155</v>
      </c>
      <c r="O152">
        <v>3210</v>
      </c>
      <c r="P152">
        <v>1.7689375000000001</v>
      </c>
      <c r="Q152" t="s">
        <v>149</v>
      </c>
      <c r="R152">
        <v>760</v>
      </c>
      <c r="S152">
        <v>0</v>
      </c>
      <c r="V152" t="s">
        <v>201</v>
      </c>
      <c r="Y152" t="s">
        <v>201</v>
      </c>
    </row>
    <row r="153" spans="1:25" x14ac:dyDescent="0.25">
      <c r="A153">
        <v>150</v>
      </c>
      <c r="B153" t="s">
        <v>204</v>
      </c>
      <c r="C153">
        <v>41</v>
      </c>
      <c r="D153">
        <v>314.92535407476203</v>
      </c>
      <c r="E153">
        <v>63</v>
      </c>
      <c r="F153">
        <v>251.92535407476203</v>
      </c>
      <c r="G153">
        <v>430700</v>
      </c>
      <c r="H153" t="s">
        <v>154</v>
      </c>
      <c r="I153">
        <v>2700</v>
      </c>
      <c r="J153">
        <v>4.725E-3</v>
      </c>
      <c r="K153" t="s">
        <v>160</v>
      </c>
      <c r="L153">
        <v>425000</v>
      </c>
      <c r="M153">
        <v>65.789999999999992</v>
      </c>
      <c r="N153" t="s">
        <v>149</v>
      </c>
      <c r="O153">
        <v>3000</v>
      </c>
      <c r="P153">
        <v>0</v>
      </c>
      <c r="S153" t="s">
        <v>201</v>
      </c>
    </row>
    <row r="154" spans="1:25" x14ac:dyDescent="0.25">
      <c r="A154">
        <v>151</v>
      </c>
      <c r="B154" t="s">
        <v>204</v>
      </c>
      <c r="C154">
        <v>41</v>
      </c>
      <c r="D154">
        <v>291.25748781054097</v>
      </c>
      <c r="E154">
        <v>65</v>
      </c>
      <c r="F154">
        <v>226.25748781054099</v>
      </c>
      <c r="G154">
        <v>430700</v>
      </c>
      <c r="H154" t="s">
        <v>154</v>
      </c>
      <c r="I154">
        <v>2700</v>
      </c>
      <c r="J154">
        <v>4.725E-3</v>
      </c>
      <c r="K154" t="s">
        <v>160</v>
      </c>
      <c r="L154">
        <v>425000</v>
      </c>
      <c r="M154">
        <v>65.789999999999992</v>
      </c>
      <c r="N154" t="s">
        <v>168</v>
      </c>
      <c r="O154">
        <v>3000</v>
      </c>
      <c r="P154">
        <v>3</v>
      </c>
      <c r="S154" t="s">
        <v>201</v>
      </c>
    </row>
    <row r="155" spans="1:25" x14ac:dyDescent="0.25">
      <c r="A155">
        <v>152</v>
      </c>
      <c r="B155" t="s">
        <v>204</v>
      </c>
      <c r="C155">
        <v>41</v>
      </c>
      <c r="D155">
        <v>296.36717776566957</v>
      </c>
      <c r="E155">
        <v>66.874208324483064</v>
      </c>
      <c r="F155">
        <v>229.49296944118652</v>
      </c>
      <c r="G155">
        <v>433132</v>
      </c>
      <c r="H155" t="s">
        <v>169</v>
      </c>
      <c r="I155">
        <v>8132.0000000000009</v>
      </c>
      <c r="J155">
        <v>2.3582799999999997</v>
      </c>
      <c r="K155" t="s">
        <v>160</v>
      </c>
      <c r="L155">
        <v>425000</v>
      </c>
      <c r="M155">
        <v>65.789999999999992</v>
      </c>
      <c r="P155" t="s">
        <v>201</v>
      </c>
      <c r="S155" t="s">
        <v>201</v>
      </c>
      <c r="V155" t="s">
        <v>201</v>
      </c>
      <c r="Y155" t="s">
        <v>201</v>
      </c>
    </row>
    <row r="156" spans="1:25" x14ac:dyDescent="0.25">
      <c r="A156">
        <v>153</v>
      </c>
      <c r="B156" t="s">
        <v>204</v>
      </c>
      <c r="C156">
        <v>41</v>
      </c>
      <c r="D156">
        <v>300.18295598865939</v>
      </c>
      <c r="E156">
        <v>131.86827685114568</v>
      </c>
      <c r="F156">
        <v>168.31467913751371</v>
      </c>
      <c r="G156">
        <v>482512</v>
      </c>
      <c r="H156" t="s">
        <v>69</v>
      </c>
      <c r="I156">
        <v>14552</v>
      </c>
      <c r="J156">
        <v>5.01564499783776</v>
      </c>
      <c r="K156" t="s">
        <v>163</v>
      </c>
      <c r="L156">
        <v>400000</v>
      </c>
      <c r="M156">
        <v>51</v>
      </c>
      <c r="N156" t="s">
        <v>159</v>
      </c>
      <c r="O156">
        <v>64000</v>
      </c>
      <c r="P156">
        <v>9.9071999999999996</v>
      </c>
      <c r="Q156" t="s">
        <v>155</v>
      </c>
      <c r="R156">
        <v>3210</v>
      </c>
      <c r="S156">
        <v>1.7689375000000001</v>
      </c>
      <c r="T156" t="s">
        <v>149</v>
      </c>
      <c r="U156">
        <v>750</v>
      </c>
      <c r="V156">
        <v>0</v>
      </c>
      <c r="Y156" t="s">
        <v>201</v>
      </c>
    </row>
    <row r="157" spans="1:25" x14ac:dyDescent="0.25">
      <c r="A157">
        <v>154</v>
      </c>
      <c r="B157" t="s">
        <v>204</v>
      </c>
      <c r="C157">
        <v>41</v>
      </c>
      <c r="D157">
        <v>308.7916748905414</v>
      </c>
      <c r="E157">
        <v>71.91968865105288</v>
      </c>
      <c r="F157">
        <v>236.87198623948851</v>
      </c>
      <c r="G157">
        <v>431670</v>
      </c>
      <c r="H157" t="s">
        <v>153</v>
      </c>
      <c r="I157">
        <v>2700</v>
      </c>
      <c r="J157">
        <v>0</v>
      </c>
      <c r="K157" t="s">
        <v>160</v>
      </c>
      <c r="L157">
        <v>425000</v>
      </c>
      <c r="M157">
        <v>65.789999999999992</v>
      </c>
      <c r="N157" t="s">
        <v>155</v>
      </c>
      <c r="O157">
        <v>3210</v>
      </c>
      <c r="P157">
        <v>1.7689375000000001</v>
      </c>
      <c r="Q157" t="s">
        <v>149</v>
      </c>
      <c r="R157">
        <v>760</v>
      </c>
      <c r="S157">
        <v>0</v>
      </c>
      <c r="V157" t="s">
        <v>201</v>
      </c>
      <c r="Y157" t="s">
        <v>201</v>
      </c>
    </row>
    <row r="158" spans="1:25" x14ac:dyDescent="0.25">
      <c r="A158">
        <v>155</v>
      </c>
      <c r="B158" t="s">
        <v>204</v>
      </c>
      <c r="C158">
        <v>41</v>
      </c>
      <c r="D158">
        <v>272.16656281367477</v>
      </c>
      <c r="E158">
        <v>97.186165836761205</v>
      </c>
      <c r="F158">
        <v>174.98039697691354</v>
      </c>
      <c r="G158">
        <v>508090</v>
      </c>
      <c r="H158" t="s">
        <v>149</v>
      </c>
      <c r="I158">
        <v>1000</v>
      </c>
      <c r="J158">
        <v>0</v>
      </c>
      <c r="K158" t="s">
        <v>160</v>
      </c>
      <c r="L158">
        <v>14000</v>
      </c>
      <c r="M158">
        <v>2.1671999999999998</v>
      </c>
      <c r="N158" t="s">
        <v>163</v>
      </c>
      <c r="O158">
        <v>400000</v>
      </c>
      <c r="P158">
        <v>51</v>
      </c>
      <c r="Q158" t="s">
        <v>169</v>
      </c>
      <c r="R158">
        <v>93090</v>
      </c>
      <c r="S158">
        <v>26.996099999999998</v>
      </c>
      <c r="V158" t="s">
        <v>201</v>
      </c>
      <c r="Y158" t="s">
        <v>201</v>
      </c>
    </row>
    <row r="159" spans="1:25" x14ac:dyDescent="0.25">
      <c r="A159">
        <v>156</v>
      </c>
      <c r="B159" t="s">
        <v>204</v>
      </c>
      <c r="C159">
        <v>41</v>
      </c>
      <c r="D159">
        <v>296.56547001822094</v>
      </c>
      <c r="E159">
        <v>125.8743809011098</v>
      </c>
      <c r="F159">
        <v>170.69108911711115</v>
      </c>
      <c r="G159">
        <v>482960</v>
      </c>
      <c r="H159" t="s">
        <v>149</v>
      </c>
      <c r="I159">
        <v>1750</v>
      </c>
      <c r="J159">
        <v>0</v>
      </c>
      <c r="K159" t="s">
        <v>160</v>
      </c>
      <c r="L159">
        <v>14000</v>
      </c>
      <c r="M159">
        <v>2.1671999999999998</v>
      </c>
      <c r="N159" t="s">
        <v>163</v>
      </c>
      <c r="O159">
        <v>400000</v>
      </c>
      <c r="P159">
        <v>51</v>
      </c>
      <c r="Q159" t="s">
        <v>159</v>
      </c>
      <c r="R159">
        <v>64000</v>
      </c>
      <c r="S159">
        <v>9.9071999999999996</v>
      </c>
      <c r="T159" t="s">
        <v>155</v>
      </c>
      <c r="U159">
        <v>3210</v>
      </c>
      <c r="V159">
        <v>1.7689375000000001</v>
      </c>
      <c r="Y159" t="s">
        <v>201</v>
      </c>
    </row>
    <row r="160" spans="1:25" x14ac:dyDescent="0.25">
      <c r="A160">
        <v>157</v>
      </c>
      <c r="B160" t="s">
        <v>204</v>
      </c>
      <c r="C160">
        <v>41</v>
      </c>
      <c r="D160">
        <v>279.69996681943553</v>
      </c>
      <c r="E160">
        <v>120.91945210592895</v>
      </c>
      <c r="F160">
        <v>158.78051471350656</v>
      </c>
      <c r="G160">
        <v>482210</v>
      </c>
      <c r="H160" t="s">
        <v>149</v>
      </c>
      <c r="I160">
        <v>1000</v>
      </c>
      <c r="J160">
        <v>0</v>
      </c>
      <c r="K160" t="s">
        <v>160</v>
      </c>
      <c r="L160">
        <v>14000</v>
      </c>
      <c r="M160">
        <v>2.1671999999999998</v>
      </c>
      <c r="N160" t="s">
        <v>163</v>
      </c>
      <c r="O160">
        <v>400000</v>
      </c>
      <c r="P160">
        <v>51</v>
      </c>
      <c r="Q160" t="s">
        <v>159</v>
      </c>
      <c r="R160">
        <v>64000</v>
      </c>
      <c r="S160">
        <v>9.9071999999999996</v>
      </c>
      <c r="T160" t="s">
        <v>169</v>
      </c>
      <c r="U160">
        <v>3210</v>
      </c>
      <c r="V160">
        <v>0.93089999999999995</v>
      </c>
      <c r="Y160" t="s">
        <v>201</v>
      </c>
    </row>
    <row r="161" spans="1:25" x14ac:dyDescent="0.25">
      <c r="A161">
        <v>158</v>
      </c>
      <c r="B161" t="s">
        <v>204</v>
      </c>
      <c r="C161">
        <v>41</v>
      </c>
      <c r="D161">
        <v>297.72653461834091</v>
      </c>
      <c r="E161">
        <v>97.183663454147705</v>
      </c>
      <c r="F161">
        <v>200.54287116419323</v>
      </c>
      <c r="G161">
        <v>507390</v>
      </c>
      <c r="H161" t="s">
        <v>153</v>
      </c>
      <c r="I161">
        <v>14300</v>
      </c>
      <c r="J161">
        <v>0</v>
      </c>
      <c r="K161" t="s">
        <v>163</v>
      </c>
      <c r="L161">
        <v>400000</v>
      </c>
      <c r="M161">
        <v>51</v>
      </c>
      <c r="N161" t="s">
        <v>169</v>
      </c>
      <c r="O161">
        <v>93090</v>
      </c>
      <c r="P161">
        <v>26.996099999999998</v>
      </c>
      <c r="S161" t="s">
        <v>201</v>
      </c>
      <c r="V161" t="s">
        <v>201</v>
      </c>
      <c r="Y161" t="s">
        <v>201</v>
      </c>
    </row>
    <row r="162" spans="1:25" x14ac:dyDescent="0.25">
      <c r="A162">
        <v>159</v>
      </c>
      <c r="B162" t="s">
        <v>204</v>
      </c>
      <c r="C162">
        <v>41</v>
      </c>
      <c r="D162">
        <v>321.65880831916388</v>
      </c>
      <c r="E162">
        <v>125.87419856508936</v>
      </c>
      <c r="F162">
        <v>195.78460975407455</v>
      </c>
      <c r="G162">
        <v>482260</v>
      </c>
      <c r="H162" t="s">
        <v>153</v>
      </c>
      <c r="I162">
        <v>14300</v>
      </c>
      <c r="J162">
        <v>0</v>
      </c>
      <c r="K162" t="s">
        <v>163</v>
      </c>
      <c r="L162">
        <v>400000</v>
      </c>
      <c r="M162">
        <v>51</v>
      </c>
      <c r="N162" t="s">
        <v>159</v>
      </c>
      <c r="O162">
        <v>64000</v>
      </c>
      <c r="P162">
        <v>9.9071999999999996</v>
      </c>
      <c r="Q162" t="s">
        <v>155</v>
      </c>
      <c r="R162">
        <v>3210</v>
      </c>
      <c r="S162">
        <v>1.7689375000000001</v>
      </c>
      <c r="T162" t="s">
        <v>149</v>
      </c>
      <c r="U162">
        <v>750</v>
      </c>
      <c r="V162">
        <v>0</v>
      </c>
      <c r="Y162" t="s">
        <v>201</v>
      </c>
    </row>
    <row r="163" spans="1:25" x14ac:dyDescent="0.25">
      <c r="A163">
        <v>160</v>
      </c>
      <c r="B163" t="s">
        <v>204</v>
      </c>
      <c r="C163">
        <v>41</v>
      </c>
      <c r="D163">
        <v>304.77620090963842</v>
      </c>
      <c r="E163">
        <v>120.91933500861872</v>
      </c>
      <c r="F163">
        <v>183.85686590101972</v>
      </c>
      <c r="G163">
        <v>481510</v>
      </c>
      <c r="H163" t="s">
        <v>153</v>
      </c>
      <c r="I163">
        <v>14300</v>
      </c>
      <c r="J163">
        <v>0</v>
      </c>
      <c r="K163" t="s">
        <v>163</v>
      </c>
      <c r="L163">
        <v>400000</v>
      </c>
      <c r="M163">
        <v>51</v>
      </c>
      <c r="N163" t="s">
        <v>159</v>
      </c>
      <c r="O163">
        <v>64000</v>
      </c>
      <c r="P163">
        <v>9.9071999999999996</v>
      </c>
      <c r="Q163" t="s">
        <v>169</v>
      </c>
      <c r="R163">
        <v>3210</v>
      </c>
      <c r="S163">
        <v>0.93089999999999995</v>
      </c>
      <c r="V163" t="s">
        <v>201</v>
      </c>
      <c r="Y163" t="s">
        <v>201</v>
      </c>
    </row>
    <row r="164" spans="1:25" x14ac:dyDescent="0.25">
      <c r="A164">
        <v>161</v>
      </c>
      <c r="B164" t="s">
        <v>204</v>
      </c>
      <c r="C164">
        <v>41</v>
      </c>
      <c r="D164">
        <v>269.42408626551781</v>
      </c>
      <c r="E164">
        <v>96.900772985686771</v>
      </c>
      <c r="F164">
        <v>172.52331327983106</v>
      </c>
      <c r="G164">
        <v>507642</v>
      </c>
      <c r="H164" t="s">
        <v>169</v>
      </c>
      <c r="I164">
        <v>107642</v>
      </c>
      <c r="J164">
        <v>31.216179999999998</v>
      </c>
      <c r="K164" t="s">
        <v>163</v>
      </c>
      <c r="L164">
        <v>400000</v>
      </c>
      <c r="M164">
        <v>51</v>
      </c>
      <c r="P164" t="s">
        <v>201</v>
      </c>
      <c r="S164" t="s">
        <v>201</v>
      </c>
      <c r="V164" t="s">
        <v>201</v>
      </c>
      <c r="Y164" t="s">
        <v>201</v>
      </c>
    </row>
    <row r="165" spans="1:25" x14ac:dyDescent="0.25">
      <c r="A165">
        <v>162</v>
      </c>
      <c r="B165" t="s">
        <v>204</v>
      </c>
      <c r="C165">
        <v>41</v>
      </c>
      <c r="D165">
        <v>293.80894207812452</v>
      </c>
      <c r="E165">
        <v>125.49426294061082</v>
      </c>
      <c r="F165">
        <v>168.31467913751371</v>
      </c>
      <c r="G165">
        <v>482512</v>
      </c>
      <c r="H165" t="s">
        <v>169</v>
      </c>
      <c r="I165">
        <v>14552</v>
      </c>
      <c r="J165">
        <v>4.2200799999999994</v>
      </c>
      <c r="K165" t="s">
        <v>163</v>
      </c>
      <c r="L165">
        <v>400000</v>
      </c>
      <c r="M165">
        <v>51</v>
      </c>
      <c r="N165" t="s">
        <v>159</v>
      </c>
      <c r="O165">
        <v>64000</v>
      </c>
      <c r="P165">
        <v>9.9071999999999996</v>
      </c>
      <c r="Q165" t="s">
        <v>155</v>
      </c>
      <c r="R165">
        <v>3210</v>
      </c>
      <c r="S165">
        <v>1.7689375000000001</v>
      </c>
      <c r="T165" t="s">
        <v>149</v>
      </c>
      <c r="U165">
        <v>750</v>
      </c>
      <c r="V165">
        <v>0</v>
      </c>
      <c r="Y165" t="s">
        <v>201</v>
      </c>
    </row>
    <row r="166" spans="1:25" x14ac:dyDescent="0.25">
      <c r="A166">
        <v>163</v>
      </c>
      <c r="B166" t="s">
        <v>204</v>
      </c>
      <c r="C166">
        <v>41</v>
      </c>
      <c r="D166">
        <v>276.9162370215999</v>
      </c>
      <c r="E166">
        <v>120.55388718910999</v>
      </c>
      <c r="F166">
        <v>156.36234983248991</v>
      </c>
      <c r="G166">
        <v>481762</v>
      </c>
      <c r="H166" t="s">
        <v>169</v>
      </c>
      <c r="I166">
        <v>17762</v>
      </c>
      <c r="J166">
        <v>5.1509799999999997</v>
      </c>
      <c r="K166" t="s">
        <v>163</v>
      </c>
      <c r="L166">
        <v>400000</v>
      </c>
      <c r="M166">
        <v>51</v>
      </c>
      <c r="N166" t="s">
        <v>159</v>
      </c>
      <c r="O166">
        <v>64000</v>
      </c>
      <c r="P166">
        <v>9.9071999999999996</v>
      </c>
      <c r="S166" t="s">
        <v>201</v>
      </c>
      <c r="V166" t="s">
        <v>201</v>
      </c>
      <c r="Y166" t="s">
        <v>201</v>
      </c>
    </row>
    <row r="167" spans="1:25" x14ac:dyDescent="0.25">
      <c r="A167">
        <v>164</v>
      </c>
      <c r="B167" t="s">
        <v>204</v>
      </c>
      <c r="C167">
        <v>41</v>
      </c>
      <c r="D167">
        <v>290.43573646469099</v>
      </c>
      <c r="E167">
        <v>65.950834280940327</v>
      </c>
      <c r="F167">
        <v>224.48490218375065</v>
      </c>
      <c r="G167">
        <v>430910</v>
      </c>
      <c r="H167" t="s">
        <v>154</v>
      </c>
      <c r="I167">
        <v>2700</v>
      </c>
      <c r="J167">
        <v>4.725E-3</v>
      </c>
      <c r="K167" t="s">
        <v>160</v>
      </c>
      <c r="L167">
        <v>425000</v>
      </c>
      <c r="M167">
        <v>65.789999999999992</v>
      </c>
      <c r="N167" t="s">
        <v>169</v>
      </c>
      <c r="O167">
        <v>3210</v>
      </c>
      <c r="P167">
        <v>0.93089999999999995</v>
      </c>
      <c r="S167" t="s">
        <v>201</v>
      </c>
    </row>
    <row r="168" spans="1:25" x14ac:dyDescent="0.25">
      <c r="A168">
        <v>165</v>
      </c>
      <c r="B168" t="s">
        <v>204</v>
      </c>
      <c r="C168">
        <v>41</v>
      </c>
      <c r="D168">
        <v>283.27772921068913</v>
      </c>
      <c r="E168">
        <v>126.91537937819919</v>
      </c>
      <c r="F168">
        <v>156.36234983248991</v>
      </c>
      <c r="G168">
        <v>481762</v>
      </c>
      <c r="H168" t="s">
        <v>69</v>
      </c>
      <c r="I168">
        <v>14552</v>
      </c>
      <c r="J168">
        <v>5.01564499783776</v>
      </c>
      <c r="K168" t="s">
        <v>163</v>
      </c>
      <c r="L168">
        <v>400000</v>
      </c>
      <c r="M168">
        <v>51</v>
      </c>
      <c r="N168" t="s">
        <v>159</v>
      </c>
      <c r="O168">
        <v>64000</v>
      </c>
      <c r="P168">
        <v>9.9071999999999996</v>
      </c>
      <c r="Q168" t="s">
        <v>169</v>
      </c>
      <c r="R168">
        <v>3210</v>
      </c>
      <c r="S168">
        <v>0.93089999999999995</v>
      </c>
      <c r="V168" t="s">
        <v>201</v>
      </c>
      <c r="Y168" t="s">
        <v>201</v>
      </c>
    </row>
    <row r="169" spans="1:25" x14ac:dyDescent="0.25">
      <c r="A169">
        <v>166</v>
      </c>
      <c r="B169" t="s">
        <v>204</v>
      </c>
      <c r="C169">
        <v>41</v>
      </c>
      <c r="D169">
        <v>307.84038177311373</v>
      </c>
      <c r="E169">
        <v>71.91968865105288</v>
      </c>
      <c r="F169">
        <v>235.92069312206084</v>
      </c>
      <c r="G169">
        <v>431670</v>
      </c>
      <c r="H169" t="s">
        <v>154</v>
      </c>
      <c r="I169">
        <v>2700</v>
      </c>
      <c r="J169">
        <v>4.725E-3</v>
      </c>
      <c r="K169" t="s">
        <v>160</v>
      </c>
      <c r="L169">
        <v>425000</v>
      </c>
      <c r="M169">
        <v>65.789999999999992</v>
      </c>
      <c r="N169" t="s">
        <v>155</v>
      </c>
      <c r="O169">
        <v>3210</v>
      </c>
      <c r="P169">
        <v>1.7689375000000001</v>
      </c>
      <c r="Q169" t="s">
        <v>149</v>
      </c>
      <c r="R169">
        <v>760</v>
      </c>
      <c r="S169">
        <v>0</v>
      </c>
    </row>
    <row r="170" spans="1:25" x14ac:dyDescent="0.25">
      <c r="A170">
        <v>167</v>
      </c>
      <c r="B170" t="s">
        <v>204</v>
      </c>
      <c r="C170">
        <v>41</v>
      </c>
      <c r="D170">
        <v>299.53491620111731</v>
      </c>
      <c r="E170">
        <v>60</v>
      </c>
      <c r="F170">
        <v>239.53491620111731</v>
      </c>
      <c r="G170">
        <v>429600</v>
      </c>
      <c r="H170" t="s">
        <v>149</v>
      </c>
      <c r="I170">
        <v>1600</v>
      </c>
      <c r="J170">
        <v>0</v>
      </c>
      <c r="K170" t="s">
        <v>160</v>
      </c>
      <c r="L170">
        <v>425000</v>
      </c>
      <c r="M170">
        <v>65.789999999999992</v>
      </c>
      <c r="N170" t="s">
        <v>168</v>
      </c>
      <c r="O170">
        <v>3000</v>
      </c>
      <c r="P170">
        <v>3</v>
      </c>
      <c r="S170" t="s">
        <v>201</v>
      </c>
      <c r="V170" t="s">
        <v>201</v>
      </c>
      <c r="Y170" t="s">
        <v>201</v>
      </c>
    </row>
    <row r="171" spans="1:25" x14ac:dyDescent="0.25">
      <c r="A171">
        <v>168</v>
      </c>
      <c r="B171" t="s">
        <v>204</v>
      </c>
      <c r="C171">
        <v>41</v>
      </c>
      <c r="D171">
        <v>294.10947295100999</v>
      </c>
      <c r="E171">
        <v>65</v>
      </c>
      <c r="F171">
        <v>229.10947295100999</v>
      </c>
      <c r="G171">
        <v>430700</v>
      </c>
      <c r="H171" t="s">
        <v>153</v>
      </c>
      <c r="I171">
        <v>2700</v>
      </c>
      <c r="J171">
        <v>0</v>
      </c>
      <c r="K171" t="s">
        <v>160</v>
      </c>
      <c r="L171">
        <v>425000</v>
      </c>
      <c r="M171">
        <v>65.789999999999992</v>
      </c>
      <c r="N171" t="s">
        <v>168</v>
      </c>
      <c r="O171">
        <v>3000</v>
      </c>
      <c r="P171">
        <v>3</v>
      </c>
      <c r="S171" t="s">
        <v>201</v>
      </c>
      <c r="V171" t="s">
        <v>201</v>
      </c>
      <c r="Y171" t="s">
        <v>201</v>
      </c>
    </row>
    <row r="172" spans="1:25" x14ac:dyDescent="0.25">
      <c r="A172">
        <v>169</v>
      </c>
      <c r="B172" t="s">
        <v>204</v>
      </c>
      <c r="C172">
        <v>41</v>
      </c>
      <c r="D172">
        <v>315.87601578825172</v>
      </c>
      <c r="E172">
        <v>63</v>
      </c>
      <c r="F172">
        <v>252.87601578825169</v>
      </c>
      <c r="G172">
        <v>430700</v>
      </c>
      <c r="H172" t="s">
        <v>153</v>
      </c>
      <c r="I172">
        <v>2700</v>
      </c>
      <c r="J172">
        <v>0</v>
      </c>
      <c r="K172" t="s">
        <v>160</v>
      </c>
      <c r="L172">
        <v>425000</v>
      </c>
      <c r="M172">
        <v>65.789999999999992</v>
      </c>
      <c r="N172" t="s">
        <v>149</v>
      </c>
      <c r="O172">
        <v>3000</v>
      </c>
      <c r="P172">
        <v>0</v>
      </c>
      <c r="S172" t="s">
        <v>201</v>
      </c>
      <c r="V172" t="s">
        <v>201</v>
      </c>
      <c r="Y172" t="s">
        <v>201</v>
      </c>
    </row>
    <row r="173" spans="1:25" x14ac:dyDescent="0.25">
      <c r="A173">
        <v>170</v>
      </c>
      <c r="B173" t="s">
        <v>204</v>
      </c>
      <c r="C173">
        <v>41</v>
      </c>
      <c r="D173">
        <v>357.3584922496666</v>
      </c>
      <c r="E173">
        <v>0</v>
      </c>
      <c r="F173">
        <v>357.3584922496666</v>
      </c>
      <c r="G173">
        <v>434820</v>
      </c>
      <c r="H173" t="s">
        <v>149</v>
      </c>
      <c r="I173">
        <v>400</v>
      </c>
      <c r="J173">
        <v>0</v>
      </c>
      <c r="K173" t="s">
        <v>69</v>
      </c>
      <c r="L173">
        <v>434420</v>
      </c>
      <c r="M173">
        <v>149.73175508250961</v>
      </c>
      <c r="P173" t="s">
        <v>201</v>
      </c>
      <c r="S173" t="s">
        <v>201</v>
      </c>
      <c r="V173" t="s">
        <v>201</v>
      </c>
      <c r="Y173" t="s">
        <v>201</v>
      </c>
    </row>
    <row r="174" spans="1:25" x14ac:dyDescent="0.25">
      <c r="A174">
        <v>171</v>
      </c>
      <c r="B174" t="s">
        <v>204</v>
      </c>
      <c r="C174">
        <v>41</v>
      </c>
      <c r="D174">
        <v>313.45222263367532</v>
      </c>
      <c r="E174">
        <v>66.925335533578817</v>
      </c>
      <c r="F174">
        <v>246.52688710009653</v>
      </c>
      <c r="G174">
        <v>432073</v>
      </c>
      <c r="H174" t="s">
        <v>69</v>
      </c>
      <c r="I174">
        <v>3103</v>
      </c>
      <c r="J174">
        <v>1.06951253630364</v>
      </c>
      <c r="K174" t="s">
        <v>160</v>
      </c>
      <c r="L174">
        <v>425000</v>
      </c>
      <c r="M174">
        <v>65.789999999999992</v>
      </c>
      <c r="N174" t="s">
        <v>155</v>
      </c>
      <c r="O174">
        <v>3210</v>
      </c>
      <c r="P174">
        <v>1.7689375000000001</v>
      </c>
      <c r="Q174" t="s">
        <v>149</v>
      </c>
      <c r="R174">
        <v>760</v>
      </c>
      <c r="S174">
        <v>0</v>
      </c>
      <c r="V174" t="s">
        <v>201</v>
      </c>
      <c r="Y174" t="s">
        <v>201</v>
      </c>
    </row>
    <row r="175" spans="1:25" x14ac:dyDescent="0.25">
      <c r="A175">
        <v>172</v>
      </c>
      <c r="B175" t="s">
        <v>204</v>
      </c>
      <c r="C175">
        <v>41</v>
      </c>
      <c r="D175">
        <v>296.03843327235671</v>
      </c>
      <c r="E175">
        <v>60.954601414749845</v>
      </c>
      <c r="F175">
        <v>235.08383185760687</v>
      </c>
      <c r="G175">
        <v>431313</v>
      </c>
      <c r="H175" t="s">
        <v>69</v>
      </c>
      <c r="I175">
        <v>3103</v>
      </c>
      <c r="J175">
        <v>1.06951253630364</v>
      </c>
      <c r="K175" t="s">
        <v>160</v>
      </c>
      <c r="L175">
        <v>425000</v>
      </c>
      <c r="M175">
        <v>65.789999999999992</v>
      </c>
      <c r="N175" t="s">
        <v>169</v>
      </c>
      <c r="O175">
        <v>3210</v>
      </c>
      <c r="P175">
        <v>0.93089999999999995</v>
      </c>
      <c r="S175" t="s">
        <v>201</v>
      </c>
      <c r="V175" t="s">
        <v>201</v>
      </c>
      <c r="Y175" t="s">
        <v>201</v>
      </c>
    </row>
    <row r="176" spans="1:25" x14ac:dyDescent="0.25">
      <c r="A176">
        <v>173</v>
      </c>
      <c r="B176" t="s">
        <v>204</v>
      </c>
      <c r="C176">
        <v>41</v>
      </c>
      <c r="D176">
        <v>313.45222263367532</v>
      </c>
      <c r="E176">
        <v>66.925335533578817</v>
      </c>
      <c r="F176">
        <v>246.52688710009653</v>
      </c>
      <c r="G176">
        <v>432073</v>
      </c>
      <c r="H176" t="s">
        <v>69</v>
      </c>
      <c r="I176">
        <v>3103</v>
      </c>
      <c r="J176">
        <v>1.06951253630364</v>
      </c>
      <c r="K176" t="s">
        <v>160</v>
      </c>
      <c r="L176">
        <v>425000</v>
      </c>
      <c r="M176">
        <v>65.789999999999992</v>
      </c>
      <c r="N176" t="s">
        <v>155</v>
      </c>
      <c r="O176">
        <v>3210</v>
      </c>
      <c r="P176">
        <v>1.7689375000000001</v>
      </c>
      <c r="Q176" t="s">
        <v>149</v>
      </c>
      <c r="R176">
        <v>760</v>
      </c>
      <c r="S176">
        <v>0</v>
      </c>
      <c r="V176" t="s">
        <v>201</v>
      </c>
      <c r="Y176" t="s">
        <v>201</v>
      </c>
    </row>
    <row r="177" spans="1:25" x14ac:dyDescent="0.25">
      <c r="A177">
        <v>174</v>
      </c>
      <c r="B177" t="s">
        <v>204</v>
      </c>
      <c r="C177">
        <v>41</v>
      </c>
      <c r="D177">
        <v>296.03843327235671</v>
      </c>
      <c r="E177">
        <v>60.954601414749845</v>
      </c>
      <c r="F177">
        <v>235.08383185760687</v>
      </c>
      <c r="G177">
        <v>431313</v>
      </c>
      <c r="H177" t="s">
        <v>69</v>
      </c>
      <c r="I177">
        <v>3103</v>
      </c>
      <c r="J177">
        <v>1.06951253630364</v>
      </c>
      <c r="K177" t="s">
        <v>160</v>
      </c>
      <c r="L177">
        <v>425000</v>
      </c>
      <c r="M177">
        <v>65.789999999999992</v>
      </c>
      <c r="N177" t="s">
        <v>169</v>
      </c>
      <c r="O177">
        <v>3210</v>
      </c>
      <c r="P177">
        <v>0.93089999999999995</v>
      </c>
      <c r="S177" t="s">
        <v>201</v>
      </c>
      <c r="V177" t="s">
        <v>201</v>
      </c>
      <c r="Y177" t="s">
        <v>201</v>
      </c>
    </row>
    <row r="178" spans="1:25" x14ac:dyDescent="0.25">
      <c r="A178">
        <v>175</v>
      </c>
      <c r="B178" t="s">
        <v>204</v>
      </c>
      <c r="C178">
        <v>41</v>
      </c>
      <c r="D178">
        <v>298.75413233032475</v>
      </c>
      <c r="E178">
        <v>60</v>
      </c>
      <c r="F178">
        <v>238.75413233032475</v>
      </c>
      <c r="G178">
        <v>431103</v>
      </c>
      <c r="H178" t="s">
        <v>69</v>
      </c>
      <c r="I178">
        <v>3103</v>
      </c>
      <c r="J178">
        <v>1.06951253630364</v>
      </c>
      <c r="K178" t="s">
        <v>160</v>
      </c>
      <c r="L178">
        <v>425000</v>
      </c>
      <c r="M178">
        <v>65.789999999999992</v>
      </c>
      <c r="N178" t="s">
        <v>168</v>
      </c>
      <c r="O178">
        <v>3000</v>
      </c>
      <c r="P178">
        <v>3</v>
      </c>
      <c r="S178" t="s">
        <v>201</v>
      </c>
      <c r="V178" t="s">
        <v>201</v>
      </c>
      <c r="Y178" t="s">
        <v>201</v>
      </c>
    </row>
    <row r="179" spans="1:25" x14ac:dyDescent="0.25">
      <c r="A179">
        <v>176</v>
      </c>
      <c r="B179" t="s">
        <v>204</v>
      </c>
      <c r="C179">
        <v>41</v>
      </c>
      <c r="D179">
        <v>297.8029206477338</v>
      </c>
      <c r="E179">
        <v>60</v>
      </c>
      <c r="F179">
        <v>237.8029206477338</v>
      </c>
      <c r="G179">
        <v>431103</v>
      </c>
      <c r="H179" t="s">
        <v>69</v>
      </c>
      <c r="I179">
        <v>3103</v>
      </c>
      <c r="J179">
        <v>1.06951253630364</v>
      </c>
      <c r="K179" t="s">
        <v>160</v>
      </c>
      <c r="L179">
        <v>425000</v>
      </c>
      <c r="M179">
        <v>65.789999999999992</v>
      </c>
      <c r="N179" t="s">
        <v>168</v>
      </c>
      <c r="O179">
        <v>3000</v>
      </c>
      <c r="P179">
        <v>3</v>
      </c>
    </row>
    <row r="180" spans="1:25" x14ac:dyDescent="0.25">
      <c r="A180">
        <v>177</v>
      </c>
      <c r="B180" t="s">
        <v>204</v>
      </c>
      <c r="C180">
        <v>41</v>
      </c>
      <c r="D180">
        <v>310.59281302886285</v>
      </c>
      <c r="E180">
        <v>70.920745334415216</v>
      </c>
      <c r="F180">
        <v>239.67206769444763</v>
      </c>
      <c r="G180">
        <v>431350</v>
      </c>
      <c r="H180" t="s">
        <v>159</v>
      </c>
      <c r="I180">
        <v>1530</v>
      </c>
      <c r="J180">
        <v>0.236844</v>
      </c>
      <c r="K180" t="s">
        <v>149</v>
      </c>
      <c r="L180">
        <v>1610</v>
      </c>
      <c r="M180">
        <v>0</v>
      </c>
      <c r="N180" t="s">
        <v>160</v>
      </c>
      <c r="O180">
        <v>425000</v>
      </c>
      <c r="P180">
        <v>65.789999999999992</v>
      </c>
      <c r="Q180" t="s">
        <v>155</v>
      </c>
      <c r="R180">
        <v>3210</v>
      </c>
      <c r="S180">
        <v>1.7689375000000001</v>
      </c>
      <c r="V180" t="s">
        <v>201</v>
      </c>
      <c r="Y180" t="s">
        <v>201</v>
      </c>
    </row>
    <row r="181" spans="1:25" x14ac:dyDescent="0.25">
      <c r="A181">
        <v>178</v>
      </c>
      <c r="B181" t="s">
        <v>204</v>
      </c>
      <c r="C181">
        <v>41</v>
      </c>
      <c r="D181">
        <v>320.53442439509814</v>
      </c>
      <c r="E181">
        <v>58</v>
      </c>
      <c r="F181">
        <v>262.53442439509814</v>
      </c>
      <c r="G181">
        <v>431103</v>
      </c>
      <c r="H181" t="s">
        <v>69</v>
      </c>
      <c r="I181">
        <v>3103</v>
      </c>
      <c r="J181">
        <v>1.06951253630364</v>
      </c>
      <c r="K181" t="s">
        <v>160</v>
      </c>
      <c r="L181">
        <v>425000</v>
      </c>
      <c r="M181">
        <v>65.789999999999992</v>
      </c>
      <c r="N181" t="s">
        <v>149</v>
      </c>
      <c r="O181">
        <v>3000</v>
      </c>
      <c r="P181">
        <v>0</v>
      </c>
      <c r="S181" t="s">
        <v>201</v>
      </c>
      <c r="V181" t="s">
        <v>201</v>
      </c>
      <c r="Y181" t="s">
        <v>201</v>
      </c>
    </row>
    <row r="182" spans="1:25" x14ac:dyDescent="0.25">
      <c r="A182">
        <v>179</v>
      </c>
      <c r="B182" t="s">
        <v>204</v>
      </c>
      <c r="C182">
        <v>41</v>
      </c>
      <c r="D182">
        <v>295.9091361122729</v>
      </c>
      <c r="E182">
        <v>64</v>
      </c>
      <c r="F182">
        <v>231.90913611227288</v>
      </c>
      <c r="G182">
        <v>430380</v>
      </c>
      <c r="H182" t="s">
        <v>159</v>
      </c>
      <c r="I182">
        <v>1530</v>
      </c>
      <c r="J182">
        <v>0.236844</v>
      </c>
      <c r="K182" t="s">
        <v>149</v>
      </c>
      <c r="L182">
        <v>850</v>
      </c>
      <c r="M182">
        <v>0</v>
      </c>
      <c r="N182" t="s">
        <v>160</v>
      </c>
      <c r="O182">
        <v>425000</v>
      </c>
      <c r="P182">
        <v>65.789999999999992</v>
      </c>
      <c r="Q182" t="s">
        <v>168</v>
      </c>
      <c r="R182">
        <v>3000</v>
      </c>
      <c r="S182">
        <v>3</v>
      </c>
      <c r="V182" t="s">
        <v>201</v>
      </c>
      <c r="Y182" t="s">
        <v>201</v>
      </c>
    </row>
    <row r="183" spans="1:25" x14ac:dyDescent="0.25">
      <c r="A183">
        <v>180</v>
      </c>
      <c r="B183" t="s">
        <v>204</v>
      </c>
      <c r="C183">
        <v>41</v>
      </c>
      <c r="D183">
        <v>294.95868883312426</v>
      </c>
      <c r="E183">
        <v>64</v>
      </c>
      <c r="F183">
        <v>230.95868883312423</v>
      </c>
      <c r="G183">
        <v>430380</v>
      </c>
      <c r="H183" t="s">
        <v>159</v>
      </c>
      <c r="I183">
        <v>1530</v>
      </c>
      <c r="J183">
        <v>0.236844</v>
      </c>
      <c r="K183" t="s">
        <v>149</v>
      </c>
      <c r="L183">
        <v>850</v>
      </c>
      <c r="M183">
        <v>0</v>
      </c>
      <c r="N183" t="s">
        <v>160</v>
      </c>
      <c r="O183">
        <v>425000</v>
      </c>
      <c r="P183">
        <v>65.789999999999992</v>
      </c>
      <c r="Q183" t="s">
        <v>168</v>
      </c>
      <c r="R183">
        <v>3000</v>
      </c>
      <c r="S183">
        <v>3</v>
      </c>
    </row>
    <row r="184" spans="1:25" x14ac:dyDescent="0.25">
      <c r="A184">
        <v>181</v>
      </c>
      <c r="B184" t="s">
        <v>204</v>
      </c>
      <c r="C184">
        <v>41</v>
      </c>
      <c r="D184">
        <v>317.67031809098933</v>
      </c>
      <c r="E184">
        <v>62</v>
      </c>
      <c r="F184">
        <v>255.67031809098935</v>
      </c>
      <c r="G184">
        <v>430380</v>
      </c>
      <c r="H184" t="s">
        <v>159</v>
      </c>
      <c r="I184">
        <v>1530</v>
      </c>
      <c r="J184">
        <v>0.236844</v>
      </c>
      <c r="K184" t="s">
        <v>149</v>
      </c>
      <c r="L184">
        <v>3850</v>
      </c>
      <c r="M184">
        <v>0</v>
      </c>
      <c r="N184" t="s">
        <v>160</v>
      </c>
      <c r="O184">
        <v>425000</v>
      </c>
      <c r="P184">
        <v>65.789999999999992</v>
      </c>
      <c r="S184" t="s">
        <v>201</v>
      </c>
      <c r="V184" t="s">
        <v>201</v>
      </c>
      <c r="Y184" t="s">
        <v>201</v>
      </c>
    </row>
    <row r="185" spans="1:25" x14ac:dyDescent="0.25">
      <c r="A185">
        <v>182</v>
      </c>
      <c r="B185" t="s">
        <v>204</v>
      </c>
      <c r="C185">
        <v>41</v>
      </c>
      <c r="D185">
        <v>314.22893257774581</v>
      </c>
      <c r="E185">
        <v>66.925074900713014</v>
      </c>
      <c r="F185">
        <v>247.30385767703277</v>
      </c>
      <c r="G185">
        <v>430570</v>
      </c>
      <c r="H185" t="s">
        <v>149</v>
      </c>
      <c r="I185">
        <v>2360</v>
      </c>
      <c r="J185">
        <v>0</v>
      </c>
      <c r="K185" t="s">
        <v>160</v>
      </c>
      <c r="L185">
        <v>425000</v>
      </c>
      <c r="M185">
        <v>65.789999999999992</v>
      </c>
      <c r="N185" t="s">
        <v>155</v>
      </c>
      <c r="O185">
        <v>3210</v>
      </c>
      <c r="P185">
        <v>1.7689375000000001</v>
      </c>
      <c r="S185" t="s">
        <v>201</v>
      </c>
      <c r="V185" t="s">
        <v>201</v>
      </c>
      <c r="Y185" t="s">
        <v>201</v>
      </c>
    </row>
    <row r="186" spans="1:25" x14ac:dyDescent="0.25">
      <c r="A186">
        <v>183</v>
      </c>
      <c r="B186" t="s">
        <v>204</v>
      </c>
      <c r="C186">
        <v>41</v>
      </c>
      <c r="D186">
        <v>296.82286266024522</v>
      </c>
      <c r="E186">
        <v>60.954442660710541</v>
      </c>
      <c r="F186">
        <v>235.86841999953467</v>
      </c>
      <c r="G186">
        <v>429810</v>
      </c>
      <c r="H186" t="s">
        <v>149</v>
      </c>
      <c r="I186">
        <v>1600</v>
      </c>
      <c r="J186">
        <v>0</v>
      </c>
      <c r="K186" t="s">
        <v>160</v>
      </c>
      <c r="L186">
        <v>425000</v>
      </c>
      <c r="M186">
        <v>65.789999999999992</v>
      </c>
      <c r="N186" t="s">
        <v>169</v>
      </c>
      <c r="O186">
        <v>3210</v>
      </c>
      <c r="P186">
        <v>0.93089999999999995</v>
      </c>
      <c r="S186" t="s">
        <v>201</v>
      </c>
      <c r="V186" t="s">
        <v>201</v>
      </c>
      <c r="Y186" t="s">
        <v>201</v>
      </c>
    </row>
    <row r="187" spans="1:25" x14ac:dyDescent="0.25">
      <c r="A187">
        <v>184</v>
      </c>
      <c r="B187" t="s">
        <v>204</v>
      </c>
      <c r="C187">
        <v>41</v>
      </c>
      <c r="D187">
        <v>298.58438081936686</v>
      </c>
      <c r="E187">
        <v>60</v>
      </c>
      <c r="F187">
        <v>238.58438081936683</v>
      </c>
      <c r="G187">
        <v>429600</v>
      </c>
      <c r="H187" t="s">
        <v>149</v>
      </c>
      <c r="I187">
        <v>1600</v>
      </c>
      <c r="J187">
        <v>0</v>
      </c>
      <c r="K187" t="s">
        <v>160</v>
      </c>
      <c r="L187">
        <v>425000</v>
      </c>
      <c r="M187">
        <v>65.789999999999992</v>
      </c>
      <c r="N187" t="s">
        <v>168</v>
      </c>
      <c r="O187">
        <v>3000</v>
      </c>
      <c r="P187">
        <v>3</v>
      </c>
    </row>
    <row r="188" spans="1:25" x14ac:dyDescent="0.25">
      <c r="A188">
        <v>185</v>
      </c>
      <c r="B188" t="s">
        <v>204</v>
      </c>
      <c r="C188">
        <v>41</v>
      </c>
      <c r="D188">
        <v>321.29830074487893</v>
      </c>
      <c r="E188">
        <v>58</v>
      </c>
      <c r="F188">
        <v>263.29830074487893</v>
      </c>
      <c r="G188">
        <v>429600</v>
      </c>
      <c r="H188" t="s">
        <v>149</v>
      </c>
      <c r="I188">
        <v>4600</v>
      </c>
      <c r="J188">
        <v>0</v>
      </c>
      <c r="K188" t="s">
        <v>160</v>
      </c>
      <c r="L188">
        <v>425000</v>
      </c>
      <c r="M188">
        <v>65.789999999999992</v>
      </c>
      <c r="P188" t="s">
        <v>201</v>
      </c>
      <c r="S188" t="s">
        <v>201</v>
      </c>
      <c r="V188" t="s">
        <v>201</v>
      </c>
      <c r="Y188" t="s">
        <v>201</v>
      </c>
    </row>
    <row r="189" spans="1:25" x14ac:dyDescent="0.25">
      <c r="A189">
        <v>186</v>
      </c>
      <c r="B189" t="s">
        <v>204</v>
      </c>
      <c r="C189">
        <v>41</v>
      </c>
      <c r="D189">
        <v>291.38694367733399</v>
      </c>
      <c r="E189">
        <v>65.950834280940327</v>
      </c>
      <c r="F189">
        <v>225.43610939639365</v>
      </c>
      <c r="G189">
        <v>430910</v>
      </c>
      <c r="H189" t="s">
        <v>153</v>
      </c>
      <c r="I189">
        <v>2700</v>
      </c>
      <c r="J189">
        <v>0</v>
      </c>
      <c r="K189" t="s">
        <v>160</v>
      </c>
      <c r="L189">
        <v>425000</v>
      </c>
      <c r="M189">
        <v>65.789999999999992</v>
      </c>
      <c r="N189" t="s">
        <v>169</v>
      </c>
      <c r="O189">
        <v>3210</v>
      </c>
      <c r="P189">
        <v>0.93089999999999995</v>
      </c>
      <c r="S189" t="s">
        <v>201</v>
      </c>
      <c r="V189" t="s">
        <v>201</v>
      </c>
      <c r="Y189" t="s">
        <v>201</v>
      </c>
    </row>
    <row r="190" spans="1:25" x14ac:dyDescent="0.25">
      <c r="A190">
        <v>187</v>
      </c>
      <c r="B190" t="s">
        <v>204</v>
      </c>
      <c r="C190">
        <v>41</v>
      </c>
      <c r="D190">
        <v>293.18993241830975</v>
      </c>
      <c r="E190">
        <v>64.951543231380199</v>
      </c>
      <c r="F190">
        <v>228.23838918692957</v>
      </c>
      <c r="G190">
        <v>430590</v>
      </c>
      <c r="H190" t="s">
        <v>159</v>
      </c>
      <c r="I190">
        <v>1530</v>
      </c>
      <c r="J190">
        <v>0.236844</v>
      </c>
      <c r="K190" t="s">
        <v>149</v>
      </c>
      <c r="L190">
        <v>850</v>
      </c>
      <c r="M190">
        <v>0</v>
      </c>
      <c r="N190" t="s">
        <v>160</v>
      </c>
      <c r="O190">
        <v>425000</v>
      </c>
      <c r="P190">
        <v>65.789999999999992</v>
      </c>
      <c r="Q190" t="s">
        <v>169</v>
      </c>
      <c r="R190">
        <v>3210</v>
      </c>
      <c r="S190">
        <v>0.93089999999999995</v>
      </c>
      <c r="V190" t="s">
        <v>201</v>
      </c>
      <c r="Y190" t="s">
        <v>201</v>
      </c>
    </row>
    <row r="191" spans="1:25" x14ac:dyDescent="0.25">
      <c r="A191">
        <v>188</v>
      </c>
      <c r="B191" t="s">
        <v>204</v>
      </c>
      <c r="C191">
        <v>42</v>
      </c>
      <c r="D191">
        <v>362.81809147439998</v>
      </c>
      <c r="E191">
        <v>16</v>
      </c>
      <c r="F191">
        <v>346.81809147439998</v>
      </c>
      <c r="G191">
        <v>688280</v>
      </c>
      <c r="H191" t="s">
        <v>69</v>
      </c>
      <c r="I191">
        <v>1070</v>
      </c>
      <c r="J191">
        <v>0.36879742631160001</v>
      </c>
      <c r="K191" t="s">
        <v>160</v>
      </c>
      <c r="L191">
        <v>687210</v>
      </c>
      <c r="M191">
        <v>106.38010800000001</v>
      </c>
    </row>
    <row r="192" spans="1:25" x14ac:dyDescent="0.25">
      <c r="A192">
        <v>189</v>
      </c>
      <c r="B192" t="s">
        <v>204</v>
      </c>
      <c r="C192">
        <v>42</v>
      </c>
      <c r="D192">
        <v>460.25588097393489</v>
      </c>
      <c r="E192">
        <v>158.81592111574764</v>
      </c>
      <c r="F192">
        <v>301.43995985818725</v>
      </c>
      <c r="G192">
        <v>554534</v>
      </c>
      <c r="H192" t="s">
        <v>149</v>
      </c>
      <c r="I192">
        <v>3050</v>
      </c>
      <c r="J192">
        <v>0</v>
      </c>
      <c r="K192" t="s">
        <v>160</v>
      </c>
      <c r="L192">
        <v>4624</v>
      </c>
      <c r="M192">
        <v>0.71579519999999996</v>
      </c>
      <c r="N192" t="s">
        <v>159</v>
      </c>
      <c r="O192">
        <v>58470</v>
      </c>
      <c r="P192">
        <v>9.0511559999999989</v>
      </c>
      <c r="Q192" t="s">
        <v>163</v>
      </c>
      <c r="R192">
        <v>484110</v>
      </c>
      <c r="S192">
        <v>51</v>
      </c>
      <c r="T192" t="s">
        <v>155</v>
      </c>
      <c r="U192">
        <v>4280</v>
      </c>
      <c r="V192">
        <v>1.7689375000000001</v>
      </c>
    </row>
    <row r="193" spans="1:25" x14ac:dyDescent="0.25">
      <c r="A193">
        <v>190</v>
      </c>
      <c r="B193" t="s">
        <v>204</v>
      </c>
      <c r="C193">
        <v>42</v>
      </c>
      <c r="D193">
        <v>421.67799148007214</v>
      </c>
      <c r="E193">
        <v>137.84156905937175</v>
      </c>
      <c r="F193">
        <v>283.83642242070039</v>
      </c>
      <c r="G193">
        <v>506084.1</v>
      </c>
      <c r="H193" t="s">
        <v>149</v>
      </c>
      <c r="I193">
        <v>2200</v>
      </c>
      <c r="J193">
        <v>0</v>
      </c>
      <c r="K193" t="s">
        <v>160</v>
      </c>
      <c r="L193">
        <v>4624</v>
      </c>
      <c r="M193">
        <v>0.71579519999999996</v>
      </c>
      <c r="N193" t="s">
        <v>159</v>
      </c>
      <c r="O193">
        <v>9340</v>
      </c>
      <c r="P193">
        <v>1.445832</v>
      </c>
      <c r="Q193" t="s">
        <v>163</v>
      </c>
      <c r="R193">
        <v>484110</v>
      </c>
      <c r="S193">
        <v>51</v>
      </c>
      <c r="T193" t="s">
        <v>169</v>
      </c>
      <c r="U193">
        <v>5810.1</v>
      </c>
      <c r="V193">
        <v>1.6848999999999998</v>
      </c>
    </row>
    <row r="194" spans="1:25" x14ac:dyDescent="0.25">
      <c r="A194">
        <v>191</v>
      </c>
      <c r="B194" t="s">
        <v>204</v>
      </c>
      <c r="C194">
        <v>42</v>
      </c>
      <c r="D194">
        <v>318.17897030341095</v>
      </c>
      <c r="E194">
        <v>20.975426303151419</v>
      </c>
      <c r="F194">
        <v>297.20354400025951</v>
      </c>
      <c r="G194">
        <v>548635.4</v>
      </c>
      <c r="H194" t="s">
        <v>149</v>
      </c>
      <c r="I194">
        <v>1250</v>
      </c>
      <c r="J194">
        <v>0</v>
      </c>
      <c r="K194" t="s">
        <v>69</v>
      </c>
      <c r="L194">
        <v>9865.4000000000015</v>
      </c>
      <c r="M194">
        <v>3.4001744023961997</v>
      </c>
      <c r="N194" t="s">
        <v>163</v>
      </c>
      <c r="O194">
        <v>484110</v>
      </c>
      <c r="P194">
        <v>51</v>
      </c>
      <c r="Q194" t="s">
        <v>159</v>
      </c>
      <c r="R194">
        <v>49130</v>
      </c>
      <c r="S194">
        <v>7.6053240000000004</v>
      </c>
      <c r="T194" t="s">
        <v>155</v>
      </c>
      <c r="U194">
        <v>4280</v>
      </c>
      <c r="V194">
        <v>1.7689375000000001</v>
      </c>
    </row>
    <row r="195" spans="1:25" x14ac:dyDescent="0.25">
      <c r="A195">
        <v>192</v>
      </c>
      <c r="B195" t="s">
        <v>204</v>
      </c>
      <c r="C195">
        <v>42</v>
      </c>
      <c r="D195">
        <v>279.61205795649818</v>
      </c>
      <c r="E195">
        <v>0</v>
      </c>
      <c r="F195">
        <v>279.61205795649818</v>
      </c>
      <c r="G195">
        <v>500185.5</v>
      </c>
      <c r="H195" t="s">
        <v>149</v>
      </c>
      <c r="I195">
        <v>400</v>
      </c>
      <c r="J195">
        <v>0</v>
      </c>
      <c r="K195" t="s">
        <v>69</v>
      </c>
      <c r="L195">
        <v>9865.4000000000015</v>
      </c>
      <c r="M195">
        <v>3.4001744023961997</v>
      </c>
      <c r="N195" t="s">
        <v>163</v>
      </c>
      <c r="O195">
        <v>484110</v>
      </c>
      <c r="P195">
        <v>51</v>
      </c>
      <c r="Q195" t="s">
        <v>169</v>
      </c>
      <c r="R195">
        <v>5810.1</v>
      </c>
      <c r="S195">
        <v>1.6848999999999998</v>
      </c>
    </row>
    <row r="196" spans="1:25" x14ac:dyDescent="0.25">
      <c r="A196">
        <v>193</v>
      </c>
      <c r="B196" t="s">
        <v>204</v>
      </c>
      <c r="C196">
        <v>42</v>
      </c>
      <c r="D196">
        <v>375.39603430023288</v>
      </c>
      <c r="E196">
        <v>35.983510064109019</v>
      </c>
      <c r="F196">
        <v>339.41252423612389</v>
      </c>
      <c r="G196">
        <v>691447.2</v>
      </c>
      <c r="H196" t="s">
        <v>69</v>
      </c>
      <c r="I196">
        <v>1070</v>
      </c>
      <c r="J196">
        <v>0.36879742631160001</v>
      </c>
      <c r="K196" t="s">
        <v>160</v>
      </c>
      <c r="L196">
        <v>687210</v>
      </c>
      <c r="M196">
        <v>106.38010800000001</v>
      </c>
      <c r="N196" t="s">
        <v>169</v>
      </c>
      <c r="O196">
        <v>3167.2000000000003</v>
      </c>
      <c r="P196">
        <v>0.91842999999999986</v>
      </c>
    </row>
    <row r="197" spans="1:25" x14ac:dyDescent="0.25">
      <c r="A197">
        <v>194</v>
      </c>
      <c r="B197" t="s">
        <v>204</v>
      </c>
      <c r="C197">
        <v>42</v>
      </c>
      <c r="D197">
        <v>382.5127282723497</v>
      </c>
      <c r="E197">
        <v>16.455378560990784</v>
      </c>
      <c r="F197">
        <v>366.05734971135894</v>
      </c>
      <c r="G197">
        <v>691170</v>
      </c>
      <c r="H197" t="s">
        <v>149</v>
      </c>
      <c r="I197">
        <v>1000</v>
      </c>
      <c r="J197">
        <v>0</v>
      </c>
      <c r="K197" t="s">
        <v>160</v>
      </c>
      <c r="L197">
        <v>687210</v>
      </c>
      <c r="M197">
        <v>106.38010800000001</v>
      </c>
      <c r="N197" t="s">
        <v>149</v>
      </c>
      <c r="O197">
        <v>1161</v>
      </c>
      <c r="P197">
        <v>0</v>
      </c>
      <c r="Q197" t="s">
        <v>159</v>
      </c>
      <c r="R197">
        <v>17960</v>
      </c>
      <c r="S197">
        <v>2.780208</v>
      </c>
      <c r="T197" t="s">
        <v>155</v>
      </c>
      <c r="U197">
        <v>4130</v>
      </c>
      <c r="V197">
        <v>1.7689375000000001</v>
      </c>
    </row>
    <row r="198" spans="1:25" x14ac:dyDescent="0.25">
      <c r="A198">
        <v>195</v>
      </c>
      <c r="B198" t="s">
        <v>204</v>
      </c>
      <c r="C198">
        <v>42</v>
      </c>
      <c r="D198">
        <v>360.11784873438114</v>
      </c>
      <c r="E198">
        <v>15.992670397577474</v>
      </c>
      <c r="F198">
        <v>344.12517833680369</v>
      </c>
      <c r="G198">
        <v>691377.2</v>
      </c>
      <c r="H198" t="s">
        <v>154</v>
      </c>
      <c r="I198">
        <v>1000</v>
      </c>
      <c r="J198">
        <v>1.75E-3</v>
      </c>
      <c r="K198" t="s">
        <v>160</v>
      </c>
      <c r="L198">
        <v>687210</v>
      </c>
      <c r="M198">
        <v>106.38010800000001</v>
      </c>
      <c r="N198" t="s">
        <v>169</v>
      </c>
      <c r="O198">
        <v>3167.2000000000003</v>
      </c>
      <c r="P198">
        <v>0.91842999999999986</v>
      </c>
    </row>
    <row r="199" spans="1:25" x14ac:dyDescent="0.25">
      <c r="A199">
        <v>196</v>
      </c>
      <c r="B199" t="s">
        <v>204</v>
      </c>
      <c r="C199">
        <v>42</v>
      </c>
      <c r="D199">
        <v>374.68262453520833</v>
      </c>
      <c r="E199">
        <v>16.455378560990784</v>
      </c>
      <c r="F199">
        <v>358.22724597421757</v>
      </c>
      <c r="G199">
        <v>691170</v>
      </c>
      <c r="H199" t="s">
        <v>153</v>
      </c>
      <c r="I199">
        <v>1000</v>
      </c>
      <c r="J199">
        <v>0</v>
      </c>
      <c r="K199" t="s">
        <v>160</v>
      </c>
      <c r="L199">
        <v>687210</v>
      </c>
      <c r="M199">
        <v>106.38010800000001</v>
      </c>
      <c r="N199" t="s">
        <v>149</v>
      </c>
      <c r="O199">
        <v>1161</v>
      </c>
      <c r="P199">
        <v>0</v>
      </c>
      <c r="Q199" t="s">
        <v>159</v>
      </c>
      <c r="R199">
        <v>17960</v>
      </c>
      <c r="S199">
        <v>2.780208</v>
      </c>
      <c r="T199" t="s">
        <v>155</v>
      </c>
      <c r="U199">
        <v>4130</v>
      </c>
      <c r="V199">
        <v>1.7689375000000001</v>
      </c>
    </row>
    <row r="200" spans="1:25" x14ac:dyDescent="0.25">
      <c r="A200">
        <v>197</v>
      </c>
      <c r="B200" t="s">
        <v>204</v>
      </c>
      <c r="C200">
        <v>42</v>
      </c>
      <c r="D200">
        <v>376.30619857293527</v>
      </c>
      <c r="E200">
        <v>35.983508394549318</v>
      </c>
      <c r="F200">
        <v>340.32269017838598</v>
      </c>
      <c r="G200">
        <v>691377.2</v>
      </c>
      <c r="H200" t="s">
        <v>153</v>
      </c>
      <c r="I200">
        <v>1000</v>
      </c>
      <c r="J200">
        <v>0</v>
      </c>
      <c r="K200" t="s">
        <v>160</v>
      </c>
      <c r="L200">
        <v>687210</v>
      </c>
      <c r="M200">
        <v>106.38010800000001</v>
      </c>
      <c r="N200" t="s">
        <v>169</v>
      </c>
      <c r="O200">
        <v>3167.2000000000003</v>
      </c>
      <c r="P200">
        <v>0.91842999999999986</v>
      </c>
    </row>
    <row r="201" spans="1:25" x14ac:dyDescent="0.25">
      <c r="A201">
        <v>198</v>
      </c>
      <c r="B201" t="s">
        <v>204</v>
      </c>
      <c r="C201">
        <v>42</v>
      </c>
      <c r="D201">
        <v>383.94149975264901</v>
      </c>
      <c r="E201">
        <v>35.983536041766364</v>
      </c>
      <c r="F201">
        <v>347.95796371088267</v>
      </c>
      <c r="G201">
        <v>692538.2</v>
      </c>
      <c r="H201" t="s">
        <v>149</v>
      </c>
      <c r="I201">
        <v>2161</v>
      </c>
      <c r="J201">
        <v>0</v>
      </c>
      <c r="K201" t="s">
        <v>160</v>
      </c>
      <c r="L201">
        <v>687210</v>
      </c>
      <c r="M201">
        <v>106.38010800000001</v>
      </c>
      <c r="N201" t="s">
        <v>169</v>
      </c>
      <c r="O201">
        <v>3167.2000000000003</v>
      </c>
      <c r="P201">
        <v>0.91842999999999986</v>
      </c>
    </row>
    <row r="202" spans="1:25" x14ac:dyDescent="0.25">
      <c r="A202">
        <v>199</v>
      </c>
      <c r="B202" t="s">
        <v>204</v>
      </c>
      <c r="C202">
        <v>42</v>
      </c>
      <c r="D202">
        <v>501.40164422768026</v>
      </c>
      <c r="E202">
        <v>0</v>
      </c>
      <c r="F202">
        <v>501.40164422768026</v>
      </c>
      <c r="G202">
        <v>684820</v>
      </c>
      <c r="H202" t="s">
        <v>149</v>
      </c>
      <c r="I202">
        <v>400</v>
      </c>
      <c r="J202">
        <v>0</v>
      </c>
      <c r="K202" t="s">
        <v>69</v>
      </c>
      <c r="L202">
        <v>662330</v>
      </c>
      <c r="M202">
        <v>228.2856068868804</v>
      </c>
      <c r="N202" t="s">
        <v>159</v>
      </c>
      <c r="O202">
        <v>17960</v>
      </c>
      <c r="P202">
        <v>2.780208</v>
      </c>
      <c r="Q202" t="s">
        <v>155</v>
      </c>
      <c r="R202">
        <v>4130</v>
      </c>
      <c r="S202">
        <v>1.7689375000000001</v>
      </c>
    </row>
    <row r="203" spans="1:25" x14ac:dyDescent="0.25">
      <c r="A203">
        <v>200</v>
      </c>
      <c r="B203" t="s">
        <v>204</v>
      </c>
      <c r="C203">
        <v>42</v>
      </c>
      <c r="D203">
        <v>370.76757266663765</v>
      </c>
      <c r="E203">
        <v>16.455378560990784</v>
      </c>
      <c r="F203">
        <v>354.31219410564688</v>
      </c>
      <c r="G203">
        <v>691170</v>
      </c>
      <c r="H203" t="s">
        <v>154</v>
      </c>
      <c r="I203">
        <v>1000</v>
      </c>
      <c r="J203">
        <v>1.75E-3</v>
      </c>
      <c r="K203" t="s">
        <v>160</v>
      </c>
      <c r="L203">
        <v>687210</v>
      </c>
      <c r="M203">
        <v>106.38010800000001</v>
      </c>
      <c r="N203" t="s">
        <v>149</v>
      </c>
      <c r="O203">
        <v>1161</v>
      </c>
      <c r="P203">
        <v>0</v>
      </c>
      <c r="Q203" t="s">
        <v>159</v>
      </c>
      <c r="R203">
        <v>17960</v>
      </c>
      <c r="S203">
        <v>2.780208</v>
      </c>
      <c r="T203" t="s">
        <v>155</v>
      </c>
      <c r="U203">
        <v>4130</v>
      </c>
      <c r="V203">
        <v>1.7689375000000001</v>
      </c>
    </row>
    <row r="204" spans="1:25" x14ac:dyDescent="0.25">
      <c r="A204">
        <v>201</v>
      </c>
      <c r="B204" t="s">
        <v>204</v>
      </c>
      <c r="C204">
        <v>43</v>
      </c>
      <c r="D204">
        <v>447.98702822997097</v>
      </c>
      <c r="E204">
        <v>136.17983942359709</v>
      </c>
      <c r="F204">
        <v>311.80718880637386</v>
      </c>
      <c r="G204">
        <v>406660</v>
      </c>
      <c r="H204" t="s">
        <v>149</v>
      </c>
      <c r="I204">
        <v>2330</v>
      </c>
      <c r="J204">
        <v>0</v>
      </c>
      <c r="K204" t="s">
        <v>159</v>
      </c>
      <c r="L204">
        <v>74770</v>
      </c>
      <c r="M204">
        <v>11.574395999999998</v>
      </c>
      <c r="N204" t="s">
        <v>155</v>
      </c>
      <c r="O204">
        <v>3460</v>
      </c>
      <c r="P204">
        <v>1.7689375000000001</v>
      </c>
      <c r="Q204" t="s">
        <v>163</v>
      </c>
      <c r="R204">
        <v>308580</v>
      </c>
      <c r="S204">
        <v>51</v>
      </c>
      <c r="T204" t="s">
        <v>156</v>
      </c>
      <c r="U204">
        <v>4750</v>
      </c>
      <c r="V204">
        <v>1.66625</v>
      </c>
      <c r="W204" t="s">
        <v>155</v>
      </c>
      <c r="X204">
        <v>12770</v>
      </c>
      <c r="Y204">
        <v>1.7689375000000001</v>
      </c>
    </row>
    <row r="205" spans="1:25" x14ac:dyDescent="0.25">
      <c r="A205">
        <v>202</v>
      </c>
      <c r="B205" t="s">
        <v>204</v>
      </c>
      <c r="C205">
        <v>43</v>
      </c>
      <c r="D205">
        <v>392.55714217994279</v>
      </c>
      <c r="E205">
        <v>103.69899350146882</v>
      </c>
      <c r="F205">
        <v>288.85814867847398</v>
      </c>
      <c r="G205">
        <v>358619.5</v>
      </c>
      <c r="H205" t="s">
        <v>149</v>
      </c>
      <c r="I205">
        <v>1040</v>
      </c>
      <c r="J205">
        <v>0</v>
      </c>
      <c r="K205" t="s">
        <v>159</v>
      </c>
      <c r="L205">
        <v>40350</v>
      </c>
      <c r="M205">
        <v>6.2461799999999998</v>
      </c>
      <c r="N205" t="s">
        <v>155</v>
      </c>
      <c r="O205">
        <v>3460</v>
      </c>
      <c r="P205">
        <v>1.7689375000000001</v>
      </c>
      <c r="Q205" t="s">
        <v>163</v>
      </c>
      <c r="R205">
        <v>308580</v>
      </c>
      <c r="S205">
        <v>51</v>
      </c>
      <c r="T205" t="s">
        <v>169</v>
      </c>
      <c r="U205">
        <v>5189.5</v>
      </c>
      <c r="V205">
        <v>1.50481</v>
      </c>
    </row>
    <row r="206" spans="1:25" x14ac:dyDescent="0.25">
      <c r="A206">
        <v>203</v>
      </c>
      <c r="B206" t="s">
        <v>204</v>
      </c>
      <c r="C206">
        <v>43</v>
      </c>
      <c r="D206">
        <v>391.74934616758333</v>
      </c>
      <c r="E206">
        <v>116.38662311341862</v>
      </c>
      <c r="F206">
        <v>275.36272305416469</v>
      </c>
      <c r="G206">
        <v>365376.5</v>
      </c>
      <c r="H206" t="s">
        <v>149</v>
      </c>
      <c r="I206">
        <v>1700</v>
      </c>
      <c r="J206">
        <v>0</v>
      </c>
      <c r="K206" t="s">
        <v>69</v>
      </c>
      <c r="L206">
        <v>3156.5</v>
      </c>
      <c r="M206">
        <v>1.08778007237328</v>
      </c>
      <c r="N206" t="s">
        <v>163</v>
      </c>
      <c r="O206">
        <v>308580</v>
      </c>
      <c r="P206">
        <v>51</v>
      </c>
      <c r="Q206" t="s">
        <v>156</v>
      </c>
      <c r="R206">
        <v>4750</v>
      </c>
      <c r="S206">
        <v>1.66625</v>
      </c>
      <c r="T206" t="s">
        <v>159</v>
      </c>
      <c r="U206">
        <v>34420</v>
      </c>
      <c r="V206">
        <v>5.3282160000000003</v>
      </c>
      <c r="W206" t="s">
        <v>155</v>
      </c>
      <c r="X206">
        <v>12770</v>
      </c>
      <c r="Y206">
        <v>1.7689375000000001</v>
      </c>
    </row>
    <row r="207" spans="1:25" x14ac:dyDescent="0.25">
      <c r="A207">
        <v>204</v>
      </c>
      <c r="B207" t="s">
        <v>204</v>
      </c>
      <c r="C207">
        <v>43</v>
      </c>
      <c r="D207">
        <v>345.31185938120421</v>
      </c>
      <c r="E207">
        <v>92.847909247902791</v>
      </c>
      <c r="F207">
        <v>252.46395013330141</v>
      </c>
      <c r="G207">
        <v>317326</v>
      </c>
      <c r="H207" t="s">
        <v>149</v>
      </c>
      <c r="I207">
        <v>400</v>
      </c>
      <c r="J207">
        <v>0</v>
      </c>
      <c r="K207" t="s">
        <v>69</v>
      </c>
      <c r="L207">
        <v>3156.5</v>
      </c>
      <c r="M207">
        <v>1.08778007237328</v>
      </c>
      <c r="N207" t="s">
        <v>163</v>
      </c>
      <c r="O207">
        <v>308580</v>
      </c>
      <c r="P207">
        <v>51</v>
      </c>
      <c r="Q207" t="s">
        <v>169</v>
      </c>
      <c r="R207">
        <v>5189.5</v>
      </c>
      <c r="S207">
        <v>1.50481</v>
      </c>
    </row>
    <row r="208" spans="1:25" x14ac:dyDescent="0.25">
      <c r="A208">
        <v>205</v>
      </c>
      <c r="B208" t="s">
        <v>204</v>
      </c>
      <c r="C208">
        <v>43</v>
      </c>
      <c r="D208">
        <v>366.86170163510047</v>
      </c>
      <c r="E208">
        <v>105.74811556295327</v>
      </c>
      <c r="F208">
        <v>261.1135860721472</v>
      </c>
      <c r="G208">
        <v>445783</v>
      </c>
      <c r="H208" t="s">
        <v>149</v>
      </c>
      <c r="I208">
        <v>1050</v>
      </c>
      <c r="J208">
        <v>0</v>
      </c>
      <c r="K208" t="s">
        <v>159</v>
      </c>
      <c r="L208">
        <v>149880</v>
      </c>
      <c r="M208">
        <v>23.201423999999999</v>
      </c>
      <c r="N208" t="s">
        <v>160</v>
      </c>
      <c r="O208">
        <v>284260</v>
      </c>
      <c r="P208">
        <v>44.003447999999999</v>
      </c>
      <c r="Q208" t="s">
        <v>169</v>
      </c>
      <c r="R208">
        <v>10593</v>
      </c>
      <c r="S208">
        <v>3.0719699999999999</v>
      </c>
    </row>
    <row r="209" spans="1:22" x14ac:dyDescent="0.25">
      <c r="A209">
        <v>206</v>
      </c>
      <c r="B209" t="s">
        <v>204</v>
      </c>
      <c r="C209">
        <v>43</v>
      </c>
      <c r="D209">
        <v>372.73788674489009</v>
      </c>
      <c r="E209">
        <v>80.660501604728367</v>
      </c>
      <c r="F209">
        <v>292.07738514016171</v>
      </c>
      <c r="G209">
        <v>448424.8</v>
      </c>
      <c r="H209" t="s">
        <v>149</v>
      </c>
      <c r="I209">
        <v>950</v>
      </c>
      <c r="J209">
        <v>0</v>
      </c>
      <c r="K209" t="s">
        <v>69</v>
      </c>
      <c r="L209">
        <v>3894.8</v>
      </c>
      <c r="M209">
        <v>1.3421468953807201</v>
      </c>
      <c r="N209" t="s">
        <v>160</v>
      </c>
      <c r="O209">
        <v>284260</v>
      </c>
      <c r="P209">
        <v>44.003447999999999</v>
      </c>
      <c r="Q209" t="s">
        <v>159</v>
      </c>
      <c r="R209">
        <v>146790</v>
      </c>
      <c r="S209">
        <v>22.723091999999998</v>
      </c>
      <c r="T209" t="s">
        <v>155</v>
      </c>
      <c r="U209">
        <v>12530</v>
      </c>
      <c r="V209">
        <v>1.7689375000000001</v>
      </c>
    </row>
    <row r="210" spans="1:22" x14ac:dyDescent="0.25">
      <c r="A210">
        <v>207</v>
      </c>
      <c r="B210" t="s">
        <v>204</v>
      </c>
      <c r="C210">
        <v>43</v>
      </c>
      <c r="D210">
        <v>388.22398688290542</v>
      </c>
      <c r="E210">
        <v>115.51363687063601</v>
      </c>
      <c r="F210">
        <v>272.71035001226943</v>
      </c>
      <c r="G210">
        <v>448270</v>
      </c>
      <c r="H210" t="s">
        <v>149</v>
      </c>
      <c r="I210">
        <v>1600</v>
      </c>
      <c r="J210">
        <v>0</v>
      </c>
      <c r="K210" t="s">
        <v>159</v>
      </c>
      <c r="L210">
        <v>149880</v>
      </c>
      <c r="M210">
        <v>23.201423999999999</v>
      </c>
      <c r="N210" t="s">
        <v>160</v>
      </c>
      <c r="O210">
        <v>284260</v>
      </c>
      <c r="P210">
        <v>44.003447999999999</v>
      </c>
      <c r="Q210" t="s">
        <v>155</v>
      </c>
      <c r="R210">
        <v>12530</v>
      </c>
      <c r="S210">
        <v>1.7689375000000001</v>
      </c>
    </row>
    <row r="211" spans="1:22" x14ac:dyDescent="0.25">
      <c r="A211">
        <v>208</v>
      </c>
      <c r="B211" t="s">
        <v>204</v>
      </c>
      <c r="C211">
        <v>43</v>
      </c>
      <c r="D211">
        <v>320.9788610111483</v>
      </c>
      <c r="E211">
        <v>0</v>
      </c>
      <c r="F211">
        <v>320.9788610111483</v>
      </c>
      <c r="G211">
        <v>397370</v>
      </c>
      <c r="H211" t="s">
        <v>149</v>
      </c>
      <c r="I211">
        <v>400</v>
      </c>
      <c r="J211">
        <v>0</v>
      </c>
      <c r="K211" t="s">
        <v>69</v>
      </c>
      <c r="L211">
        <v>396970</v>
      </c>
      <c r="M211">
        <v>136.8238451616036</v>
      </c>
    </row>
    <row r="212" spans="1:22" x14ac:dyDescent="0.25">
      <c r="A212">
        <v>209</v>
      </c>
      <c r="B212" t="s">
        <v>204</v>
      </c>
      <c r="C212">
        <v>43</v>
      </c>
      <c r="D212">
        <v>351.29071952187059</v>
      </c>
      <c r="E212">
        <v>70.831343519208289</v>
      </c>
      <c r="F212">
        <v>280.45937600266228</v>
      </c>
      <c r="G212">
        <v>445937.8</v>
      </c>
      <c r="H212" t="s">
        <v>149</v>
      </c>
      <c r="I212">
        <v>400</v>
      </c>
      <c r="J212">
        <v>0</v>
      </c>
      <c r="K212" t="s">
        <v>69</v>
      </c>
      <c r="L212">
        <v>3894.8</v>
      </c>
      <c r="M212">
        <v>1.3421468953807201</v>
      </c>
      <c r="N212" t="s">
        <v>160</v>
      </c>
      <c r="O212">
        <v>284260</v>
      </c>
      <c r="P212">
        <v>44.003447999999999</v>
      </c>
      <c r="Q212" t="s">
        <v>159</v>
      </c>
      <c r="R212">
        <v>146790</v>
      </c>
      <c r="S212">
        <v>22.723091999999998</v>
      </c>
      <c r="T212" t="s">
        <v>169</v>
      </c>
      <c r="U212">
        <v>10593</v>
      </c>
      <c r="V212">
        <v>3.0719699999999999</v>
      </c>
    </row>
    <row r="213" spans="1:22" x14ac:dyDescent="0.25">
      <c r="A213">
        <v>210</v>
      </c>
      <c r="B213" t="s">
        <v>204</v>
      </c>
      <c r="C213">
        <v>44</v>
      </c>
      <c r="D213">
        <v>261.3091664024671</v>
      </c>
      <c r="E213">
        <v>89.318258949158405</v>
      </c>
      <c r="F213">
        <v>171.99090745330872</v>
      </c>
      <c r="G213">
        <v>555136</v>
      </c>
      <c r="H213" t="s">
        <v>169</v>
      </c>
      <c r="I213">
        <v>42051</v>
      </c>
      <c r="J213">
        <v>12.194789999999999</v>
      </c>
      <c r="K213" t="s">
        <v>149</v>
      </c>
      <c r="L213">
        <v>1500</v>
      </c>
      <c r="M213">
        <v>0</v>
      </c>
      <c r="N213" t="s">
        <v>163</v>
      </c>
      <c r="O213">
        <v>460760</v>
      </c>
      <c r="P213">
        <v>51</v>
      </c>
      <c r="Q213" t="s">
        <v>69</v>
      </c>
      <c r="R213">
        <v>50825</v>
      </c>
      <c r="S213">
        <v>17.517877749800999</v>
      </c>
    </row>
    <row r="214" spans="1:22" x14ac:dyDescent="0.25">
      <c r="A214">
        <v>211</v>
      </c>
      <c r="B214" t="s">
        <v>204</v>
      </c>
      <c r="C214">
        <v>44</v>
      </c>
      <c r="D214">
        <v>296.5848792025804</v>
      </c>
      <c r="E214">
        <v>107.93879554426536</v>
      </c>
      <c r="F214">
        <v>188.64608365831504</v>
      </c>
      <c r="G214">
        <v>542851</v>
      </c>
      <c r="H214" t="s">
        <v>169</v>
      </c>
      <c r="I214">
        <v>42051</v>
      </c>
      <c r="J214">
        <v>12.194789999999999</v>
      </c>
      <c r="K214" t="s">
        <v>149</v>
      </c>
      <c r="L214">
        <v>1200</v>
      </c>
      <c r="M214">
        <v>0</v>
      </c>
      <c r="N214" t="s">
        <v>163</v>
      </c>
      <c r="O214">
        <v>460760</v>
      </c>
      <c r="P214">
        <v>51</v>
      </c>
      <c r="Q214" t="s">
        <v>155</v>
      </c>
      <c r="R214">
        <v>7200</v>
      </c>
      <c r="S214">
        <v>1.7689375000000001</v>
      </c>
      <c r="T214" t="s">
        <v>159</v>
      </c>
      <c r="U214">
        <v>31640</v>
      </c>
      <c r="V214">
        <v>4.8978719999999996</v>
      </c>
    </row>
    <row r="215" spans="1:22" x14ac:dyDescent="0.25">
      <c r="A215">
        <v>212</v>
      </c>
      <c r="B215" t="s">
        <v>204</v>
      </c>
      <c r="C215">
        <v>44</v>
      </c>
      <c r="D215">
        <v>642.97373984528792</v>
      </c>
      <c r="E215">
        <v>197.64476183214575</v>
      </c>
      <c r="F215">
        <v>445.3289780131422</v>
      </c>
      <c r="G215">
        <v>721340</v>
      </c>
      <c r="H215" t="s">
        <v>149</v>
      </c>
      <c r="I215">
        <v>2790</v>
      </c>
      <c r="J215">
        <v>0</v>
      </c>
      <c r="K215" t="s">
        <v>155</v>
      </c>
      <c r="L215">
        <v>32750</v>
      </c>
      <c r="M215">
        <v>1.7689375000000001</v>
      </c>
      <c r="N215" t="s">
        <v>159</v>
      </c>
      <c r="O215">
        <v>18800</v>
      </c>
      <c r="P215">
        <v>2.9102399999999999</v>
      </c>
      <c r="Q215" t="s">
        <v>160</v>
      </c>
      <c r="R215">
        <v>667000</v>
      </c>
      <c r="S215">
        <v>103.2516</v>
      </c>
    </row>
    <row r="216" spans="1:22" x14ac:dyDescent="0.25">
      <c r="A216">
        <v>213</v>
      </c>
      <c r="B216" t="s">
        <v>204</v>
      </c>
      <c r="C216">
        <v>44</v>
      </c>
      <c r="D216">
        <v>299.47408366372684</v>
      </c>
      <c r="E216">
        <v>107</v>
      </c>
      <c r="F216">
        <v>192.47408366372684</v>
      </c>
      <c r="G216">
        <v>556155</v>
      </c>
      <c r="H216" t="s">
        <v>149</v>
      </c>
      <c r="I216">
        <v>880</v>
      </c>
      <c r="J216">
        <v>0</v>
      </c>
      <c r="K216" t="s">
        <v>159</v>
      </c>
      <c r="L216">
        <v>43690</v>
      </c>
      <c r="M216">
        <v>6.7632119999999993</v>
      </c>
      <c r="N216" t="s">
        <v>163</v>
      </c>
      <c r="O216">
        <v>460760</v>
      </c>
      <c r="P216">
        <v>51</v>
      </c>
      <c r="Q216" t="s">
        <v>69</v>
      </c>
      <c r="R216">
        <v>50825</v>
      </c>
      <c r="S216">
        <v>17.517877749800999</v>
      </c>
    </row>
    <row r="217" spans="1:22" x14ac:dyDescent="0.25">
      <c r="A217">
        <v>214</v>
      </c>
      <c r="B217" t="s">
        <v>204</v>
      </c>
      <c r="C217">
        <v>44</v>
      </c>
      <c r="D217">
        <v>547.59269657844129</v>
      </c>
      <c r="E217">
        <v>94.705524971482419</v>
      </c>
      <c r="F217">
        <v>452.88717160695887</v>
      </c>
      <c r="G217">
        <v>725868</v>
      </c>
      <c r="H217" t="s">
        <v>149</v>
      </c>
      <c r="I217">
        <v>2200</v>
      </c>
      <c r="J217">
        <v>0</v>
      </c>
      <c r="K217" t="s">
        <v>69</v>
      </c>
      <c r="L217">
        <v>29318</v>
      </c>
      <c r="M217">
        <v>10.10504948093784</v>
      </c>
      <c r="N217" t="s">
        <v>160</v>
      </c>
      <c r="O217">
        <v>667000</v>
      </c>
      <c r="P217">
        <v>103.2516</v>
      </c>
      <c r="Q217" t="s">
        <v>155</v>
      </c>
      <c r="R217">
        <v>15000</v>
      </c>
      <c r="S217">
        <v>1.7689375000000001</v>
      </c>
      <c r="T217" t="s">
        <v>159</v>
      </c>
      <c r="U217">
        <v>12350</v>
      </c>
      <c r="V217">
        <v>1.9117799999999998</v>
      </c>
    </row>
    <row r="218" spans="1:22" x14ac:dyDescent="0.25">
      <c r="A218">
        <v>215</v>
      </c>
      <c r="B218" t="s">
        <v>204</v>
      </c>
      <c r="C218">
        <v>44</v>
      </c>
      <c r="D218">
        <v>501.91097454110974</v>
      </c>
      <c r="E218">
        <v>69.667221695901389</v>
      </c>
      <c r="F218">
        <v>432.24375284520835</v>
      </c>
      <c r="G218">
        <v>731493</v>
      </c>
      <c r="H218" t="s">
        <v>149</v>
      </c>
      <c r="I218">
        <v>400</v>
      </c>
      <c r="J218">
        <v>0</v>
      </c>
      <c r="K218" t="s">
        <v>69</v>
      </c>
      <c r="L218">
        <v>29318</v>
      </c>
      <c r="M218">
        <v>10.10504948093784</v>
      </c>
      <c r="N218" t="s">
        <v>160</v>
      </c>
      <c r="O218">
        <v>667000</v>
      </c>
      <c r="P218">
        <v>103.2516</v>
      </c>
      <c r="Q218" t="s">
        <v>169</v>
      </c>
      <c r="R218">
        <v>34775</v>
      </c>
      <c r="S218">
        <v>10.08475</v>
      </c>
    </row>
    <row r="219" spans="1:22" x14ac:dyDescent="0.25">
      <c r="A219">
        <v>216</v>
      </c>
      <c r="B219" t="s">
        <v>204</v>
      </c>
      <c r="C219">
        <v>44</v>
      </c>
      <c r="D219">
        <v>363.78331902367233</v>
      </c>
      <c r="E219">
        <v>0</v>
      </c>
      <c r="F219">
        <v>363.78331902367233</v>
      </c>
      <c r="G219">
        <v>570710</v>
      </c>
      <c r="H219" t="s">
        <v>149</v>
      </c>
      <c r="I219">
        <v>400</v>
      </c>
      <c r="J219">
        <v>0</v>
      </c>
      <c r="K219" t="s">
        <v>69</v>
      </c>
      <c r="L219">
        <v>570310</v>
      </c>
      <c r="M219">
        <v>196.56902822408279</v>
      </c>
    </row>
    <row r="220" spans="1:22" x14ac:dyDescent="0.25">
      <c r="A220">
        <v>217</v>
      </c>
      <c r="B220" t="s">
        <v>204</v>
      </c>
      <c r="C220">
        <v>44</v>
      </c>
      <c r="D220">
        <v>597.25148769197961</v>
      </c>
      <c r="E220">
        <v>172.53038316837811</v>
      </c>
      <c r="F220">
        <v>424.72110452360153</v>
      </c>
      <c r="G220">
        <v>726965</v>
      </c>
      <c r="H220" t="s">
        <v>149</v>
      </c>
      <c r="I220">
        <v>990</v>
      </c>
      <c r="J220">
        <v>0</v>
      </c>
      <c r="K220" t="s">
        <v>155</v>
      </c>
      <c r="L220">
        <v>17750</v>
      </c>
      <c r="M220">
        <v>1.7689375000000001</v>
      </c>
      <c r="N220" t="s">
        <v>159</v>
      </c>
      <c r="O220">
        <v>6450</v>
      </c>
      <c r="P220">
        <v>0.99846000000000001</v>
      </c>
      <c r="Q220" t="s">
        <v>160</v>
      </c>
      <c r="R220">
        <v>667000</v>
      </c>
      <c r="S220">
        <v>103.2516</v>
      </c>
      <c r="T220" t="s">
        <v>169</v>
      </c>
      <c r="U220">
        <v>34775</v>
      </c>
      <c r="V220">
        <v>10.08475</v>
      </c>
    </row>
    <row r="221" spans="1:22" x14ac:dyDescent="0.25">
      <c r="A221">
        <v>218</v>
      </c>
      <c r="B221" t="s">
        <v>204</v>
      </c>
      <c r="C221">
        <v>44</v>
      </c>
      <c r="D221">
        <v>334.49007115671026</v>
      </c>
      <c r="E221">
        <v>125.74979314909814</v>
      </c>
      <c r="F221">
        <v>208.74027800761212</v>
      </c>
      <c r="G221">
        <v>543870</v>
      </c>
      <c r="H221" t="s">
        <v>149</v>
      </c>
      <c r="I221">
        <v>580</v>
      </c>
      <c r="J221">
        <v>0</v>
      </c>
      <c r="K221" t="s">
        <v>159</v>
      </c>
      <c r="L221">
        <v>75330</v>
      </c>
      <c r="M221">
        <v>11.661083999999999</v>
      </c>
      <c r="N221" t="s">
        <v>163</v>
      </c>
      <c r="O221">
        <v>460760</v>
      </c>
      <c r="P221">
        <v>51</v>
      </c>
      <c r="Q221" t="s">
        <v>155</v>
      </c>
      <c r="R221">
        <v>7200</v>
      </c>
      <c r="S221">
        <v>1.7689375000000001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6E11-56FF-4CCD-A367-7B0FC2B2142C}">
  <sheetPr codeName="Tabelle21"/>
  <dimension ref="A1:Z221"/>
  <sheetViews>
    <sheetView workbookViewId="0">
      <selection activeCell="A2" sqref="A2"/>
    </sheetView>
  </sheetViews>
  <sheetFormatPr baseColWidth="10" defaultColWidth="8.5" defaultRowHeight="15.75" x14ac:dyDescent="0.25"/>
  <cols>
    <col min="1" max="1" width="3.875" bestFit="1" customWidth="1"/>
    <col min="2" max="2" width="12.75" bestFit="1" customWidth="1"/>
    <col min="3" max="3" width="16.375" bestFit="1" customWidth="1"/>
    <col min="4" max="6" width="11.875" bestFit="1" customWidth="1"/>
    <col min="7" max="7" width="8.875" bestFit="1" customWidth="1"/>
    <col min="8" max="8" width="14.125" bestFit="1" customWidth="1"/>
    <col min="9" max="9" width="14.25" bestFit="1" customWidth="1"/>
    <col min="10" max="10" width="13.625" bestFit="1" customWidth="1"/>
    <col min="11" max="11" width="14.375" bestFit="1" customWidth="1"/>
    <col min="12" max="12" width="14.25" bestFit="1" customWidth="1"/>
    <col min="13" max="13" width="13.625" bestFit="1" customWidth="1"/>
    <col min="14" max="14" width="14.375" bestFit="1" customWidth="1"/>
    <col min="15" max="15" width="14.25" bestFit="1" customWidth="1"/>
    <col min="16" max="16" width="13.625" bestFit="1" customWidth="1"/>
    <col min="17" max="17" width="14.375" bestFit="1" customWidth="1"/>
    <col min="18" max="18" width="14.25" bestFit="1" customWidth="1"/>
    <col min="19" max="19" width="13.625" bestFit="1" customWidth="1"/>
    <col min="20" max="20" width="14.125" bestFit="1" customWidth="1"/>
    <col min="21" max="21" width="14.25" bestFit="1" customWidth="1"/>
    <col min="22" max="22" width="13.625" bestFit="1" customWidth="1"/>
    <col min="23" max="23" width="7.875" bestFit="1" customWidth="1"/>
    <col min="24" max="24" width="14.25" bestFit="1" customWidth="1"/>
    <col min="25" max="25" width="13.625" bestFit="1" customWidth="1"/>
    <col min="27" max="30" width="12.125" bestFit="1" customWidth="1"/>
    <col min="31" max="1030" width="8.375" customWidth="1"/>
  </cols>
  <sheetData>
    <row r="1" spans="1:26" s="33" customFormat="1" x14ac:dyDescent="0.25">
      <c r="B1" s="33" t="s">
        <v>174</v>
      </c>
      <c r="C1" s="33" t="s">
        <v>174</v>
      </c>
      <c r="D1" s="33" t="s">
        <v>148</v>
      </c>
      <c r="E1" s="33" t="s">
        <v>148</v>
      </c>
      <c r="F1" s="33" t="s">
        <v>148</v>
      </c>
      <c r="G1" s="33" t="s">
        <v>148</v>
      </c>
      <c r="H1" s="33" t="s">
        <v>148</v>
      </c>
      <c r="I1" s="33" t="s">
        <v>148</v>
      </c>
      <c r="J1" s="33" t="s">
        <v>148</v>
      </c>
      <c r="K1" s="33" t="s">
        <v>148</v>
      </c>
      <c r="L1" s="33" t="s">
        <v>148</v>
      </c>
      <c r="M1" s="33" t="s">
        <v>148</v>
      </c>
      <c r="N1" s="33" t="s">
        <v>148</v>
      </c>
      <c r="O1" s="33" t="s">
        <v>148</v>
      </c>
      <c r="P1" s="33" t="s">
        <v>148</v>
      </c>
      <c r="Q1" s="33" t="s">
        <v>148</v>
      </c>
      <c r="R1" s="33" t="s">
        <v>148</v>
      </c>
      <c r="S1" s="33" t="s">
        <v>148</v>
      </c>
      <c r="T1" s="33" t="s">
        <v>148</v>
      </c>
      <c r="U1" s="33" t="s">
        <v>148</v>
      </c>
      <c r="V1" s="33" t="s">
        <v>148</v>
      </c>
      <c r="W1" s="33" t="s">
        <v>148</v>
      </c>
      <c r="X1" s="33" t="s">
        <v>148</v>
      </c>
      <c r="Y1" s="33" t="s">
        <v>148</v>
      </c>
      <c r="Z1"/>
    </row>
    <row r="2" spans="1:26" s="33" customFormat="1" x14ac:dyDescent="0.25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x14ac:dyDescent="0.25">
      <c r="A3">
        <v>0</v>
      </c>
      <c r="B3" t="s">
        <v>200</v>
      </c>
      <c r="C3">
        <v>1</v>
      </c>
      <c r="D3">
        <v>30</v>
      </c>
      <c r="E3">
        <v>0</v>
      </c>
      <c r="F3">
        <v>30</v>
      </c>
      <c r="G3">
        <v>2500</v>
      </c>
      <c r="H3" t="s">
        <v>149</v>
      </c>
      <c r="I3">
        <v>2500</v>
      </c>
      <c r="J3">
        <v>0</v>
      </c>
      <c r="M3" t="s">
        <v>201</v>
      </c>
      <c r="P3" t="s">
        <v>201</v>
      </c>
      <c r="S3" t="s">
        <v>201</v>
      </c>
      <c r="V3" t="s">
        <v>201</v>
      </c>
      <c r="Y3" t="s">
        <v>201</v>
      </c>
    </row>
    <row r="4" spans="1:26" x14ac:dyDescent="0.25">
      <c r="A4">
        <v>1</v>
      </c>
      <c r="B4" t="s">
        <v>200</v>
      </c>
      <c r="C4">
        <v>1</v>
      </c>
      <c r="D4">
        <v>8</v>
      </c>
      <c r="E4">
        <v>0</v>
      </c>
      <c r="F4">
        <v>8</v>
      </c>
      <c r="G4">
        <v>2600</v>
      </c>
      <c r="H4" t="s">
        <v>153</v>
      </c>
      <c r="I4">
        <v>2600</v>
      </c>
      <c r="J4">
        <v>0</v>
      </c>
      <c r="M4" t="s">
        <v>201</v>
      </c>
      <c r="P4" t="s">
        <v>201</v>
      </c>
      <c r="S4" t="s">
        <v>201</v>
      </c>
      <c r="V4" t="s">
        <v>201</v>
      </c>
      <c r="Y4" t="s">
        <v>201</v>
      </c>
    </row>
    <row r="5" spans="1:26" x14ac:dyDescent="0.25">
      <c r="A5">
        <v>2</v>
      </c>
      <c r="B5" t="s">
        <v>200</v>
      </c>
      <c r="C5">
        <v>1</v>
      </c>
      <c r="D5">
        <v>17.002845188284518</v>
      </c>
      <c r="E5">
        <v>0</v>
      </c>
      <c r="F5">
        <v>17.002845188284518</v>
      </c>
      <c r="G5">
        <v>3824</v>
      </c>
      <c r="H5" t="s">
        <v>149</v>
      </c>
      <c r="I5">
        <v>400</v>
      </c>
      <c r="J5">
        <v>0</v>
      </c>
      <c r="K5" t="s">
        <v>69</v>
      </c>
      <c r="L5">
        <v>3424</v>
      </c>
      <c r="M5">
        <v>1.1308914917579582</v>
      </c>
      <c r="P5" t="s">
        <v>201</v>
      </c>
      <c r="S5" t="s">
        <v>201</v>
      </c>
      <c r="V5" t="s">
        <v>201</v>
      </c>
      <c r="Y5" t="s">
        <v>201</v>
      </c>
    </row>
    <row r="6" spans="1:26" x14ac:dyDescent="0.25">
      <c r="A6">
        <v>3</v>
      </c>
      <c r="B6" t="s">
        <v>200</v>
      </c>
      <c r="C6">
        <v>1</v>
      </c>
      <c r="D6">
        <v>19.039630606860158</v>
      </c>
      <c r="E6">
        <v>0.86912928759894459</v>
      </c>
      <c r="F6">
        <v>18.170501319261213</v>
      </c>
      <c r="G6">
        <v>3790</v>
      </c>
      <c r="H6" t="s">
        <v>149</v>
      </c>
      <c r="I6">
        <v>500</v>
      </c>
      <c r="J6">
        <v>0</v>
      </c>
      <c r="K6" t="s">
        <v>158</v>
      </c>
      <c r="L6">
        <v>1620</v>
      </c>
      <c r="M6">
        <v>1.66625</v>
      </c>
      <c r="N6" t="s">
        <v>155</v>
      </c>
      <c r="O6">
        <v>1670</v>
      </c>
      <c r="P6">
        <v>1.747625</v>
      </c>
      <c r="S6" t="s">
        <v>201</v>
      </c>
      <c r="V6" t="s">
        <v>201</v>
      </c>
      <c r="Y6" t="s">
        <v>201</v>
      </c>
    </row>
    <row r="7" spans="1:26" x14ac:dyDescent="0.25">
      <c r="A7">
        <v>4</v>
      </c>
      <c r="B7" t="s">
        <v>200</v>
      </c>
      <c r="C7">
        <v>1</v>
      </c>
      <c r="D7">
        <v>7.0909000000000004</v>
      </c>
      <c r="E7">
        <v>0</v>
      </c>
      <c r="F7">
        <v>7.0909000000000004</v>
      </c>
      <c r="G7">
        <v>2600</v>
      </c>
      <c r="H7" t="s">
        <v>154</v>
      </c>
      <c r="I7">
        <v>2600</v>
      </c>
      <c r="J7">
        <v>4.5500000000000002E-3</v>
      </c>
      <c r="M7" t="s">
        <v>201</v>
      </c>
      <c r="P7" t="s">
        <v>201</v>
      </c>
      <c r="S7" t="s">
        <v>201</v>
      </c>
      <c r="V7" t="s">
        <v>201</v>
      </c>
      <c r="Y7" t="s">
        <v>201</v>
      </c>
    </row>
    <row r="8" spans="1:26" x14ac:dyDescent="0.25">
      <c r="A8">
        <v>5</v>
      </c>
      <c r="B8" t="s">
        <v>200</v>
      </c>
      <c r="C8">
        <v>2</v>
      </c>
      <c r="D8">
        <v>28</v>
      </c>
      <c r="E8">
        <v>0</v>
      </c>
      <c r="F8">
        <v>28</v>
      </c>
      <c r="G8">
        <v>2300</v>
      </c>
      <c r="H8" t="s">
        <v>149</v>
      </c>
      <c r="I8">
        <v>2300</v>
      </c>
      <c r="J8">
        <v>0</v>
      </c>
      <c r="M8" t="s">
        <v>201</v>
      </c>
      <c r="P8" t="s">
        <v>201</v>
      </c>
      <c r="S8" t="s">
        <v>201</v>
      </c>
      <c r="V8" t="s">
        <v>201</v>
      </c>
      <c r="Y8" t="s">
        <v>201</v>
      </c>
    </row>
    <row r="9" spans="1:26" x14ac:dyDescent="0.25">
      <c r="A9">
        <v>6</v>
      </c>
      <c r="B9" t="s">
        <v>200</v>
      </c>
      <c r="C9">
        <v>2</v>
      </c>
      <c r="D9">
        <v>8</v>
      </c>
      <c r="E9">
        <v>0</v>
      </c>
      <c r="F9">
        <v>8</v>
      </c>
      <c r="G9">
        <v>2600</v>
      </c>
      <c r="H9" t="s">
        <v>153</v>
      </c>
      <c r="I9">
        <v>2600</v>
      </c>
      <c r="J9">
        <v>0</v>
      </c>
      <c r="M9" t="s">
        <v>201</v>
      </c>
      <c r="P9" t="s">
        <v>201</v>
      </c>
      <c r="S9" t="s">
        <v>201</v>
      </c>
      <c r="V9" t="s">
        <v>201</v>
      </c>
      <c r="Y9" t="s">
        <v>201</v>
      </c>
    </row>
    <row r="10" spans="1:26" x14ac:dyDescent="0.25">
      <c r="A10">
        <v>7</v>
      </c>
      <c r="B10" t="s">
        <v>200</v>
      </c>
      <c r="C10">
        <v>2</v>
      </c>
      <c r="D10">
        <v>13.844248554913296</v>
      </c>
      <c r="E10">
        <v>0</v>
      </c>
      <c r="F10">
        <v>13.844248554913296</v>
      </c>
      <c r="G10">
        <v>2768</v>
      </c>
      <c r="H10" t="s">
        <v>149</v>
      </c>
      <c r="I10">
        <v>200</v>
      </c>
      <c r="J10">
        <v>0</v>
      </c>
      <c r="K10" t="s">
        <v>69</v>
      </c>
      <c r="L10">
        <v>2568</v>
      </c>
      <c r="M10">
        <v>0.84816861881846861</v>
      </c>
      <c r="P10" t="s">
        <v>201</v>
      </c>
      <c r="S10" t="s">
        <v>201</v>
      </c>
      <c r="V10" t="s">
        <v>201</v>
      </c>
      <c r="Y10" t="s">
        <v>201</v>
      </c>
    </row>
    <row r="11" spans="1:26" x14ac:dyDescent="0.25">
      <c r="A11">
        <v>8</v>
      </c>
      <c r="B11" t="s">
        <v>200</v>
      </c>
      <c r="C11">
        <v>2</v>
      </c>
      <c r="D11">
        <v>20.297604790419161</v>
      </c>
      <c r="E11">
        <v>1.8778443113772458</v>
      </c>
      <c r="F11">
        <v>18.419760479041916</v>
      </c>
      <c r="G11">
        <v>3340</v>
      </c>
      <c r="H11" t="s">
        <v>149</v>
      </c>
      <c r="I11">
        <v>1300</v>
      </c>
      <c r="J11">
        <v>0</v>
      </c>
      <c r="K11" t="s">
        <v>159</v>
      </c>
      <c r="L11">
        <v>2040</v>
      </c>
      <c r="M11">
        <v>0.31579200000000002</v>
      </c>
      <c r="P11" t="s">
        <v>201</v>
      </c>
      <c r="S11" t="s">
        <v>201</v>
      </c>
      <c r="V11" t="s">
        <v>201</v>
      </c>
      <c r="Y11" t="s">
        <v>201</v>
      </c>
    </row>
    <row r="12" spans="1:26" x14ac:dyDescent="0.25">
      <c r="A12">
        <v>9</v>
      </c>
      <c r="B12" t="s">
        <v>200</v>
      </c>
      <c r="C12">
        <v>2</v>
      </c>
      <c r="D12">
        <v>7.0909000000000004</v>
      </c>
      <c r="E12">
        <v>0</v>
      </c>
      <c r="F12">
        <v>7.0909000000000004</v>
      </c>
      <c r="G12">
        <v>2600</v>
      </c>
      <c r="H12" t="s">
        <v>154</v>
      </c>
      <c r="I12">
        <v>2600</v>
      </c>
      <c r="J12">
        <v>4.5500000000000002E-3</v>
      </c>
      <c r="M12" t="s">
        <v>201</v>
      </c>
      <c r="P12" t="s">
        <v>201</v>
      </c>
      <c r="S12" t="s">
        <v>201</v>
      </c>
      <c r="V12" t="s">
        <v>201</v>
      </c>
      <c r="Y12" t="s">
        <v>201</v>
      </c>
    </row>
    <row r="13" spans="1:26" x14ac:dyDescent="0.25">
      <c r="A13">
        <v>10</v>
      </c>
      <c r="B13" t="s">
        <v>200</v>
      </c>
      <c r="C13">
        <v>3</v>
      </c>
      <c r="D13">
        <v>8.1818000000000008</v>
      </c>
      <c r="E13">
        <v>0</v>
      </c>
      <c r="F13">
        <v>8.1818000000000008</v>
      </c>
      <c r="G13">
        <v>3000</v>
      </c>
      <c r="H13" t="s">
        <v>154</v>
      </c>
      <c r="I13">
        <v>3000</v>
      </c>
      <c r="J13">
        <v>5.2500000000000003E-3</v>
      </c>
      <c r="M13" t="s">
        <v>201</v>
      </c>
      <c r="P13" t="s">
        <v>201</v>
      </c>
      <c r="S13" t="s">
        <v>201</v>
      </c>
      <c r="V13" t="s">
        <v>201</v>
      </c>
      <c r="Y13" t="s">
        <v>201</v>
      </c>
    </row>
    <row r="14" spans="1:26" x14ac:dyDescent="0.25">
      <c r="A14">
        <v>11</v>
      </c>
      <c r="B14" t="s">
        <v>200</v>
      </c>
      <c r="C14">
        <v>3</v>
      </c>
      <c r="D14">
        <v>10.678851963746222</v>
      </c>
      <c r="E14">
        <v>0</v>
      </c>
      <c r="F14">
        <v>10.678851963746222</v>
      </c>
      <c r="G14">
        <v>3310</v>
      </c>
      <c r="H14" t="s">
        <v>149</v>
      </c>
      <c r="I14">
        <v>100</v>
      </c>
      <c r="J14">
        <v>0</v>
      </c>
      <c r="K14" t="s">
        <v>69</v>
      </c>
      <c r="L14">
        <v>3210</v>
      </c>
      <c r="M14">
        <v>1.0602107735230857</v>
      </c>
      <c r="P14" t="s">
        <v>201</v>
      </c>
      <c r="S14" t="s">
        <v>201</v>
      </c>
      <c r="V14" t="s">
        <v>201</v>
      </c>
      <c r="Y14" t="s">
        <v>201</v>
      </c>
    </row>
    <row r="15" spans="1:26" x14ac:dyDescent="0.25">
      <c r="A15">
        <v>12</v>
      </c>
      <c r="B15" t="s">
        <v>200</v>
      </c>
      <c r="C15">
        <v>3</v>
      </c>
      <c r="D15">
        <v>38.574598070739555</v>
      </c>
      <c r="E15">
        <v>12.865594855305467</v>
      </c>
      <c r="F15">
        <v>25.709003215434084</v>
      </c>
      <c r="G15">
        <v>3110</v>
      </c>
      <c r="H15" t="s">
        <v>149</v>
      </c>
      <c r="I15">
        <v>1850</v>
      </c>
      <c r="J15">
        <v>0</v>
      </c>
      <c r="K15" t="s">
        <v>155</v>
      </c>
      <c r="L15">
        <v>1260</v>
      </c>
      <c r="M15">
        <v>1.747625</v>
      </c>
      <c r="P15" t="s">
        <v>201</v>
      </c>
      <c r="S15" t="s">
        <v>201</v>
      </c>
      <c r="V15" t="s">
        <v>201</v>
      </c>
      <c r="Y15" t="s">
        <v>201</v>
      </c>
    </row>
    <row r="16" spans="1:26" x14ac:dyDescent="0.25">
      <c r="A16">
        <v>13</v>
      </c>
      <c r="B16" t="s">
        <v>200</v>
      </c>
      <c r="C16">
        <v>3</v>
      </c>
      <c r="D16">
        <v>33</v>
      </c>
      <c r="E16">
        <v>0</v>
      </c>
      <c r="F16">
        <v>33</v>
      </c>
      <c r="G16">
        <v>2800</v>
      </c>
      <c r="H16" t="s">
        <v>149</v>
      </c>
      <c r="I16">
        <v>2800</v>
      </c>
      <c r="J16">
        <v>0</v>
      </c>
      <c r="M16" t="s">
        <v>201</v>
      </c>
      <c r="P16" t="s">
        <v>201</v>
      </c>
      <c r="S16" t="s">
        <v>201</v>
      </c>
      <c r="V16" t="s">
        <v>201</v>
      </c>
      <c r="Y16" t="s">
        <v>201</v>
      </c>
    </row>
    <row r="17" spans="1:25" x14ac:dyDescent="0.25">
      <c r="A17">
        <v>14</v>
      </c>
      <c r="B17" t="s">
        <v>200</v>
      </c>
      <c r="C17">
        <v>3</v>
      </c>
      <c r="D17">
        <v>10</v>
      </c>
      <c r="E17">
        <v>0</v>
      </c>
      <c r="F17">
        <v>10</v>
      </c>
      <c r="G17">
        <v>3000</v>
      </c>
      <c r="H17" t="s">
        <v>153</v>
      </c>
      <c r="I17">
        <v>3000</v>
      </c>
      <c r="J17">
        <v>0</v>
      </c>
      <c r="M17" t="s">
        <v>201</v>
      </c>
      <c r="P17" t="s">
        <v>201</v>
      </c>
      <c r="S17" t="s">
        <v>201</v>
      </c>
      <c r="V17" t="s">
        <v>201</v>
      </c>
      <c r="Y17" t="s">
        <v>201</v>
      </c>
    </row>
    <row r="18" spans="1:25" x14ac:dyDescent="0.25">
      <c r="A18">
        <v>15</v>
      </c>
      <c r="B18" t="s">
        <v>200</v>
      </c>
      <c r="C18">
        <v>4</v>
      </c>
      <c r="D18">
        <v>8</v>
      </c>
      <c r="E18">
        <v>0</v>
      </c>
      <c r="F18">
        <v>8</v>
      </c>
      <c r="G18">
        <v>2500</v>
      </c>
      <c r="H18" t="s">
        <v>153</v>
      </c>
      <c r="I18">
        <v>2500</v>
      </c>
      <c r="J18">
        <v>0</v>
      </c>
      <c r="M18" t="s">
        <v>201</v>
      </c>
      <c r="P18" t="s">
        <v>201</v>
      </c>
      <c r="S18" t="s">
        <v>201</v>
      </c>
      <c r="V18" t="s">
        <v>201</v>
      </c>
      <c r="Y18" t="s">
        <v>201</v>
      </c>
    </row>
    <row r="19" spans="1:25" x14ac:dyDescent="0.25">
      <c r="A19">
        <v>16</v>
      </c>
      <c r="B19" t="s">
        <v>200</v>
      </c>
      <c r="C19">
        <v>4</v>
      </c>
      <c r="D19">
        <v>12.805007290147886</v>
      </c>
      <c r="E19">
        <v>0</v>
      </c>
      <c r="F19">
        <v>12.805007290147886</v>
      </c>
      <c r="G19">
        <v>4801</v>
      </c>
      <c r="H19" t="s">
        <v>149</v>
      </c>
      <c r="I19">
        <v>200</v>
      </c>
      <c r="J19">
        <v>0</v>
      </c>
      <c r="K19" t="s">
        <v>69</v>
      </c>
      <c r="L19">
        <v>4601</v>
      </c>
      <c r="M19">
        <v>1.5196354420497562</v>
      </c>
      <c r="P19" t="s">
        <v>201</v>
      </c>
      <c r="S19" t="s">
        <v>201</v>
      </c>
      <c r="V19" t="s">
        <v>201</v>
      </c>
      <c r="Y19" t="s">
        <v>201</v>
      </c>
    </row>
    <row r="20" spans="1:25" x14ac:dyDescent="0.25">
      <c r="A20">
        <v>17</v>
      </c>
      <c r="B20" t="s">
        <v>200</v>
      </c>
      <c r="C20">
        <v>4</v>
      </c>
      <c r="D20">
        <v>18.100729927007297</v>
      </c>
      <c r="E20">
        <v>2.7547445255474452</v>
      </c>
      <c r="F20">
        <v>15.345985401459853</v>
      </c>
      <c r="G20">
        <v>2740</v>
      </c>
      <c r="H20" t="s">
        <v>156</v>
      </c>
      <c r="I20">
        <v>2240</v>
      </c>
      <c r="J20">
        <v>1.66625</v>
      </c>
      <c r="K20" t="s">
        <v>149</v>
      </c>
      <c r="L20">
        <v>500</v>
      </c>
      <c r="M20">
        <v>0</v>
      </c>
      <c r="P20" t="s">
        <v>201</v>
      </c>
      <c r="S20" t="s">
        <v>201</v>
      </c>
      <c r="V20" t="s">
        <v>201</v>
      </c>
      <c r="Y20" t="s">
        <v>201</v>
      </c>
    </row>
    <row r="21" spans="1:25" x14ac:dyDescent="0.25">
      <c r="A21">
        <v>18</v>
      </c>
      <c r="B21" t="s">
        <v>200</v>
      </c>
      <c r="C21">
        <v>4</v>
      </c>
      <c r="D21">
        <v>32</v>
      </c>
      <c r="E21">
        <v>0</v>
      </c>
      <c r="F21">
        <v>32</v>
      </c>
      <c r="G21">
        <v>2500</v>
      </c>
      <c r="H21" t="s">
        <v>149</v>
      </c>
      <c r="I21">
        <v>2500</v>
      </c>
      <c r="J21">
        <v>0</v>
      </c>
      <c r="M21" t="s">
        <v>201</v>
      </c>
      <c r="P21" t="s">
        <v>201</v>
      </c>
      <c r="S21" t="s">
        <v>201</v>
      </c>
      <c r="V21" t="s">
        <v>201</v>
      </c>
      <c r="Y21" t="s">
        <v>201</v>
      </c>
    </row>
    <row r="22" spans="1:25" x14ac:dyDescent="0.25">
      <c r="A22">
        <v>19</v>
      </c>
      <c r="B22" t="s">
        <v>200</v>
      </c>
      <c r="C22">
        <v>4</v>
      </c>
      <c r="D22">
        <v>6.8182</v>
      </c>
      <c r="E22">
        <v>0</v>
      </c>
      <c r="F22">
        <v>6.8182</v>
      </c>
      <c r="G22">
        <v>2500</v>
      </c>
      <c r="H22" t="s">
        <v>154</v>
      </c>
      <c r="I22">
        <v>2500</v>
      </c>
      <c r="J22">
        <v>4.3750000000000004E-3</v>
      </c>
      <c r="M22" t="s">
        <v>201</v>
      </c>
      <c r="P22" t="s">
        <v>201</v>
      </c>
      <c r="S22" t="s">
        <v>201</v>
      </c>
      <c r="V22" t="s">
        <v>201</v>
      </c>
      <c r="Y22" t="s">
        <v>201</v>
      </c>
    </row>
    <row r="23" spans="1:25" x14ac:dyDescent="0.25">
      <c r="A23">
        <v>20</v>
      </c>
      <c r="B23" t="s">
        <v>200</v>
      </c>
      <c r="C23">
        <v>5</v>
      </c>
      <c r="D23">
        <v>8.5414855631474556</v>
      </c>
      <c r="E23">
        <v>0</v>
      </c>
      <c r="F23">
        <v>8.5414855631474556</v>
      </c>
      <c r="G23">
        <v>4537</v>
      </c>
      <c r="H23" t="s">
        <v>149</v>
      </c>
      <c r="I23">
        <v>150</v>
      </c>
      <c r="J23">
        <v>0</v>
      </c>
      <c r="K23" t="s">
        <v>69</v>
      </c>
      <c r="L23">
        <v>4387</v>
      </c>
      <c r="M23">
        <v>1.4489547238148837</v>
      </c>
      <c r="P23" t="s">
        <v>201</v>
      </c>
      <c r="S23" t="s">
        <v>201</v>
      </c>
      <c r="V23" t="s">
        <v>201</v>
      </c>
      <c r="Y23" t="s">
        <v>201</v>
      </c>
    </row>
    <row r="24" spans="1:25" x14ac:dyDescent="0.25">
      <c r="A24">
        <v>21</v>
      </c>
      <c r="B24" t="s">
        <v>200</v>
      </c>
      <c r="C24">
        <v>5</v>
      </c>
      <c r="D24">
        <v>29.314045801526721</v>
      </c>
      <c r="E24">
        <v>4.5381679389312977</v>
      </c>
      <c r="F24">
        <v>24.775877862595422</v>
      </c>
      <c r="G24">
        <v>2620</v>
      </c>
      <c r="H24" t="s">
        <v>149</v>
      </c>
      <c r="I24">
        <v>1200</v>
      </c>
      <c r="J24">
        <v>0</v>
      </c>
      <c r="K24" t="s">
        <v>155</v>
      </c>
      <c r="L24">
        <v>1210</v>
      </c>
      <c r="M24">
        <v>1.747625</v>
      </c>
      <c r="N24" t="s">
        <v>149</v>
      </c>
      <c r="O24">
        <v>210</v>
      </c>
      <c r="P24">
        <v>0</v>
      </c>
      <c r="S24" t="s">
        <v>201</v>
      </c>
      <c r="V24" t="s">
        <v>201</v>
      </c>
      <c r="Y24" t="s">
        <v>201</v>
      </c>
    </row>
    <row r="25" spans="1:25" x14ac:dyDescent="0.25">
      <c r="A25">
        <v>22</v>
      </c>
      <c r="B25" t="s">
        <v>200</v>
      </c>
      <c r="C25">
        <v>5</v>
      </c>
      <c r="D25">
        <v>32</v>
      </c>
      <c r="E25">
        <v>0</v>
      </c>
      <c r="F25">
        <v>32</v>
      </c>
      <c r="G25">
        <v>2600</v>
      </c>
      <c r="H25" t="s">
        <v>149</v>
      </c>
      <c r="I25">
        <v>2600</v>
      </c>
      <c r="J25">
        <v>0</v>
      </c>
      <c r="M25" t="s">
        <v>201</v>
      </c>
      <c r="P25" t="s">
        <v>201</v>
      </c>
      <c r="S25" t="s">
        <v>201</v>
      </c>
      <c r="V25" t="s">
        <v>201</v>
      </c>
      <c r="Y25" t="s">
        <v>201</v>
      </c>
    </row>
    <row r="26" spans="1:25" x14ac:dyDescent="0.25">
      <c r="A26">
        <v>23</v>
      </c>
      <c r="B26" t="s">
        <v>200</v>
      </c>
      <c r="C26">
        <v>5</v>
      </c>
      <c r="D26">
        <v>10</v>
      </c>
      <c r="E26">
        <v>0</v>
      </c>
      <c r="F26">
        <v>10</v>
      </c>
      <c r="G26">
        <v>2700</v>
      </c>
      <c r="H26" t="s">
        <v>153</v>
      </c>
      <c r="I26">
        <v>2700</v>
      </c>
      <c r="J26">
        <v>0</v>
      </c>
      <c r="M26" t="s">
        <v>201</v>
      </c>
      <c r="P26" t="s">
        <v>201</v>
      </c>
      <c r="S26" t="s">
        <v>201</v>
      </c>
      <c r="V26" t="s">
        <v>201</v>
      </c>
      <c r="Y26" t="s">
        <v>201</v>
      </c>
    </row>
    <row r="27" spans="1:25" x14ac:dyDescent="0.25">
      <c r="A27">
        <v>24</v>
      </c>
      <c r="B27" t="s">
        <v>200</v>
      </c>
      <c r="C27">
        <v>5</v>
      </c>
      <c r="D27">
        <v>7.3635999999999999</v>
      </c>
      <c r="E27">
        <v>0</v>
      </c>
      <c r="F27">
        <v>7.3635999999999999</v>
      </c>
      <c r="G27">
        <v>2700</v>
      </c>
      <c r="H27" t="s">
        <v>154</v>
      </c>
      <c r="I27">
        <v>2700</v>
      </c>
      <c r="J27">
        <v>4.725E-3</v>
      </c>
      <c r="M27" t="s">
        <v>201</v>
      </c>
      <c r="P27" t="s">
        <v>201</v>
      </c>
      <c r="S27" t="s">
        <v>201</v>
      </c>
      <c r="V27" t="s">
        <v>201</v>
      </c>
      <c r="Y27" t="s">
        <v>201</v>
      </c>
    </row>
    <row r="28" spans="1:25" x14ac:dyDescent="0.25">
      <c r="A28">
        <v>25</v>
      </c>
      <c r="B28" t="s">
        <v>200</v>
      </c>
      <c r="C28">
        <v>6</v>
      </c>
      <c r="D28">
        <v>7.9090999999999996</v>
      </c>
      <c r="E28">
        <v>0</v>
      </c>
      <c r="F28">
        <v>7.9090999999999996</v>
      </c>
      <c r="G28">
        <v>2900</v>
      </c>
      <c r="H28" t="s">
        <v>154</v>
      </c>
      <c r="I28">
        <v>2900</v>
      </c>
      <c r="J28">
        <v>5.0749999999999997E-3</v>
      </c>
      <c r="M28" t="s">
        <v>201</v>
      </c>
      <c r="P28" t="s">
        <v>201</v>
      </c>
      <c r="S28" t="s">
        <v>201</v>
      </c>
      <c r="V28" t="s">
        <v>201</v>
      </c>
      <c r="Y28" t="s">
        <v>201</v>
      </c>
    </row>
    <row r="29" spans="1:25" x14ac:dyDescent="0.25">
      <c r="A29">
        <v>26</v>
      </c>
      <c r="B29" t="s">
        <v>200</v>
      </c>
      <c r="C29">
        <v>6</v>
      </c>
      <c r="D29">
        <v>11</v>
      </c>
      <c r="E29">
        <v>0</v>
      </c>
      <c r="F29">
        <v>11</v>
      </c>
      <c r="G29">
        <v>2900</v>
      </c>
      <c r="H29" t="s">
        <v>153</v>
      </c>
      <c r="I29">
        <v>2900</v>
      </c>
      <c r="J29">
        <v>0</v>
      </c>
      <c r="M29" t="s">
        <v>201</v>
      </c>
      <c r="P29" t="s">
        <v>201</v>
      </c>
      <c r="S29" t="s">
        <v>201</v>
      </c>
      <c r="V29" t="s">
        <v>201</v>
      </c>
      <c r="Y29" t="s">
        <v>201</v>
      </c>
    </row>
    <row r="30" spans="1:25" x14ac:dyDescent="0.25">
      <c r="A30">
        <v>27</v>
      </c>
      <c r="B30" t="s">
        <v>200</v>
      </c>
      <c r="C30">
        <v>6</v>
      </c>
      <c r="D30">
        <v>22.274999999999999</v>
      </c>
      <c r="E30">
        <v>5.6999999999999993</v>
      </c>
      <c r="F30">
        <v>16.574999999999999</v>
      </c>
      <c r="G30">
        <v>2600</v>
      </c>
      <c r="H30" t="s">
        <v>159</v>
      </c>
      <c r="I30">
        <v>1300</v>
      </c>
      <c r="J30">
        <v>0.20124</v>
      </c>
      <c r="K30" t="s">
        <v>149</v>
      </c>
      <c r="L30">
        <v>1300</v>
      </c>
      <c r="M30">
        <v>0</v>
      </c>
      <c r="P30" t="s">
        <v>201</v>
      </c>
      <c r="S30" t="s">
        <v>201</v>
      </c>
      <c r="V30" t="s">
        <v>201</v>
      </c>
      <c r="Y30" t="s">
        <v>201</v>
      </c>
    </row>
    <row r="31" spans="1:25" x14ac:dyDescent="0.25">
      <c r="A31">
        <v>28</v>
      </c>
      <c r="B31" t="s">
        <v>200</v>
      </c>
      <c r="C31">
        <v>6</v>
      </c>
      <c r="D31">
        <v>7.4765050950151473</v>
      </c>
      <c r="E31">
        <v>0</v>
      </c>
      <c r="F31">
        <v>7.4765050950151473</v>
      </c>
      <c r="G31">
        <v>3631</v>
      </c>
      <c r="H31" t="s">
        <v>149</v>
      </c>
      <c r="I31">
        <v>100</v>
      </c>
      <c r="J31">
        <v>0</v>
      </c>
      <c r="K31" t="s">
        <v>69</v>
      </c>
      <c r="L31">
        <v>3531</v>
      </c>
      <c r="M31">
        <v>1.1662318508753944</v>
      </c>
      <c r="P31" t="s">
        <v>201</v>
      </c>
      <c r="S31" t="s">
        <v>201</v>
      </c>
      <c r="V31" t="s">
        <v>201</v>
      </c>
      <c r="Y31" t="s">
        <v>201</v>
      </c>
    </row>
    <row r="32" spans="1:25" x14ac:dyDescent="0.25">
      <c r="A32">
        <v>29</v>
      </c>
      <c r="B32" t="s">
        <v>200</v>
      </c>
      <c r="C32">
        <v>6</v>
      </c>
      <c r="D32">
        <v>35</v>
      </c>
      <c r="E32">
        <v>0</v>
      </c>
      <c r="F32">
        <v>35</v>
      </c>
      <c r="G32">
        <v>2900</v>
      </c>
      <c r="H32" t="s">
        <v>149</v>
      </c>
      <c r="I32">
        <v>2900</v>
      </c>
      <c r="J32">
        <v>0</v>
      </c>
      <c r="M32" t="s">
        <v>201</v>
      </c>
      <c r="P32" t="s">
        <v>201</v>
      </c>
      <c r="S32" t="s">
        <v>201</v>
      </c>
      <c r="V32" t="s">
        <v>201</v>
      </c>
      <c r="Y32" t="s">
        <v>201</v>
      </c>
    </row>
    <row r="33" spans="1:25" x14ac:dyDescent="0.25">
      <c r="A33">
        <v>30</v>
      </c>
      <c r="B33" t="s">
        <v>200</v>
      </c>
      <c r="C33">
        <v>7</v>
      </c>
      <c r="D33">
        <v>7.471634182908546</v>
      </c>
      <c r="E33">
        <v>0</v>
      </c>
      <c r="F33">
        <v>7.471634182908546</v>
      </c>
      <c r="G33">
        <v>2668</v>
      </c>
      <c r="H33" t="s">
        <v>149</v>
      </c>
      <c r="I33">
        <v>100</v>
      </c>
      <c r="J33">
        <v>0</v>
      </c>
      <c r="K33" t="s">
        <v>69</v>
      </c>
      <c r="L33">
        <v>2568</v>
      </c>
      <c r="M33">
        <v>0.84816861881846861</v>
      </c>
      <c r="P33" t="s">
        <v>201</v>
      </c>
      <c r="S33" t="s">
        <v>201</v>
      </c>
      <c r="V33" t="s">
        <v>201</v>
      </c>
      <c r="Y33" t="s">
        <v>201</v>
      </c>
    </row>
    <row r="34" spans="1:25" x14ac:dyDescent="0.25">
      <c r="A34">
        <v>31</v>
      </c>
      <c r="B34" t="s">
        <v>200</v>
      </c>
      <c r="C34">
        <v>7</v>
      </c>
      <c r="D34">
        <v>31</v>
      </c>
      <c r="E34">
        <v>0</v>
      </c>
      <c r="F34">
        <v>31</v>
      </c>
      <c r="G34">
        <v>2400</v>
      </c>
      <c r="H34" t="s">
        <v>149</v>
      </c>
      <c r="I34">
        <v>2400</v>
      </c>
      <c r="J34">
        <v>0</v>
      </c>
      <c r="M34" t="s">
        <v>201</v>
      </c>
      <c r="P34" t="s">
        <v>201</v>
      </c>
      <c r="S34" t="s">
        <v>201</v>
      </c>
      <c r="V34" t="s">
        <v>201</v>
      </c>
      <c r="Y34" t="s">
        <v>201</v>
      </c>
    </row>
    <row r="35" spans="1:25" x14ac:dyDescent="0.25">
      <c r="A35">
        <v>32</v>
      </c>
      <c r="B35" t="s">
        <v>200</v>
      </c>
      <c r="C35">
        <v>7</v>
      </c>
      <c r="D35">
        <v>9</v>
      </c>
      <c r="E35">
        <v>0</v>
      </c>
      <c r="F35">
        <v>9</v>
      </c>
      <c r="G35">
        <v>2400</v>
      </c>
      <c r="H35" t="s">
        <v>153</v>
      </c>
      <c r="I35">
        <v>2400</v>
      </c>
      <c r="J35">
        <v>0</v>
      </c>
      <c r="M35" t="s">
        <v>201</v>
      </c>
      <c r="P35" t="s">
        <v>201</v>
      </c>
      <c r="S35" t="s">
        <v>201</v>
      </c>
      <c r="V35" t="s">
        <v>201</v>
      </c>
      <c r="Y35" t="s">
        <v>201</v>
      </c>
    </row>
    <row r="36" spans="1:25" x14ac:dyDescent="0.25">
      <c r="A36">
        <v>33</v>
      </c>
      <c r="B36" t="s">
        <v>200</v>
      </c>
      <c r="C36">
        <v>7</v>
      </c>
      <c r="D36">
        <v>6.5454999999999997</v>
      </c>
      <c r="E36">
        <v>0</v>
      </c>
      <c r="F36">
        <v>6.5454999999999997</v>
      </c>
      <c r="G36">
        <v>2400</v>
      </c>
      <c r="H36" t="s">
        <v>154</v>
      </c>
      <c r="I36">
        <v>2400</v>
      </c>
      <c r="J36">
        <v>4.1999999999999997E-3</v>
      </c>
      <c r="M36" t="s">
        <v>201</v>
      </c>
      <c r="P36" t="s">
        <v>201</v>
      </c>
      <c r="S36" t="s">
        <v>201</v>
      </c>
      <c r="V36" t="s">
        <v>201</v>
      </c>
      <c r="Y36" t="s">
        <v>201</v>
      </c>
    </row>
    <row r="37" spans="1:25" x14ac:dyDescent="0.25">
      <c r="A37">
        <v>34</v>
      </c>
      <c r="B37" t="s">
        <v>200</v>
      </c>
      <c r="C37">
        <v>8</v>
      </c>
      <c r="D37">
        <v>12.726792452830189</v>
      </c>
      <c r="E37">
        <v>0</v>
      </c>
      <c r="F37">
        <v>12.726792452830189</v>
      </c>
      <c r="G37">
        <v>2968</v>
      </c>
      <c r="H37" t="s">
        <v>149</v>
      </c>
      <c r="I37">
        <v>400</v>
      </c>
      <c r="J37">
        <v>0</v>
      </c>
      <c r="K37" t="s">
        <v>69</v>
      </c>
      <c r="L37">
        <v>2568</v>
      </c>
      <c r="M37">
        <v>0.84816861881846861</v>
      </c>
      <c r="P37" t="s">
        <v>201</v>
      </c>
      <c r="S37" t="s">
        <v>201</v>
      </c>
      <c r="V37" t="s">
        <v>201</v>
      </c>
      <c r="Y37" t="s">
        <v>201</v>
      </c>
    </row>
    <row r="38" spans="1:25" x14ac:dyDescent="0.25">
      <c r="A38">
        <v>35</v>
      </c>
      <c r="B38" t="s">
        <v>200</v>
      </c>
      <c r="C38">
        <v>8</v>
      </c>
      <c r="D38">
        <v>12.790657439446365</v>
      </c>
      <c r="E38">
        <v>0.77508650519031141</v>
      </c>
      <c r="F38">
        <v>12.015570934256054</v>
      </c>
      <c r="G38">
        <v>2890</v>
      </c>
      <c r="H38" t="s">
        <v>149</v>
      </c>
      <c r="I38">
        <v>700</v>
      </c>
      <c r="J38">
        <v>0</v>
      </c>
      <c r="K38" t="s">
        <v>159</v>
      </c>
      <c r="L38">
        <v>1500</v>
      </c>
      <c r="M38">
        <v>0.23219999999999999</v>
      </c>
      <c r="N38" t="s">
        <v>149</v>
      </c>
      <c r="O38">
        <v>190</v>
      </c>
      <c r="P38">
        <v>0</v>
      </c>
      <c r="S38" t="s">
        <v>201</v>
      </c>
      <c r="V38" t="s">
        <v>201</v>
      </c>
      <c r="Y38" t="s">
        <v>201</v>
      </c>
    </row>
    <row r="39" spans="1:25" x14ac:dyDescent="0.25">
      <c r="A39">
        <v>36</v>
      </c>
      <c r="B39" t="s">
        <v>200</v>
      </c>
      <c r="C39">
        <v>8</v>
      </c>
      <c r="D39">
        <v>31</v>
      </c>
      <c r="E39">
        <v>0</v>
      </c>
      <c r="F39">
        <v>31</v>
      </c>
      <c r="G39">
        <v>2400</v>
      </c>
      <c r="H39" t="s">
        <v>149</v>
      </c>
      <c r="I39">
        <v>2400</v>
      </c>
      <c r="J39">
        <v>0</v>
      </c>
      <c r="M39" t="s">
        <v>201</v>
      </c>
      <c r="P39" t="s">
        <v>201</v>
      </c>
      <c r="S39" t="s">
        <v>201</v>
      </c>
      <c r="V39" t="s">
        <v>201</v>
      </c>
      <c r="Y39" t="s">
        <v>201</v>
      </c>
    </row>
    <row r="40" spans="1:25" x14ac:dyDescent="0.25">
      <c r="A40">
        <v>37</v>
      </c>
      <c r="B40" t="s">
        <v>200</v>
      </c>
      <c r="C40">
        <v>8</v>
      </c>
      <c r="D40">
        <v>10</v>
      </c>
      <c r="E40">
        <v>0</v>
      </c>
      <c r="F40">
        <v>10</v>
      </c>
      <c r="G40">
        <v>2600</v>
      </c>
      <c r="H40" t="s">
        <v>153</v>
      </c>
      <c r="I40">
        <v>2600</v>
      </c>
      <c r="J40">
        <v>0</v>
      </c>
      <c r="M40" t="s">
        <v>201</v>
      </c>
      <c r="P40" t="s">
        <v>201</v>
      </c>
      <c r="S40" t="s">
        <v>201</v>
      </c>
      <c r="V40" t="s">
        <v>201</v>
      </c>
      <c r="Y40" t="s">
        <v>201</v>
      </c>
    </row>
    <row r="41" spans="1:25" x14ac:dyDescent="0.25">
      <c r="A41">
        <v>38</v>
      </c>
      <c r="B41" t="s">
        <v>200</v>
      </c>
      <c r="C41">
        <v>8</v>
      </c>
      <c r="D41">
        <v>7.0909000000000004</v>
      </c>
      <c r="E41">
        <v>0</v>
      </c>
      <c r="F41">
        <v>7.0909000000000004</v>
      </c>
      <c r="G41">
        <v>2600</v>
      </c>
      <c r="H41" t="s">
        <v>154</v>
      </c>
      <c r="I41">
        <v>2600</v>
      </c>
      <c r="J41">
        <v>4.5500000000000002E-3</v>
      </c>
      <c r="M41" t="s">
        <v>201</v>
      </c>
      <c r="P41" t="s">
        <v>201</v>
      </c>
      <c r="S41" t="s">
        <v>201</v>
      </c>
      <c r="V41" t="s">
        <v>201</v>
      </c>
      <c r="Y41" t="s">
        <v>201</v>
      </c>
    </row>
    <row r="42" spans="1:25" x14ac:dyDescent="0.25">
      <c r="A42">
        <v>39</v>
      </c>
      <c r="B42" t="s">
        <v>200</v>
      </c>
      <c r="C42">
        <v>9</v>
      </c>
      <c r="D42">
        <v>28</v>
      </c>
      <c r="E42">
        <v>0</v>
      </c>
      <c r="F42">
        <v>28</v>
      </c>
      <c r="G42">
        <v>2200</v>
      </c>
      <c r="H42" t="s">
        <v>149</v>
      </c>
      <c r="I42">
        <v>2200</v>
      </c>
      <c r="J42">
        <v>0</v>
      </c>
      <c r="M42" t="s">
        <v>201</v>
      </c>
      <c r="P42" t="s">
        <v>201</v>
      </c>
      <c r="S42" t="s">
        <v>201</v>
      </c>
      <c r="V42" t="s">
        <v>201</v>
      </c>
      <c r="Y42" t="s">
        <v>201</v>
      </c>
    </row>
    <row r="43" spans="1:25" x14ac:dyDescent="0.25">
      <c r="A43">
        <v>40</v>
      </c>
      <c r="B43" t="s">
        <v>200</v>
      </c>
      <c r="C43">
        <v>9</v>
      </c>
      <c r="D43">
        <v>6</v>
      </c>
      <c r="E43">
        <v>0</v>
      </c>
      <c r="F43">
        <v>6</v>
      </c>
      <c r="G43">
        <v>2200</v>
      </c>
      <c r="H43" t="s">
        <v>154</v>
      </c>
      <c r="I43">
        <v>2200</v>
      </c>
      <c r="J43">
        <v>3.8500000000000006E-3</v>
      </c>
      <c r="M43" t="s">
        <v>201</v>
      </c>
      <c r="P43" t="s">
        <v>201</v>
      </c>
      <c r="S43" t="s">
        <v>201</v>
      </c>
      <c r="V43" t="s">
        <v>201</v>
      </c>
      <c r="Y43" t="s">
        <v>201</v>
      </c>
    </row>
    <row r="44" spans="1:25" x14ac:dyDescent="0.25">
      <c r="A44">
        <v>41</v>
      </c>
      <c r="B44" t="s">
        <v>200</v>
      </c>
      <c r="C44">
        <v>9</v>
      </c>
      <c r="D44">
        <v>5.3357375713121442</v>
      </c>
      <c r="E44">
        <v>0</v>
      </c>
      <c r="F44">
        <v>5.3357375713121442</v>
      </c>
      <c r="G44">
        <v>2454</v>
      </c>
      <c r="H44" t="s">
        <v>149</v>
      </c>
      <c r="I44">
        <v>100</v>
      </c>
      <c r="J44">
        <v>0</v>
      </c>
      <c r="K44" t="s">
        <v>69</v>
      </c>
      <c r="L44">
        <v>2354</v>
      </c>
      <c r="M44">
        <v>0.77748790058359629</v>
      </c>
      <c r="P44" t="s">
        <v>201</v>
      </c>
      <c r="S44" t="s">
        <v>201</v>
      </c>
      <c r="V44" t="s">
        <v>201</v>
      </c>
      <c r="Y44" t="s">
        <v>201</v>
      </c>
    </row>
    <row r="45" spans="1:25" x14ac:dyDescent="0.25">
      <c r="A45">
        <v>42</v>
      </c>
      <c r="B45" t="s">
        <v>200</v>
      </c>
      <c r="C45">
        <v>9</v>
      </c>
      <c r="D45">
        <v>8</v>
      </c>
      <c r="E45">
        <v>0</v>
      </c>
      <c r="F45">
        <v>8</v>
      </c>
      <c r="G45">
        <v>2200</v>
      </c>
      <c r="H45" t="s">
        <v>153</v>
      </c>
      <c r="I45">
        <v>2200</v>
      </c>
      <c r="J45">
        <v>0</v>
      </c>
      <c r="M45" t="s">
        <v>201</v>
      </c>
      <c r="P45" t="s">
        <v>201</v>
      </c>
      <c r="S45" t="s">
        <v>201</v>
      </c>
      <c r="V45" t="s">
        <v>201</v>
      </c>
      <c r="Y45" t="s">
        <v>201</v>
      </c>
    </row>
    <row r="46" spans="1:25" x14ac:dyDescent="0.25">
      <c r="A46">
        <v>43</v>
      </c>
      <c r="B46" t="s">
        <v>200</v>
      </c>
      <c r="C46">
        <v>10</v>
      </c>
      <c r="D46">
        <v>6.4003094233473989</v>
      </c>
      <c r="E46">
        <v>0</v>
      </c>
      <c r="F46">
        <v>6.4003094233473989</v>
      </c>
      <c r="G46">
        <v>2133</v>
      </c>
      <c r="H46" t="s">
        <v>149</v>
      </c>
      <c r="I46">
        <v>100</v>
      </c>
      <c r="J46">
        <v>0</v>
      </c>
      <c r="K46" t="s">
        <v>69</v>
      </c>
      <c r="L46">
        <v>2033.0000000000002</v>
      </c>
      <c r="M46">
        <v>0.67146682323128759</v>
      </c>
      <c r="P46" t="s">
        <v>201</v>
      </c>
      <c r="S46" t="s">
        <v>201</v>
      </c>
      <c r="V46" t="s">
        <v>201</v>
      </c>
      <c r="Y46" t="s">
        <v>201</v>
      </c>
    </row>
    <row r="47" spans="1:25" x14ac:dyDescent="0.25">
      <c r="A47">
        <v>44</v>
      </c>
      <c r="B47" t="s">
        <v>200</v>
      </c>
      <c r="C47">
        <v>10</v>
      </c>
      <c r="D47">
        <v>28</v>
      </c>
      <c r="E47">
        <v>0</v>
      </c>
      <c r="F47">
        <v>28</v>
      </c>
      <c r="G47">
        <v>2000</v>
      </c>
      <c r="H47" t="s">
        <v>149</v>
      </c>
      <c r="I47">
        <v>2000</v>
      </c>
      <c r="J47">
        <v>0</v>
      </c>
      <c r="M47" t="s">
        <v>201</v>
      </c>
      <c r="P47" t="s">
        <v>201</v>
      </c>
      <c r="S47" t="s">
        <v>201</v>
      </c>
      <c r="V47" t="s">
        <v>201</v>
      </c>
      <c r="Y47" t="s">
        <v>201</v>
      </c>
    </row>
    <row r="48" spans="1:25" x14ac:dyDescent="0.25">
      <c r="A48">
        <v>45</v>
      </c>
      <c r="B48" t="s">
        <v>200</v>
      </c>
      <c r="C48">
        <v>10</v>
      </c>
      <c r="D48">
        <v>13</v>
      </c>
      <c r="E48">
        <v>0</v>
      </c>
      <c r="F48">
        <v>13</v>
      </c>
      <c r="G48">
        <v>2000</v>
      </c>
      <c r="H48" t="s">
        <v>153</v>
      </c>
      <c r="I48">
        <v>2000</v>
      </c>
      <c r="J48">
        <v>0</v>
      </c>
      <c r="M48" t="s">
        <v>201</v>
      </c>
      <c r="P48" t="s">
        <v>201</v>
      </c>
      <c r="S48" t="s">
        <v>201</v>
      </c>
      <c r="V48" t="s">
        <v>201</v>
      </c>
      <c r="Y48" t="s">
        <v>201</v>
      </c>
    </row>
    <row r="49" spans="1:25" x14ac:dyDescent="0.25">
      <c r="A49">
        <v>46</v>
      </c>
      <c r="B49" t="s">
        <v>200</v>
      </c>
      <c r="C49">
        <v>10</v>
      </c>
      <c r="D49">
        <v>5.4545000000000003</v>
      </c>
      <c r="E49">
        <v>0</v>
      </c>
      <c r="F49">
        <v>5.4545000000000003</v>
      </c>
      <c r="G49">
        <v>2000</v>
      </c>
      <c r="H49" t="s">
        <v>154</v>
      </c>
      <c r="I49">
        <v>2000</v>
      </c>
      <c r="J49">
        <v>3.5000000000000001E-3</v>
      </c>
      <c r="M49" t="s">
        <v>201</v>
      </c>
      <c r="P49" t="s">
        <v>201</v>
      </c>
      <c r="S49" t="s">
        <v>201</v>
      </c>
      <c r="V49" t="s">
        <v>201</v>
      </c>
      <c r="Y49" t="s">
        <v>201</v>
      </c>
    </row>
    <row r="50" spans="1:25" x14ac:dyDescent="0.25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t="s">
        <v>153</v>
      </c>
      <c r="I50">
        <v>14500</v>
      </c>
      <c r="J50">
        <v>0</v>
      </c>
    </row>
    <row r="51" spans="1:25" x14ac:dyDescent="0.25">
      <c r="A51">
        <v>48</v>
      </c>
      <c r="B51" t="s">
        <v>203</v>
      </c>
      <c r="C51">
        <v>11</v>
      </c>
      <c r="D51">
        <v>50.243366406803688</v>
      </c>
      <c r="E51">
        <v>0</v>
      </c>
      <c r="F51">
        <v>50.243366406803688</v>
      </c>
      <c r="G51">
        <v>14110</v>
      </c>
      <c r="H51" t="s">
        <v>149</v>
      </c>
      <c r="I51">
        <v>200</v>
      </c>
      <c r="J51">
        <v>0</v>
      </c>
      <c r="K51" t="s">
        <v>69</v>
      </c>
      <c r="L51">
        <v>13910</v>
      </c>
      <c r="M51">
        <v>4.5942466852667048</v>
      </c>
    </row>
    <row r="52" spans="1:25" x14ac:dyDescent="0.25">
      <c r="A52">
        <v>49</v>
      </c>
      <c r="B52" t="s">
        <v>203</v>
      </c>
      <c r="C52">
        <v>11</v>
      </c>
      <c r="D52">
        <v>48.252368647717489</v>
      </c>
      <c r="E52">
        <v>6.3367786391042218</v>
      </c>
      <c r="F52">
        <v>41.915590008613265</v>
      </c>
      <c r="G52">
        <v>11610</v>
      </c>
      <c r="H52" t="s">
        <v>149</v>
      </c>
      <c r="I52">
        <v>110</v>
      </c>
      <c r="J52">
        <v>0</v>
      </c>
      <c r="K52" t="s">
        <v>159</v>
      </c>
      <c r="L52">
        <v>11000</v>
      </c>
      <c r="M52">
        <v>1.7027999999999999</v>
      </c>
      <c r="N52" t="s">
        <v>149</v>
      </c>
      <c r="O52">
        <v>500</v>
      </c>
      <c r="P52">
        <v>0</v>
      </c>
    </row>
    <row r="53" spans="1:25" x14ac:dyDescent="0.25">
      <c r="A53">
        <v>50</v>
      </c>
      <c r="B53" t="s">
        <v>203</v>
      </c>
      <c r="C53">
        <v>12</v>
      </c>
      <c r="D53">
        <v>46.520265379975875</v>
      </c>
      <c r="E53">
        <v>0.85367913148371533</v>
      </c>
      <c r="F53">
        <v>45.666586248492159</v>
      </c>
      <c r="G53">
        <v>16580</v>
      </c>
      <c r="H53" t="s">
        <v>149</v>
      </c>
      <c r="I53">
        <v>900</v>
      </c>
      <c r="J53">
        <v>0</v>
      </c>
      <c r="K53" t="s">
        <v>158</v>
      </c>
      <c r="L53">
        <v>7100</v>
      </c>
      <c r="M53">
        <v>1.66625</v>
      </c>
      <c r="N53" t="s">
        <v>155</v>
      </c>
      <c r="O53">
        <v>8580</v>
      </c>
      <c r="P53">
        <v>1.747625</v>
      </c>
    </row>
    <row r="54" spans="1:25" x14ac:dyDescent="0.25">
      <c r="A54">
        <v>51</v>
      </c>
      <c r="B54" t="s">
        <v>203</v>
      </c>
      <c r="C54">
        <v>12</v>
      </c>
      <c r="D54">
        <v>37.427087814458055</v>
      </c>
      <c r="E54">
        <v>0</v>
      </c>
      <c r="F54">
        <v>37.427087814458055</v>
      </c>
      <c r="G54">
        <v>21386</v>
      </c>
      <c r="H54" t="s">
        <v>149</v>
      </c>
      <c r="I54">
        <v>200</v>
      </c>
      <c r="J54">
        <v>0</v>
      </c>
      <c r="K54" t="s">
        <v>69</v>
      </c>
      <c r="L54">
        <v>21186</v>
      </c>
      <c r="M54">
        <v>6.9973911052523663</v>
      </c>
    </row>
    <row r="55" spans="1:25" x14ac:dyDescent="0.25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t="s">
        <v>153</v>
      </c>
      <c r="I55">
        <v>15000</v>
      </c>
      <c r="J55">
        <v>0</v>
      </c>
    </row>
    <row r="56" spans="1:25" x14ac:dyDescent="0.25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t="s">
        <v>153</v>
      </c>
      <c r="I56">
        <v>14900</v>
      </c>
      <c r="J56">
        <v>0</v>
      </c>
    </row>
    <row r="57" spans="1:25" x14ac:dyDescent="0.25">
      <c r="A57">
        <v>54</v>
      </c>
      <c r="B57" t="s">
        <v>203</v>
      </c>
      <c r="C57">
        <v>14</v>
      </c>
      <c r="D57">
        <v>42.762039045553152</v>
      </c>
      <c r="E57">
        <v>0</v>
      </c>
      <c r="F57">
        <v>42.762039045553152</v>
      </c>
      <c r="G57">
        <v>14752</v>
      </c>
      <c r="H57" t="s">
        <v>149</v>
      </c>
      <c r="I57">
        <v>200</v>
      </c>
      <c r="J57">
        <v>0</v>
      </c>
      <c r="K57" t="s">
        <v>69</v>
      </c>
      <c r="L57">
        <v>14552</v>
      </c>
      <c r="M57">
        <v>4.8062888399713222</v>
      </c>
    </row>
    <row r="58" spans="1:25" x14ac:dyDescent="0.25">
      <c r="A58">
        <v>55</v>
      </c>
      <c r="B58" t="s">
        <v>203</v>
      </c>
      <c r="C58">
        <v>14</v>
      </c>
      <c r="D58">
        <v>76.678258629572383</v>
      </c>
      <c r="E58">
        <v>16.699639361154045</v>
      </c>
      <c r="F58">
        <v>59.978619268418342</v>
      </c>
      <c r="G58">
        <v>19410</v>
      </c>
      <c r="H58" t="s">
        <v>149</v>
      </c>
      <c r="I58">
        <v>910</v>
      </c>
      <c r="J58">
        <v>0</v>
      </c>
      <c r="K58" t="s">
        <v>155</v>
      </c>
      <c r="L58">
        <v>5000</v>
      </c>
      <c r="M58">
        <v>1.747625</v>
      </c>
      <c r="N58" t="s">
        <v>158</v>
      </c>
      <c r="O58">
        <v>13500</v>
      </c>
      <c r="P58">
        <v>1.66625</v>
      </c>
    </row>
    <row r="59" spans="1:25" x14ac:dyDescent="0.25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t="s">
        <v>153</v>
      </c>
      <c r="I59">
        <v>15200</v>
      </c>
      <c r="J59">
        <v>0</v>
      </c>
    </row>
    <row r="60" spans="1:25" x14ac:dyDescent="0.25">
      <c r="A60">
        <v>57</v>
      </c>
      <c r="B60" t="s">
        <v>203</v>
      </c>
      <c r="C60">
        <v>15</v>
      </c>
      <c r="D60">
        <v>47.041414790996789</v>
      </c>
      <c r="E60">
        <v>0</v>
      </c>
      <c r="F60">
        <v>47.041414790996789</v>
      </c>
      <c r="G60">
        <v>23947</v>
      </c>
      <c r="H60" t="s">
        <v>149</v>
      </c>
      <c r="I60">
        <v>300</v>
      </c>
      <c r="J60">
        <v>0</v>
      </c>
      <c r="K60" t="s">
        <v>69</v>
      </c>
      <c r="L60">
        <v>23647</v>
      </c>
      <c r="M60">
        <v>7.8102193649533982</v>
      </c>
    </row>
    <row r="61" spans="1:25" x14ac:dyDescent="0.25">
      <c r="A61">
        <v>58</v>
      </c>
      <c r="B61" t="s">
        <v>203</v>
      </c>
      <c r="C61">
        <v>15</v>
      </c>
      <c r="D61">
        <v>57.076430976430977</v>
      </c>
      <c r="E61">
        <v>6.7070707070707076</v>
      </c>
      <c r="F61">
        <v>50.369360269360271</v>
      </c>
      <c r="G61">
        <v>14850</v>
      </c>
      <c r="H61" t="s">
        <v>149</v>
      </c>
      <c r="I61">
        <v>350</v>
      </c>
      <c r="J61">
        <v>0</v>
      </c>
      <c r="K61" t="s">
        <v>155</v>
      </c>
      <c r="L61">
        <v>9500</v>
      </c>
      <c r="M61">
        <v>1.747625</v>
      </c>
      <c r="N61" t="s">
        <v>158</v>
      </c>
      <c r="O61">
        <v>5000</v>
      </c>
      <c r="P61">
        <v>1.66625</v>
      </c>
    </row>
    <row r="62" spans="1:25" x14ac:dyDescent="0.25">
      <c r="A62">
        <v>59</v>
      </c>
      <c r="B62" t="s">
        <v>202</v>
      </c>
      <c r="C62">
        <v>17</v>
      </c>
      <c r="D62">
        <v>200.29899785407724</v>
      </c>
      <c r="E62">
        <v>51.687991416309018</v>
      </c>
      <c r="F62">
        <v>148.61100643776822</v>
      </c>
      <c r="G62">
        <v>233000</v>
      </c>
      <c r="H62" t="s">
        <v>149</v>
      </c>
      <c r="I62">
        <v>500</v>
      </c>
      <c r="J62">
        <v>0</v>
      </c>
      <c r="K62" t="s">
        <v>158</v>
      </c>
      <c r="L62">
        <v>6000</v>
      </c>
      <c r="M62">
        <v>1.66625</v>
      </c>
      <c r="N62" t="s">
        <v>160</v>
      </c>
      <c r="O62">
        <v>183920</v>
      </c>
      <c r="P62">
        <v>28.470815999999996</v>
      </c>
      <c r="Q62" t="s">
        <v>159</v>
      </c>
      <c r="R62">
        <v>42180</v>
      </c>
      <c r="S62">
        <v>6.5294639999999999</v>
      </c>
      <c r="T62" t="s">
        <v>155</v>
      </c>
      <c r="U62">
        <v>1870</v>
      </c>
      <c r="V62">
        <v>1.747625</v>
      </c>
      <c r="W62" t="s">
        <v>149</v>
      </c>
      <c r="X62">
        <v>400</v>
      </c>
      <c r="Y62">
        <v>0</v>
      </c>
    </row>
    <row r="63" spans="1:25" x14ac:dyDescent="0.25">
      <c r="A63">
        <v>60</v>
      </c>
      <c r="B63" t="s">
        <v>202</v>
      </c>
      <c r="C63">
        <v>17</v>
      </c>
      <c r="D63">
        <v>181.87463362643223</v>
      </c>
      <c r="E63">
        <v>0</v>
      </c>
      <c r="F63">
        <v>181.87463362643223</v>
      </c>
      <c r="G63">
        <v>187650</v>
      </c>
      <c r="H63" t="s">
        <v>149</v>
      </c>
      <c r="I63">
        <v>400</v>
      </c>
      <c r="J63">
        <v>0</v>
      </c>
      <c r="K63" t="s">
        <v>69</v>
      </c>
      <c r="L63">
        <v>187250</v>
      </c>
      <c r="M63">
        <v>61.845628455513335</v>
      </c>
      <c r="P63" t="s">
        <v>201</v>
      </c>
      <c r="S63" t="s">
        <v>201</v>
      </c>
      <c r="V63" t="s">
        <v>201</v>
      </c>
      <c r="Y63" t="s">
        <v>201</v>
      </c>
    </row>
    <row r="64" spans="1:25" x14ac:dyDescent="0.25">
      <c r="A64">
        <v>61</v>
      </c>
      <c r="B64" t="s">
        <v>202</v>
      </c>
      <c r="C64">
        <v>18</v>
      </c>
      <c r="D64">
        <v>218.68601042980333</v>
      </c>
      <c r="E64">
        <v>50.388022768328845</v>
      </c>
      <c r="F64">
        <v>168.29798766147448</v>
      </c>
      <c r="G64">
        <v>234712</v>
      </c>
      <c r="H64" t="s">
        <v>149</v>
      </c>
      <c r="I64">
        <v>500</v>
      </c>
      <c r="J64">
        <v>0</v>
      </c>
      <c r="K64" t="s">
        <v>158</v>
      </c>
      <c r="L64">
        <v>6000</v>
      </c>
      <c r="M64">
        <v>1.66625</v>
      </c>
      <c r="N64" t="s">
        <v>160</v>
      </c>
      <c r="O64">
        <v>183920</v>
      </c>
      <c r="P64">
        <v>28.470815999999996</v>
      </c>
      <c r="Q64" t="s">
        <v>159</v>
      </c>
      <c r="R64">
        <v>42690</v>
      </c>
      <c r="S64">
        <v>6.6084119999999995</v>
      </c>
      <c r="T64" t="s">
        <v>155</v>
      </c>
      <c r="U64">
        <v>1302</v>
      </c>
      <c r="V64">
        <v>1.747625</v>
      </c>
      <c r="W64" t="s">
        <v>149</v>
      </c>
      <c r="X64">
        <v>300</v>
      </c>
      <c r="Y64">
        <v>0</v>
      </c>
    </row>
    <row r="65" spans="1:25" x14ac:dyDescent="0.25">
      <c r="A65">
        <v>62</v>
      </c>
      <c r="B65" t="s">
        <v>202</v>
      </c>
      <c r="C65">
        <v>18</v>
      </c>
      <c r="D65">
        <v>171.17542512342297</v>
      </c>
      <c r="E65">
        <v>0</v>
      </c>
      <c r="F65">
        <v>171.17542512342297</v>
      </c>
      <c r="G65">
        <v>182300</v>
      </c>
      <c r="H65" t="s">
        <v>149</v>
      </c>
      <c r="I65">
        <v>400</v>
      </c>
      <c r="J65">
        <v>0</v>
      </c>
      <c r="K65" t="s">
        <v>69</v>
      </c>
      <c r="L65">
        <v>181900</v>
      </c>
      <c r="M65">
        <v>60.078610499641528</v>
      </c>
      <c r="P65" t="s">
        <v>201</v>
      </c>
      <c r="S65" t="s">
        <v>201</v>
      </c>
      <c r="V65" t="s">
        <v>201</v>
      </c>
      <c r="Y65" t="s">
        <v>201</v>
      </c>
    </row>
    <row r="66" spans="1:25" x14ac:dyDescent="0.25">
      <c r="A66">
        <v>63</v>
      </c>
      <c r="B66" t="s">
        <v>202</v>
      </c>
      <c r="C66">
        <v>19</v>
      </c>
      <c r="D66">
        <v>160.47709548999291</v>
      </c>
      <c r="E66">
        <v>0</v>
      </c>
      <c r="F66">
        <v>160.47709548999291</v>
      </c>
      <c r="G66">
        <v>183370</v>
      </c>
      <c r="H66" t="s">
        <v>149</v>
      </c>
      <c r="I66">
        <v>400</v>
      </c>
      <c r="J66">
        <v>0</v>
      </c>
      <c r="K66" t="s">
        <v>69</v>
      </c>
      <c r="L66">
        <v>182970</v>
      </c>
      <c r="M66">
        <v>60.43201409081589</v>
      </c>
      <c r="P66" t="s">
        <v>201</v>
      </c>
      <c r="S66" t="s">
        <v>201</v>
      </c>
      <c r="V66" t="s">
        <v>201</v>
      </c>
      <c r="Y66" t="s">
        <v>201</v>
      </c>
    </row>
    <row r="67" spans="1:25" x14ac:dyDescent="0.25">
      <c r="A67">
        <v>64</v>
      </c>
      <c r="B67" t="s">
        <v>202</v>
      </c>
      <c r="C67">
        <v>22</v>
      </c>
      <c r="D67">
        <v>250.29300291545186</v>
      </c>
      <c r="E67">
        <v>67.366903283052352</v>
      </c>
      <c r="F67">
        <v>182.92609963239951</v>
      </c>
      <c r="G67">
        <v>236670</v>
      </c>
      <c r="H67" t="s">
        <v>149</v>
      </c>
      <c r="I67">
        <v>450</v>
      </c>
      <c r="J67">
        <v>0</v>
      </c>
      <c r="K67" t="s">
        <v>155</v>
      </c>
      <c r="L67">
        <v>5050</v>
      </c>
      <c r="M67">
        <v>1.747625</v>
      </c>
      <c r="N67" t="s">
        <v>160</v>
      </c>
      <c r="O67">
        <v>187470</v>
      </c>
      <c r="P67">
        <v>29.020356</v>
      </c>
      <c r="Q67" t="s">
        <v>159</v>
      </c>
      <c r="R67">
        <v>43300</v>
      </c>
      <c r="S67">
        <v>6.7028399999999992</v>
      </c>
      <c r="T67" t="s">
        <v>149</v>
      </c>
      <c r="U67">
        <v>400</v>
      </c>
      <c r="V67">
        <v>0</v>
      </c>
      <c r="Y67" t="s">
        <v>201</v>
      </c>
    </row>
    <row r="68" spans="1:25" x14ac:dyDescent="0.25">
      <c r="A68">
        <v>65</v>
      </c>
      <c r="B68" t="s">
        <v>202</v>
      </c>
      <c r="C68">
        <v>22</v>
      </c>
      <c r="D68">
        <v>246.06528489030242</v>
      </c>
      <c r="E68">
        <v>0</v>
      </c>
      <c r="F68">
        <v>246.06528489030242</v>
      </c>
      <c r="G68">
        <v>185510</v>
      </c>
      <c r="H68" t="s">
        <v>149</v>
      </c>
      <c r="I68">
        <v>400</v>
      </c>
      <c r="J68">
        <v>0</v>
      </c>
      <c r="K68" t="s">
        <v>69</v>
      </c>
      <c r="L68">
        <v>185110</v>
      </c>
      <c r="M68">
        <v>61.138821273164616</v>
      </c>
      <c r="P68" t="s">
        <v>201</v>
      </c>
      <c r="S68" t="s">
        <v>201</v>
      </c>
      <c r="V68" t="s">
        <v>201</v>
      </c>
      <c r="Y68" t="s">
        <v>201</v>
      </c>
    </row>
    <row r="69" spans="1:25" x14ac:dyDescent="0.25">
      <c r="A69">
        <v>66</v>
      </c>
      <c r="B69" t="s">
        <v>202</v>
      </c>
      <c r="C69">
        <v>23</v>
      </c>
      <c r="D69">
        <v>160.47735971106678</v>
      </c>
      <c r="E69">
        <v>0</v>
      </c>
      <c r="F69">
        <v>160.47735971106678</v>
      </c>
      <c r="G69">
        <v>185510</v>
      </c>
      <c r="H69" t="s">
        <v>149</v>
      </c>
      <c r="I69">
        <v>400</v>
      </c>
      <c r="J69">
        <v>0</v>
      </c>
      <c r="K69" t="s">
        <v>69</v>
      </c>
      <c r="L69">
        <v>185110</v>
      </c>
      <c r="M69">
        <v>61.138821273164616</v>
      </c>
      <c r="P69" t="s">
        <v>201</v>
      </c>
      <c r="S69" t="s">
        <v>201</v>
      </c>
      <c r="V69" t="s">
        <v>201</v>
      </c>
      <c r="Y69" t="s">
        <v>201</v>
      </c>
    </row>
    <row r="70" spans="1:25" x14ac:dyDescent="0.25">
      <c r="A70">
        <v>67</v>
      </c>
      <c r="B70" t="s">
        <v>203</v>
      </c>
      <c r="C70">
        <v>24</v>
      </c>
      <c r="D70">
        <v>36.545499999999997</v>
      </c>
      <c r="E70">
        <v>0</v>
      </c>
      <c r="F70">
        <v>36.545499999999997</v>
      </c>
      <c r="G70">
        <v>13400</v>
      </c>
      <c r="H70" t="s">
        <v>154</v>
      </c>
      <c r="I70">
        <v>13400</v>
      </c>
      <c r="J70">
        <v>2.3450000000000002E-2</v>
      </c>
      <c r="M70" t="s">
        <v>201</v>
      </c>
      <c r="P70" t="s">
        <v>201</v>
      </c>
      <c r="S70" t="s">
        <v>201</v>
      </c>
      <c r="V70" t="s">
        <v>201</v>
      </c>
      <c r="Y70" t="s">
        <v>201</v>
      </c>
    </row>
    <row r="71" spans="1:25" x14ac:dyDescent="0.25">
      <c r="A71">
        <v>68</v>
      </c>
      <c r="B71" t="s">
        <v>203</v>
      </c>
      <c r="C71">
        <v>24</v>
      </c>
      <c r="D71">
        <v>26.724812895797349</v>
      </c>
      <c r="E71">
        <v>0</v>
      </c>
      <c r="F71">
        <v>26.724812895797349</v>
      </c>
      <c r="G71">
        <v>13896</v>
      </c>
      <c r="H71" t="s">
        <v>149</v>
      </c>
      <c r="I71">
        <v>200</v>
      </c>
      <c r="J71">
        <v>0</v>
      </c>
      <c r="K71" t="s">
        <v>69</v>
      </c>
      <c r="L71">
        <v>13696</v>
      </c>
      <c r="M71">
        <v>4.5235659670318329</v>
      </c>
      <c r="P71" t="s">
        <v>201</v>
      </c>
      <c r="S71" t="s">
        <v>201</v>
      </c>
      <c r="V71" t="s">
        <v>201</v>
      </c>
      <c r="Y71" t="s">
        <v>201</v>
      </c>
    </row>
    <row r="72" spans="1:25" x14ac:dyDescent="0.25">
      <c r="A72">
        <v>69</v>
      </c>
      <c r="B72" t="s">
        <v>203</v>
      </c>
      <c r="C72">
        <v>24</v>
      </c>
      <c r="D72">
        <v>45</v>
      </c>
      <c r="E72">
        <v>0</v>
      </c>
      <c r="F72">
        <v>45</v>
      </c>
      <c r="G72">
        <v>13400</v>
      </c>
      <c r="H72" t="s">
        <v>153</v>
      </c>
      <c r="I72">
        <v>13400</v>
      </c>
      <c r="J72">
        <v>0</v>
      </c>
      <c r="M72" t="s">
        <v>201</v>
      </c>
      <c r="P72" t="s">
        <v>201</v>
      </c>
      <c r="S72" t="s">
        <v>201</v>
      </c>
      <c r="V72" t="s">
        <v>201</v>
      </c>
      <c r="Y72" t="s">
        <v>201</v>
      </c>
    </row>
    <row r="73" spans="1:25" x14ac:dyDescent="0.25">
      <c r="A73">
        <v>70</v>
      </c>
      <c r="B73" t="s">
        <v>203</v>
      </c>
      <c r="C73">
        <v>24</v>
      </c>
      <c r="D73">
        <v>77.41105072463769</v>
      </c>
      <c r="E73">
        <v>23.202173913043481</v>
      </c>
      <c r="F73">
        <v>54.208876811594209</v>
      </c>
      <c r="G73">
        <v>13800</v>
      </c>
      <c r="H73" t="s">
        <v>149</v>
      </c>
      <c r="I73">
        <v>2150</v>
      </c>
      <c r="J73">
        <v>0</v>
      </c>
      <c r="K73" t="s">
        <v>159</v>
      </c>
      <c r="L73">
        <v>8450</v>
      </c>
      <c r="M73">
        <v>1.3080599999999998</v>
      </c>
      <c r="N73" t="s">
        <v>155</v>
      </c>
      <c r="O73">
        <v>3200</v>
      </c>
      <c r="P73">
        <v>1.747625</v>
      </c>
      <c r="S73" t="s">
        <v>201</v>
      </c>
      <c r="V73" t="s">
        <v>201</v>
      </c>
      <c r="Y73" t="s">
        <v>201</v>
      </c>
    </row>
    <row r="74" spans="1:25" x14ac:dyDescent="0.25">
      <c r="A74">
        <v>71</v>
      </c>
      <c r="B74" t="s">
        <v>203</v>
      </c>
      <c r="C74">
        <v>25</v>
      </c>
      <c r="D74">
        <v>40</v>
      </c>
      <c r="E74">
        <v>0</v>
      </c>
      <c r="F74">
        <v>40</v>
      </c>
      <c r="G74">
        <v>12200</v>
      </c>
      <c r="H74" t="s">
        <v>153</v>
      </c>
      <c r="I74">
        <v>12200</v>
      </c>
      <c r="J74">
        <v>0</v>
      </c>
      <c r="M74" t="s">
        <v>201</v>
      </c>
      <c r="P74" t="s">
        <v>201</v>
      </c>
      <c r="S74" t="s">
        <v>201</v>
      </c>
      <c r="V74" t="s">
        <v>201</v>
      </c>
      <c r="Y74" t="s">
        <v>201</v>
      </c>
    </row>
    <row r="75" spans="1:25" x14ac:dyDescent="0.25">
      <c r="A75">
        <v>72</v>
      </c>
      <c r="B75" t="s">
        <v>203</v>
      </c>
      <c r="C75">
        <v>25</v>
      </c>
      <c r="D75">
        <v>101.776</v>
      </c>
      <c r="E75">
        <v>26.705882352941178</v>
      </c>
      <c r="F75">
        <v>75.070117647058822</v>
      </c>
      <c r="G75">
        <v>12750</v>
      </c>
      <c r="H75" t="s">
        <v>149</v>
      </c>
      <c r="I75">
        <v>1950</v>
      </c>
      <c r="J75">
        <v>0</v>
      </c>
      <c r="K75" t="s">
        <v>156</v>
      </c>
      <c r="L75">
        <v>7600</v>
      </c>
      <c r="M75">
        <v>1.66625</v>
      </c>
      <c r="N75" t="s">
        <v>155</v>
      </c>
      <c r="O75">
        <v>3200</v>
      </c>
      <c r="P75">
        <v>1.747625</v>
      </c>
      <c r="S75" t="s">
        <v>201</v>
      </c>
      <c r="V75" t="s">
        <v>201</v>
      </c>
      <c r="Y75" t="s">
        <v>201</v>
      </c>
    </row>
    <row r="76" spans="1:25" x14ac:dyDescent="0.25">
      <c r="A76">
        <v>73</v>
      </c>
      <c r="B76" t="s">
        <v>203</v>
      </c>
      <c r="C76">
        <v>25</v>
      </c>
      <c r="D76">
        <v>29.932005998714565</v>
      </c>
      <c r="E76">
        <v>0</v>
      </c>
      <c r="F76">
        <v>29.932005998714565</v>
      </c>
      <c r="G76">
        <v>14003</v>
      </c>
      <c r="H76" t="s">
        <v>149</v>
      </c>
      <c r="I76">
        <v>200</v>
      </c>
      <c r="J76">
        <v>0</v>
      </c>
      <c r="K76" t="s">
        <v>69</v>
      </c>
      <c r="L76">
        <v>13803</v>
      </c>
      <c r="M76">
        <v>4.5589063261492688</v>
      </c>
      <c r="P76" t="s">
        <v>201</v>
      </c>
      <c r="S76" t="s">
        <v>201</v>
      </c>
      <c r="V76" t="s">
        <v>201</v>
      </c>
      <c r="Y76" t="s">
        <v>201</v>
      </c>
    </row>
    <row r="77" spans="1:25" x14ac:dyDescent="0.25">
      <c r="A77">
        <v>74</v>
      </c>
      <c r="B77" t="s">
        <v>203</v>
      </c>
      <c r="C77">
        <v>25</v>
      </c>
      <c r="D77">
        <v>33.2727</v>
      </c>
      <c r="E77">
        <v>0</v>
      </c>
      <c r="F77">
        <v>33.2727</v>
      </c>
      <c r="G77">
        <v>12200</v>
      </c>
      <c r="H77" t="s">
        <v>154</v>
      </c>
      <c r="I77">
        <v>12200</v>
      </c>
      <c r="J77">
        <v>2.1350000000000001E-2</v>
      </c>
      <c r="M77" t="s">
        <v>201</v>
      </c>
      <c r="P77" t="s">
        <v>201</v>
      </c>
      <c r="S77" t="s">
        <v>201</v>
      </c>
      <c r="V77" t="s">
        <v>201</v>
      </c>
      <c r="Y77" t="s">
        <v>201</v>
      </c>
    </row>
    <row r="78" spans="1:25" x14ac:dyDescent="0.25">
      <c r="A78">
        <v>75</v>
      </c>
      <c r="B78" t="s">
        <v>203</v>
      </c>
      <c r="C78">
        <v>26</v>
      </c>
      <c r="D78">
        <v>39.2727</v>
      </c>
      <c r="E78">
        <v>0</v>
      </c>
      <c r="F78">
        <v>39.2727</v>
      </c>
      <c r="G78">
        <v>14400</v>
      </c>
      <c r="H78" t="s">
        <v>154</v>
      </c>
      <c r="I78">
        <v>14400</v>
      </c>
      <c r="J78">
        <v>2.52E-2</v>
      </c>
      <c r="M78" t="s">
        <v>201</v>
      </c>
      <c r="P78" t="s">
        <v>201</v>
      </c>
      <c r="S78" t="s">
        <v>201</v>
      </c>
      <c r="V78" t="s">
        <v>201</v>
      </c>
      <c r="Y78" t="s">
        <v>201</v>
      </c>
    </row>
    <row r="79" spans="1:25" x14ac:dyDescent="0.25">
      <c r="A79">
        <v>76</v>
      </c>
      <c r="B79" t="s">
        <v>203</v>
      </c>
      <c r="C79">
        <v>26</v>
      </c>
      <c r="D79">
        <v>49</v>
      </c>
      <c r="E79">
        <v>0</v>
      </c>
      <c r="F79">
        <v>49</v>
      </c>
      <c r="G79">
        <v>14400</v>
      </c>
      <c r="H79" t="s">
        <v>153</v>
      </c>
      <c r="I79">
        <v>14400</v>
      </c>
      <c r="J79">
        <v>0</v>
      </c>
      <c r="M79" t="s">
        <v>201</v>
      </c>
      <c r="P79" t="s">
        <v>201</v>
      </c>
      <c r="S79" t="s">
        <v>201</v>
      </c>
      <c r="V79" t="s">
        <v>201</v>
      </c>
      <c r="Y79" t="s">
        <v>201</v>
      </c>
    </row>
    <row r="80" spans="1:25" x14ac:dyDescent="0.25">
      <c r="A80">
        <v>77</v>
      </c>
      <c r="B80" t="s">
        <v>203</v>
      </c>
      <c r="C80">
        <v>26</v>
      </c>
      <c r="D80">
        <v>80.471363636363634</v>
      </c>
      <c r="E80">
        <v>35.840909090909093</v>
      </c>
      <c r="F80">
        <v>44.630454545454548</v>
      </c>
      <c r="G80">
        <v>17600</v>
      </c>
      <c r="H80" t="s">
        <v>149</v>
      </c>
      <c r="I80">
        <v>1600</v>
      </c>
      <c r="J80">
        <v>0</v>
      </c>
      <c r="K80" t="s">
        <v>159</v>
      </c>
      <c r="L80">
        <v>13700</v>
      </c>
      <c r="M80">
        <v>2.1207599999999998</v>
      </c>
      <c r="N80" t="s">
        <v>155</v>
      </c>
      <c r="O80">
        <v>2300</v>
      </c>
      <c r="P80">
        <v>1.747625</v>
      </c>
      <c r="S80" t="s">
        <v>201</v>
      </c>
      <c r="V80" t="s">
        <v>201</v>
      </c>
      <c r="Y80" t="s">
        <v>201</v>
      </c>
    </row>
    <row r="81" spans="1:25" x14ac:dyDescent="0.25">
      <c r="A81">
        <v>78</v>
      </c>
      <c r="B81" t="s">
        <v>203</v>
      </c>
      <c r="C81">
        <v>26</v>
      </c>
      <c r="D81">
        <v>18.175544217687079</v>
      </c>
      <c r="E81">
        <v>0</v>
      </c>
      <c r="F81">
        <v>18.175544217687079</v>
      </c>
      <c r="G81">
        <v>16464</v>
      </c>
      <c r="H81" t="s">
        <v>149</v>
      </c>
      <c r="I81">
        <v>200</v>
      </c>
      <c r="J81">
        <v>0</v>
      </c>
      <c r="K81" t="s">
        <v>69</v>
      </c>
      <c r="L81">
        <v>16264.000000000002</v>
      </c>
      <c r="M81">
        <v>5.3717345858503007</v>
      </c>
      <c r="P81" t="s">
        <v>201</v>
      </c>
      <c r="S81" t="s">
        <v>201</v>
      </c>
      <c r="V81" t="s">
        <v>201</v>
      </c>
      <c r="Y81" t="s">
        <v>201</v>
      </c>
    </row>
    <row r="82" spans="1:25" x14ac:dyDescent="0.25">
      <c r="A82">
        <v>79</v>
      </c>
      <c r="B82" t="s">
        <v>203</v>
      </c>
      <c r="C82">
        <v>27</v>
      </c>
      <c r="D82">
        <v>36.545499999999997</v>
      </c>
      <c r="E82">
        <v>0</v>
      </c>
      <c r="F82">
        <v>36.545499999999997</v>
      </c>
      <c r="G82">
        <v>13400</v>
      </c>
      <c r="H82" t="s">
        <v>154</v>
      </c>
      <c r="I82">
        <v>13400</v>
      </c>
      <c r="J82">
        <v>2.3450000000000002E-2</v>
      </c>
      <c r="M82" t="s">
        <v>201</v>
      </c>
      <c r="P82" t="s">
        <v>201</v>
      </c>
      <c r="S82" t="s">
        <v>201</v>
      </c>
      <c r="V82" t="s">
        <v>201</v>
      </c>
      <c r="Y82" t="s">
        <v>201</v>
      </c>
    </row>
    <row r="83" spans="1:25" x14ac:dyDescent="0.25">
      <c r="A83">
        <v>80</v>
      </c>
      <c r="B83" t="s">
        <v>203</v>
      </c>
      <c r="C83">
        <v>27</v>
      </c>
      <c r="D83">
        <v>24.59345323741007</v>
      </c>
      <c r="E83">
        <v>0</v>
      </c>
      <c r="F83">
        <v>24.59345323741007</v>
      </c>
      <c r="G83">
        <v>19460</v>
      </c>
      <c r="H83" t="s">
        <v>149</v>
      </c>
      <c r="I83">
        <v>200</v>
      </c>
      <c r="J83">
        <v>0</v>
      </c>
      <c r="K83" t="s">
        <v>69</v>
      </c>
      <c r="L83">
        <v>19260</v>
      </c>
      <c r="M83">
        <v>6.361264641138515</v>
      </c>
      <c r="P83" t="s">
        <v>201</v>
      </c>
      <c r="S83" t="s">
        <v>201</v>
      </c>
      <c r="V83" t="s">
        <v>201</v>
      </c>
      <c r="Y83" t="s">
        <v>201</v>
      </c>
    </row>
    <row r="84" spans="1:25" x14ac:dyDescent="0.25">
      <c r="A84">
        <v>81</v>
      </c>
      <c r="B84" t="s">
        <v>203</v>
      </c>
      <c r="C84">
        <v>27</v>
      </c>
      <c r="D84">
        <v>44</v>
      </c>
      <c r="E84">
        <v>0</v>
      </c>
      <c r="F84">
        <v>44</v>
      </c>
      <c r="G84">
        <v>13400</v>
      </c>
      <c r="H84" t="s">
        <v>153</v>
      </c>
      <c r="I84">
        <v>13400</v>
      </c>
      <c r="J84">
        <v>0</v>
      </c>
      <c r="M84" t="s">
        <v>201</v>
      </c>
      <c r="P84" t="s">
        <v>201</v>
      </c>
      <c r="S84" t="s">
        <v>201</v>
      </c>
      <c r="V84" t="s">
        <v>201</v>
      </c>
      <c r="Y84" t="s">
        <v>201</v>
      </c>
    </row>
    <row r="85" spans="1:25" x14ac:dyDescent="0.25">
      <c r="A85">
        <v>82</v>
      </c>
      <c r="B85" t="s">
        <v>203</v>
      </c>
      <c r="C85">
        <v>28</v>
      </c>
      <c r="D85">
        <v>46</v>
      </c>
      <c r="E85">
        <v>0</v>
      </c>
      <c r="F85">
        <v>46</v>
      </c>
      <c r="G85">
        <v>13100</v>
      </c>
      <c r="H85" t="s">
        <v>153</v>
      </c>
      <c r="I85">
        <v>13100</v>
      </c>
      <c r="J85">
        <v>0</v>
      </c>
      <c r="M85" t="s">
        <v>201</v>
      </c>
      <c r="P85" t="s">
        <v>201</v>
      </c>
      <c r="S85" t="s">
        <v>201</v>
      </c>
      <c r="V85" t="s">
        <v>201</v>
      </c>
      <c r="Y85" t="s">
        <v>201</v>
      </c>
    </row>
    <row r="86" spans="1:25" x14ac:dyDescent="0.25">
      <c r="A86">
        <v>83</v>
      </c>
      <c r="B86" t="s">
        <v>203</v>
      </c>
      <c r="C86">
        <v>28</v>
      </c>
      <c r="D86">
        <v>107.35845102505692</v>
      </c>
      <c r="E86">
        <v>12.512528473804101</v>
      </c>
      <c r="F86">
        <v>94.845922551252826</v>
      </c>
      <c r="G86">
        <v>26340</v>
      </c>
      <c r="H86" t="s">
        <v>149</v>
      </c>
      <c r="I86">
        <v>300</v>
      </c>
      <c r="J86">
        <v>0</v>
      </c>
      <c r="K86" t="s">
        <v>155</v>
      </c>
      <c r="L86">
        <v>12900</v>
      </c>
      <c r="M86">
        <v>1.747625</v>
      </c>
      <c r="N86" t="s">
        <v>159</v>
      </c>
      <c r="O86">
        <v>8400</v>
      </c>
      <c r="P86">
        <v>1.3003199999999999</v>
      </c>
      <c r="Q86" t="s">
        <v>155</v>
      </c>
      <c r="R86">
        <v>4740</v>
      </c>
      <c r="S86">
        <v>1.747625</v>
      </c>
      <c r="V86" t="s">
        <v>201</v>
      </c>
      <c r="Y86" t="s">
        <v>201</v>
      </c>
    </row>
    <row r="87" spans="1:25" x14ac:dyDescent="0.25">
      <c r="A87">
        <v>84</v>
      </c>
      <c r="B87" t="s">
        <v>203</v>
      </c>
      <c r="C87">
        <v>28</v>
      </c>
      <c r="D87">
        <v>39.536131447587351</v>
      </c>
      <c r="E87">
        <v>0</v>
      </c>
      <c r="F87">
        <v>39.536131447587351</v>
      </c>
      <c r="G87">
        <v>19232</v>
      </c>
      <c r="H87" t="s">
        <v>149</v>
      </c>
      <c r="I87">
        <v>400</v>
      </c>
      <c r="J87">
        <v>0</v>
      </c>
      <c r="K87" t="s">
        <v>69</v>
      </c>
      <c r="L87">
        <v>18832</v>
      </c>
      <c r="M87">
        <v>6.2199032046687703</v>
      </c>
      <c r="P87" t="s">
        <v>201</v>
      </c>
      <c r="S87" t="s">
        <v>201</v>
      </c>
      <c r="V87" t="s">
        <v>201</v>
      </c>
      <c r="Y87" t="s">
        <v>201</v>
      </c>
    </row>
    <row r="88" spans="1:25" x14ac:dyDescent="0.25">
      <c r="A88">
        <v>85</v>
      </c>
      <c r="B88" t="s">
        <v>203</v>
      </c>
      <c r="C88">
        <v>28</v>
      </c>
      <c r="D88">
        <v>35.7273</v>
      </c>
      <c r="E88">
        <v>0</v>
      </c>
      <c r="F88">
        <v>35.7273</v>
      </c>
      <c r="G88">
        <v>13100</v>
      </c>
      <c r="H88" t="s">
        <v>154</v>
      </c>
      <c r="I88">
        <v>13100</v>
      </c>
      <c r="J88">
        <v>2.2925000000000001E-2</v>
      </c>
      <c r="M88" t="s">
        <v>201</v>
      </c>
      <c r="P88" t="s">
        <v>201</v>
      </c>
      <c r="S88" t="s">
        <v>201</v>
      </c>
      <c r="V88" t="s">
        <v>201</v>
      </c>
      <c r="Y88" t="s">
        <v>201</v>
      </c>
    </row>
    <row r="89" spans="1:25" x14ac:dyDescent="0.25">
      <c r="A89">
        <v>86</v>
      </c>
      <c r="B89" t="s">
        <v>203</v>
      </c>
      <c r="C89">
        <v>29</v>
      </c>
      <c r="D89">
        <v>56</v>
      </c>
      <c r="E89">
        <v>0</v>
      </c>
      <c r="F89">
        <v>56</v>
      </c>
      <c r="G89">
        <v>16900</v>
      </c>
      <c r="H89" t="s">
        <v>153</v>
      </c>
      <c r="I89">
        <v>16900</v>
      </c>
      <c r="J89">
        <v>0</v>
      </c>
      <c r="M89" t="s">
        <v>201</v>
      </c>
      <c r="P89" t="s">
        <v>201</v>
      </c>
      <c r="S89" t="s">
        <v>201</v>
      </c>
      <c r="V89" t="s">
        <v>201</v>
      </c>
      <c r="Y89" t="s">
        <v>201</v>
      </c>
    </row>
    <row r="90" spans="1:25" x14ac:dyDescent="0.25">
      <c r="A90">
        <v>87</v>
      </c>
      <c r="B90" t="s">
        <v>203</v>
      </c>
      <c r="C90">
        <v>29</v>
      </c>
      <c r="D90">
        <v>87.343840579710161</v>
      </c>
      <c r="E90">
        <v>6.88768115942029</v>
      </c>
      <c r="F90">
        <v>80.456159420289865</v>
      </c>
      <c r="G90">
        <v>22080</v>
      </c>
      <c r="H90" t="s">
        <v>149</v>
      </c>
      <c r="I90">
        <v>1150</v>
      </c>
      <c r="J90">
        <v>0</v>
      </c>
      <c r="K90" t="s">
        <v>155</v>
      </c>
      <c r="L90">
        <v>9770</v>
      </c>
      <c r="M90">
        <v>1.747625</v>
      </c>
      <c r="N90" t="s">
        <v>159</v>
      </c>
      <c r="O90">
        <v>11160</v>
      </c>
      <c r="P90">
        <v>1.727568</v>
      </c>
      <c r="S90" t="s">
        <v>201</v>
      </c>
      <c r="V90" t="s">
        <v>201</v>
      </c>
      <c r="Y90" t="s">
        <v>201</v>
      </c>
    </row>
    <row r="91" spans="1:25" x14ac:dyDescent="0.25">
      <c r="A91">
        <v>88</v>
      </c>
      <c r="B91" t="s">
        <v>203</v>
      </c>
      <c r="C91">
        <v>29</v>
      </c>
      <c r="D91">
        <v>34.185883916168393</v>
      </c>
      <c r="E91">
        <v>0</v>
      </c>
      <c r="F91">
        <v>34.185883916168393</v>
      </c>
      <c r="G91">
        <v>16557</v>
      </c>
      <c r="H91" t="s">
        <v>149</v>
      </c>
      <c r="I91">
        <v>400</v>
      </c>
      <c r="J91">
        <v>0</v>
      </c>
      <c r="K91" t="s">
        <v>69</v>
      </c>
      <c r="L91">
        <v>16157.000000000002</v>
      </c>
      <c r="M91">
        <v>5.3363942267328648</v>
      </c>
      <c r="P91" t="s">
        <v>201</v>
      </c>
      <c r="S91" t="s">
        <v>201</v>
      </c>
      <c r="V91" t="s">
        <v>201</v>
      </c>
      <c r="Y91" t="s">
        <v>201</v>
      </c>
    </row>
    <row r="92" spans="1:25" x14ac:dyDescent="0.25">
      <c r="A92">
        <v>89</v>
      </c>
      <c r="B92" t="s">
        <v>203</v>
      </c>
      <c r="C92">
        <v>29</v>
      </c>
      <c r="D92">
        <v>46.090899999999998</v>
      </c>
      <c r="E92">
        <v>0</v>
      </c>
      <c r="F92">
        <v>46.090899999999998</v>
      </c>
      <c r="G92">
        <v>16900</v>
      </c>
      <c r="H92" t="s">
        <v>154</v>
      </c>
      <c r="I92">
        <v>16900</v>
      </c>
      <c r="J92">
        <v>2.9574999999999997E-2</v>
      </c>
      <c r="M92" t="s">
        <v>201</v>
      </c>
      <c r="P92" t="s">
        <v>201</v>
      </c>
      <c r="S92" t="s">
        <v>201</v>
      </c>
      <c r="V92" t="s">
        <v>201</v>
      </c>
      <c r="Y92" t="s">
        <v>201</v>
      </c>
    </row>
    <row r="93" spans="1:25" x14ac:dyDescent="0.25">
      <c r="A93">
        <v>90</v>
      </c>
      <c r="B93" t="s">
        <v>203</v>
      </c>
      <c r="C93">
        <v>30</v>
      </c>
      <c r="D93">
        <v>39.535728853810156</v>
      </c>
      <c r="E93">
        <v>0</v>
      </c>
      <c r="F93">
        <v>39.535728853810156</v>
      </c>
      <c r="G93">
        <v>14317</v>
      </c>
      <c r="H93" t="s">
        <v>149</v>
      </c>
      <c r="I93">
        <v>300</v>
      </c>
      <c r="J93">
        <v>0</v>
      </c>
      <c r="K93" t="s">
        <v>69</v>
      </c>
      <c r="L93">
        <v>14017</v>
      </c>
      <c r="M93">
        <v>4.6295870443841407</v>
      </c>
      <c r="P93" t="s">
        <v>201</v>
      </c>
      <c r="S93" t="s">
        <v>201</v>
      </c>
      <c r="V93" t="s">
        <v>201</v>
      </c>
      <c r="Y93" t="s">
        <v>201</v>
      </c>
    </row>
    <row r="94" spans="1:25" x14ac:dyDescent="0.25">
      <c r="A94">
        <v>91</v>
      </c>
      <c r="B94" t="s">
        <v>203</v>
      </c>
      <c r="C94">
        <v>30</v>
      </c>
      <c r="D94">
        <v>39</v>
      </c>
      <c r="E94">
        <v>0</v>
      </c>
      <c r="F94">
        <v>39</v>
      </c>
      <c r="G94">
        <v>14300</v>
      </c>
      <c r="H94" t="s">
        <v>154</v>
      </c>
      <c r="I94">
        <v>14300</v>
      </c>
      <c r="J94">
        <v>2.5025000000000002E-2</v>
      </c>
      <c r="M94" t="s">
        <v>201</v>
      </c>
      <c r="P94" t="s">
        <v>201</v>
      </c>
      <c r="S94" t="s">
        <v>201</v>
      </c>
      <c r="V94" t="s">
        <v>201</v>
      </c>
      <c r="Y94" t="s">
        <v>201</v>
      </c>
    </row>
    <row r="95" spans="1:25" x14ac:dyDescent="0.25">
      <c r="A95">
        <v>92</v>
      </c>
      <c r="B95" t="s">
        <v>203</v>
      </c>
      <c r="C95">
        <v>30</v>
      </c>
      <c r="D95">
        <v>46</v>
      </c>
      <c r="E95">
        <v>0</v>
      </c>
      <c r="F95">
        <v>46</v>
      </c>
      <c r="G95">
        <v>14300</v>
      </c>
      <c r="H95" t="s">
        <v>153</v>
      </c>
      <c r="I95">
        <v>14300</v>
      </c>
      <c r="J95">
        <v>0</v>
      </c>
      <c r="M95" t="s">
        <v>201</v>
      </c>
      <c r="P95" t="s">
        <v>201</v>
      </c>
      <c r="S95" t="s">
        <v>201</v>
      </c>
      <c r="V95" t="s">
        <v>201</v>
      </c>
      <c r="Y95" t="s">
        <v>201</v>
      </c>
    </row>
    <row r="96" spans="1:25" x14ac:dyDescent="0.25">
      <c r="A96">
        <v>93</v>
      </c>
      <c r="B96" t="s">
        <v>203</v>
      </c>
      <c r="C96">
        <v>30</v>
      </c>
      <c r="D96">
        <v>51.52215189873418</v>
      </c>
      <c r="E96">
        <v>3.6582278481012658</v>
      </c>
      <c r="F96">
        <v>47.86392405063291</v>
      </c>
      <c r="G96">
        <v>15800</v>
      </c>
      <c r="H96" t="s">
        <v>149</v>
      </c>
      <c r="I96">
        <v>2300</v>
      </c>
      <c r="J96">
        <v>0</v>
      </c>
      <c r="K96" t="s">
        <v>159</v>
      </c>
      <c r="L96">
        <v>13500</v>
      </c>
      <c r="M96">
        <v>2.0897999999999999</v>
      </c>
      <c r="P96" t="s">
        <v>201</v>
      </c>
      <c r="S96" t="s">
        <v>201</v>
      </c>
      <c r="V96" t="s">
        <v>201</v>
      </c>
      <c r="Y96" t="s">
        <v>201</v>
      </c>
    </row>
    <row r="97" spans="1:25" x14ac:dyDescent="0.25">
      <c r="A97">
        <v>94</v>
      </c>
      <c r="B97" t="s">
        <v>203</v>
      </c>
      <c r="C97">
        <v>31</v>
      </c>
      <c r="D97">
        <v>45</v>
      </c>
      <c r="E97">
        <v>0</v>
      </c>
      <c r="F97">
        <v>45</v>
      </c>
      <c r="G97">
        <v>14600</v>
      </c>
      <c r="H97" t="s">
        <v>153</v>
      </c>
      <c r="I97">
        <v>14600</v>
      </c>
      <c r="J97">
        <v>0</v>
      </c>
      <c r="M97" t="s">
        <v>201</v>
      </c>
      <c r="P97" t="s">
        <v>201</v>
      </c>
      <c r="S97" t="s">
        <v>201</v>
      </c>
      <c r="V97" t="s">
        <v>201</v>
      </c>
      <c r="Y97" t="s">
        <v>201</v>
      </c>
    </row>
    <row r="98" spans="1:25" x14ac:dyDescent="0.25">
      <c r="A98">
        <v>95</v>
      </c>
      <c r="B98" t="s">
        <v>203</v>
      </c>
      <c r="C98">
        <v>31</v>
      </c>
      <c r="D98">
        <v>77.830322966507168</v>
      </c>
      <c r="E98">
        <v>35.694796650717706</v>
      </c>
      <c r="F98">
        <v>42.13552631578947</v>
      </c>
      <c r="G98">
        <v>16720</v>
      </c>
      <c r="H98" t="s">
        <v>149</v>
      </c>
      <c r="I98">
        <v>2550</v>
      </c>
      <c r="J98">
        <v>0</v>
      </c>
      <c r="K98" t="s">
        <v>159</v>
      </c>
      <c r="L98">
        <v>14170</v>
      </c>
      <c r="M98">
        <v>2.1935159999999998</v>
      </c>
      <c r="P98" t="s">
        <v>201</v>
      </c>
      <c r="S98" t="s">
        <v>201</v>
      </c>
      <c r="V98" t="s">
        <v>201</v>
      </c>
      <c r="Y98" t="s">
        <v>201</v>
      </c>
    </row>
    <row r="99" spans="1:25" x14ac:dyDescent="0.25">
      <c r="A99">
        <v>96</v>
      </c>
      <c r="B99" t="s">
        <v>203</v>
      </c>
      <c r="C99">
        <v>31</v>
      </c>
      <c r="D99">
        <v>22.461619634000346</v>
      </c>
      <c r="E99">
        <v>0</v>
      </c>
      <c r="F99">
        <v>22.461619634000346</v>
      </c>
      <c r="G99">
        <v>17541</v>
      </c>
      <c r="H99" t="s">
        <v>149</v>
      </c>
      <c r="I99">
        <v>100</v>
      </c>
      <c r="J99">
        <v>0</v>
      </c>
      <c r="K99" t="s">
        <v>69</v>
      </c>
      <c r="L99">
        <v>17441</v>
      </c>
      <c r="M99">
        <v>5.7604785361420987</v>
      </c>
      <c r="P99" t="s">
        <v>201</v>
      </c>
      <c r="S99" t="s">
        <v>201</v>
      </c>
      <c r="V99" t="s">
        <v>201</v>
      </c>
      <c r="Y99" t="s">
        <v>201</v>
      </c>
    </row>
    <row r="100" spans="1:25" x14ac:dyDescent="0.25">
      <c r="A100">
        <v>97</v>
      </c>
      <c r="B100" t="s">
        <v>203</v>
      </c>
      <c r="C100">
        <v>31</v>
      </c>
      <c r="D100">
        <v>39.818199999999997</v>
      </c>
      <c r="E100">
        <v>0</v>
      </c>
      <c r="F100">
        <v>39.818199999999997</v>
      </c>
      <c r="G100">
        <v>14600</v>
      </c>
      <c r="H100" t="s">
        <v>154</v>
      </c>
      <c r="I100">
        <v>14600</v>
      </c>
      <c r="J100">
        <v>2.555E-2</v>
      </c>
      <c r="M100" t="s">
        <v>201</v>
      </c>
      <c r="P100" t="s">
        <v>201</v>
      </c>
      <c r="S100" t="s">
        <v>201</v>
      </c>
      <c r="V100" t="s">
        <v>201</v>
      </c>
      <c r="Y100" t="s">
        <v>201</v>
      </c>
    </row>
    <row r="101" spans="1:25" x14ac:dyDescent="0.25">
      <c r="A101">
        <v>98</v>
      </c>
      <c r="B101" t="s">
        <v>203</v>
      </c>
      <c r="C101">
        <v>32</v>
      </c>
      <c r="D101">
        <v>55</v>
      </c>
      <c r="E101">
        <v>0</v>
      </c>
      <c r="F101">
        <v>55</v>
      </c>
      <c r="G101">
        <v>14800</v>
      </c>
      <c r="H101" t="s">
        <v>153</v>
      </c>
      <c r="I101">
        <v>14800</v>
      </c>
      <c r="J101">
        <v>0</v>
      </c>
      <c r="M101" t="s">
        <v>201</v>
      </c>
      <c r="P101" t="s">
        <v>201</v>
      </c>
      <c r="S101" t="s">
        <v>201</v>
      </c>
      <c r="V101" t="s">
        <v>201</v>
      </c>
      <c r="Y101" t="s">
        <v>201</v>
      </c>
    </row>
    <row r="102" spans="1:25" x14ac:dyDescent="0.25">
      <c r="A102">
        <v>99</v>
      </c>
      <c r="B102" t="s">
        <v>203</v>
      </c>
      <c r="C102">
        <v>32</v>
      </c>
      <c r="D102">
        <v>53.940394088669947</v>
      </c>
      <c r="E102">
        <v>11.589852216748769</v>
      </c>
      <c r="F102">
        <v>42.35054187192118</v>
      </c>
      <c r="G102">
        <v>20300</v>
      </c>
      <c r="H102" t="s">
        <v>149</v>
      </c>
      <c r="I102">
        <v>280</v>
      </c>
      <c r="J102">
        <v>0</v>
      </c>
      <c r="K102" t="s">
        <v>156</v>
      </c>
      <c r="L102">
        <v>1310</v>
      </c>
      <c r="M102">
        <v>1.66625</v>
      </c>
      <c r="N102" t="s">
        <v>159</v>
      </c>
      <c r="O102">
        <v>16710</v>
      </c>
      <c r="P102">
        <v>2.5867080000000002</v>
      </c>
      <c r="Q102" t="s">
        <v>155</v>
      </c>
      <c r="R102">
        <v>2000</v>
      </c>
      <c r="S102">
        <v>1.747625</v>
      </c>
      <c r="V102" t="s">
        <v>201</v>
      </c>
      <c r="Y102" t="s">
        <v>201</v>
      </c>
    </row>
    <row r="103" spans="1:25" x14ac:dyDescent="0.25">
      <c r="A103">
        <v>100</v>
      </c>
      <c r="B103" t="s">
        <v>203</v>
      </c>
      <c r="C103">
        <v>32</v>
      </c>
      <c r="D103">
        <v>34.199298628145726</v>
      </c>
      <c r="E103">
        <v>0</v>
      </c>
      <c r="F103">
        <v>34.199298628145726</v>
      </c>
      <c r="G103">
        <v>22014</v>
      </c>
      <c r="H103" t="s">
        <v>149</v>
      </c>
      <c r="I103">
        <v>400</v>
      </c>
      <c r="J103">
        <v>0</v>
      </c>
      <c r="K103" t="s">
        <v>69</v>
      </c>
      <c r="L103">
        <v>21614</v>
      </c>
      <c r="M103">
        <v>7.1387525417221109</v>
      </c>
      <c r="P103" t="s">
        <v>201</v>
      </c>
      <c r="S103" t="s">
        <v>201</v>
      </c>
      <c r="V103" t="s">
        <v>201</v>
      </c>
      <c r="Y103" t="s">
        <v>201</v>
      </c>
    </row>
    <row r="104" spans="1:25" x14ac:dyDescent="0.25">
      <c r="A104">
        <v>101</v>
      </c>
      <c r="B104" t="s">
        <v>203</v>
      </c>
      <c r="C104">
        <v>32</v>
      </c>
      <c r="D104">
        <v>40.363599999999998</v>
      </c>
      <c r="E104">
        <v>0</v>
      </c>
      <c r="F104">
        <v>40.363599999999998</v>
      </c>
      <c r="G104">
        <v>14800</v>
      </c>
      <c r="H104" t="s">
        <v>154</v>
      </c>
      <c r="I104">
        <v>14800</v>
      </c>
      <c r="J104">
        <v>2.5900000000000003E-2</v>
      </c>
      <c r="M104" t="s">
        <v>201</v>
      </c>
      <c r="P104" t="s">
        <v>201</v>
      </c>
      <c r="S104" t="s">
        <v>201</v>
      </c>
      <c r="V104" t="s">
        <v>201</v>
      </c>
      <c r="Y104" t="s">
        <v>201</v>
      </c>
    </row>
    <row r="105" spans="1:25" x14ac:dyDescent="0.25">
      <c r="A105">
        <v>102</v>
      </c>
      <c r="B105" t="s">
        <v>202</v>
      </c>
      <c r="C105">
        <v>33</v>
      </c>
      <c r="D105">
        <v>130.52103907637655</v>
      </c>
      <c r="E105">
        <v>0</v>
      </c>
      <c r="F105">
        <v>130.52103907637655</v>
      </c>
      <c r="G105">
        <v>135120</v>
      </c>
      <c r="H105" t="s">
        <v>149</v>
      </c>
      <c r="I105">
        <v>300</v>
      </c>
      <c r="J105">
        <v>0</v>
      </c>
      <c r="K105" t="s">
        <v>69</v>
      </c>
      <c r="L105">
        <v>134820</v>
      </c>
      <c r="M105">
        <v>44.528852487969601</v>
      </c>
      <c r="P105" t="s">
        <v>201</v>
      </c>
      <c r="S105" t="s">
        <v>201</v>
      </c>
      <c r="V105" t="s">
        <v>201</v>
      </c>
      <c r="Y105" t="s">
        <v>201</v>
      </c>
    </row>
    <row r="106" spans="1:25" x14ac:dyDescent="0.25">
      <c r="A106">
        <v>103</v>
      </c>
      <c r="B106" t="s">
        <v>202</v>
      </c>
      <c r="C106">
        <v>33</v>
      </c>
      <c r="D106">
        <v>208.08386942198266</v>
      </c>
      <c r="E106">
        <v>23.155495657382449</v>
      </c>
      <c r="F106">
        <v>184.9283737646002</v>
      </c>
      <c r="G106">
        <v>166950</v>
      </c>
      <c r="H106" t="s">
        <v>149</v>
      </c>
      <c r="I106">
        <v>1850</v>
      </c>
      <c r="J106">
        <v>0</v>
      </c>
      <c r="K106" t="s">
        <v>155</v>
      </c>
      <c r="L106">
        <v>17550</v>
      </c>
      <c r="M106">
        <v>1.747625</v>
      </c>
      <c r="N106" t="s">
        <v>159</v>
      </c>
      <c r="O106">
        <v>140550</v>
      </c>
      <c r="P106">
        <v>21.75714</v>
      </c>
      <c r="Q106" t="s">
        <v>156</v>
      </c>
      <c r="R106">
        <v>7000</v>
      </c>
      <c r="S106">
        <v>1.66625</v>
      </c>
      <c r="V106" t="s">
        <v>201</v>
      </c>
      <c r="Y106" t="s">
        <v>201</v>
      </c>
    </row>
    <row r="107" spans="1:25" x14ac:dyDescent="0.25">
      <c r="A107">
        <v>104</v>
      </c>
      <c r="B107" t="s">
        <v>202</v>
      </c>
      <c r="C107">
        <v>34</v>
      </c>
      <c r="D107">
        <v>139.0821929424043</v>
      </c>
      <c r="E107">
        <v>0</v>
      </c>
      <c r="F107">
        <v>139.0821929424043</v>
      </c>
      <c r="G107">
        <v>153310</v>
      </c>
      <c r="H107" t="s">
        <v>149</v>
      </c>
      <c r="I107">
        <v>300</v>
      </c>
      <c r="J107">
        <v>0</v>
      </c>
      <c r="K107" t="s">
        <v>69</v>
      </c>
      <c r="L107">
        <v>153010</v>
      </c>
      <c r="M107">
        <v>50.53671353793375</v>
      </c>
      <c r="P107" t="s">
        <v>201</v>
      </c>
      <c r="S107" t="s">
        <v>201</v>
      </c>
      <c r="V107" t="s">
        <v>201</v>
      </c>
      <c r="Y107" t="s">
        <v>201</v>
      </c>
    </row>
    <row r="108" spans="1:25" x14ac:dyDescent="0.25">
      <c r="A108">
        <v>105</v>
      </c>
      <c r="B108" t="s">
        <v>202</v>
      </c>
      <c r="C108">
        <v>34</v>
      </c>
      <c r="D108">
        <v>159.98849975847079</v>
      </c>
      <c r="E108">
        <v>46.864591815609693</v>
      </c>
      <c r="F108">
        <v>113.12390794286109</v>
      </c>
      <c r="G108">
        <v>144910</v>
      </c>
      <c r="H108" t="s">
        <v>149</v>
      </c>
      <c r="I108">
        <v>1800</v>
      </c>
      <c r="J108">
        <v>0</v>
      </c>
      <c r="K108" t="s">
        <v>159</v>
      </c>
      <c r="L108">
        <v>1770</v>
      </c>
      <c r="M108">
        <v>0.27399600000000002</v>
      </c>
      <c r="N108" t="s">
        <v>160</v>
      </c>
      <c r="O108">
        <v>141340</v>
      </c>
      <c r="P108">
        <v>21.879432000000001</v>
      </c>
      <c r="S108" t="s">
        <v>201</v>
      </c>
      <c r="V108" t="s">
        <v>201</v>
      </c>
      <c r="Y108" t="s">
        <v>201</v>
      </c>
    </row>
    <row r="109" spans="1:25" x14ac:dyDescent="0.25">
      <c r="A109">
        <v>106</v>
      </c>
      <c r="B109" t="s">
        <v>202</v>
      </c>
      <c r="C109">
        <v>35</v>
      </c>
      <c r="D109">
        <v>152.99054799844541</v>
      </c>
      <c r="E109">
        <v>0</v>
      </c>
      <c r="F109">
        <v>152.99054799844541</v>
      </c>
      <c r="G109">
        <v>154380</v>
      </c>
      <c r="H109" t="s">
        <v>149</v>
      </c>
      <c r="I109">
        <v>300</v>
      </c>
      <c r="J109">
        <v>0</v>
      </c>
      <c r="K109" t="s">
        <v>69</v>
      </c>
      <c r="L109">
        <v>154080</v>
      </c>
      <c r="M109">
        <v>50.89011712910812</v>
      </c>
      <c r="P109" t="s">
        <v>201</v>
      </c>
      <c r="S109" t="s">
        <v>201</v>
      </c>
      <c r="V109" t="s">
        <v>201</v>
      </c>
      <c r="Y109" t="s">
        <v>201</v>
      </c>
    </row>
    <row r="110" spans="1:25" x14ac:dyDescent="0.25">
      <c r="A110">
        <v>107</v>
      </c>
      <c r="B110" t="s">
        <v>202</v>
      </c>
      <c r="C110">
        <v>35</v>
      </c>
      <c r="D110">
        <v>135.29923664122137</v>
      </c>
      <c r="E110">
        <v>11.716539440203562</v>
      </c>
      <c r="F110">
        <v>123.58269720101781</v>
      </c>
      <c r="G110">
        <v>196500</v>
      </c>
      <c r="H110" t="s">
        <v>149</v>
      </c>
      <c r="I110">
        <v>2500</v>
      </c>
      <c r="J110">
        <v>0</v>
      </c>
      <c r="K110" t="s">
        <v>160</v>
      </c>
      <c r="L110">
        <v>139000</v>
      </c>
      <c r="M110">
        <v>21.517199999999999</v>
      </c>
      <c r="N110" t="s">
        <v>159</v>
      </c>
      <c r="O110">
        <v>55000</v>
      </c>
      <c r="P110">
        <v>8.5139999999999993</v>
      </c>
      <c r="S110" t="s">
        <v>201</v>
      </c>
      <c r="V110" t="s">
        <v>201</v>
      </c>
      <c r="Y110" t="s">
        <v>201</v>
      </c>
    </row>
    <row r="111" spans="1:25" x14ac:dyDescent="0.25">
      <c r="A111">
        <v>108</v>
      </c>
      <c r="B111" t="s">
        <v>202</v>
      </c>
      <c r="C111">
        <v>36</v>
      </c>
      <c r="D111">
        <v>245.02773321013066</v>
      </c>
      <c r="E111">
        <v>41.498534167751693</v>
      </c>
      <c r="F111">
        <v>203.52919904237896</v>
      </c>
      <c r="G111">
        <v>238090</v>
      </c>
      <c r="H111" t="s">
        <v>149</v>
      </c>
      <c r="I111">
        <v>5100</v>
      </c>
      <c r="J111">
        <v>0</v>
      </c>
      <c r="K111" t="s">
        <v>159</v>
      </c>
      <c r="L111">
        <v>142710</v>
      </c>
      <c r="M111">
        <v>22.091508000000001</v>
      </c>
      <c r="N111" t="s">
        <v>160</v>
      </c>
      <c r="O111">
        <v>83950</v>
      </c>
      <c r="P111">
        <v>12.99546</v>
      </c>
      <c r="Q111" t="s">
        <v>159</v>
      </c>
      <c r="R111">
        <v>6330</v>
      </c>
      <c r="S111">
        <v>0.97988399999999998</v>
      </c>
      <c r="V111" t="s">
        <v>201</v>
      </c>
      <c r="Y111" t="s">
        <v>201</v>
      </c>
    </row>
    <row r="112" spans="1:25" x14ac:dyDescent="0.25">
      <c r="A112">
        <v>109</v>
      </c>
      <c r="B112" t="s">
        <v>202</v>
      </c>
      <c r="C112">
        <v>36</v>
      </c>
      <c r="D112">
        <v>195.791794495239</v>
      </c>
      <c r="E112">
        <v>0</v>
      </c>
      <c r="F112">
        <v>195.791794495239</v>
      </c>
      <c r="G112">
        <v>211090</v>
      </c>
      <c r="H112" t="s">
        <v>149</v>
      </c>
      <c r="I112">
        <v>300</v>
      </c>
      <c r="J112">
        <v>0</v>
      </c>
      <c r="K112" t="s">
        <v>69</v>
      </c>
      <c r="L112">
        <v>210790</v>
      </c>
      <c r="M112">
        <v>69.620507461349291</v>
      </c>
      <c r="P112" t="s">
        <v>201</v>
      </c>
      <c r="S112" t="s">
        <v>201</v>
      </c>
      <c r="V112" t="s">
        <v>201</v>
      </c>
      <c r="Y112" t="s">
        <v>201</v>
      </c>
    </row>
    <row r="113" spans="1:25" x14ac:dyDescent="0.25">
      <c r="A113">
        <v>110</v>
      </c>
      <c r="B113" t="s">
        <v>202</v>
      </c>
      <c r="C113">
        <v>37</v>
      </c>
      <c r="D113">
        <v>194.72656047259878</v>
      </c>
      <c r="E113">
        <v>0</v>
      </c>
      <c r="F113">
        <v>194.72656047259878</v>
      </c>
      <c r="G113">
        <v>189590</v>
      </c>
      <c r="H113" t="s">
        <v>149</v>
      </c>
      <c r="I113">
        <v>200</v>
      </c>
      <c r="J113">
        <v>0</v>
      </c>
      <c r="K113" t="s">
        <v>69</v>
      </c>
      <c r="L113">
        <v>189390</v>
      </c>
      <c r="M113">
        <v>62.552435637862054</v>
      </c>
      <c r="P113" t="s">
        <v>201</v>
      </c>
      <c r="S113" t="s">
        <v>201</v>
      </c>
      <c r="V113" t="s">
        <v>201</v>
      </c>
      <c r="Y113" t="s">
        <v>201</v>
      </c>
    </row>
    <row r="114" spans="1:25" x14ac:dyDescent="0.25">
      <c r="A114">
        <v>111</v>
      </c>
      <c r="B114" t="s">
        <v>202</v>
      </c>
      <c r="C114">
        <v>37</v>
      </c>
      <c r="D114">
        <v>302.84026956125012</v>
      </c>
      <c r="E114">
        <v>94.928476921907091</v>
      </c>
      <c r="F114">
        <v>207.91179263934302</v>
      </c>
      <c r="G114">
        <v>263020</v>
      </c>
      <c r="H114" t="s">
        <v>149</v>
      </c>
      <c r="I114">
        <v>1350</v>
      </c>
      <c r="J114">
        <v>0</v>
      </c>
      <c r="K114" t="s">
        <v>155</v>
      </c>
      <c r="L114">
        <v>2670</v>
      </c>
      <c r="M114">
        <v>1.747625</v>
      </c>
      <c r="N114" t="s">
        <v>159</v>
      </c>
      <c r="O114">
        <v>205000</v>
      </c>
      <c r="P114">
        <v>31.733999999999998</v>
      </c>
      <c r="Q114" t="s">
        <v>155</v>
      </c>
      <c r="R114">
        <v>54000</v>
      </c>
      <c r="S114">
        <v>1.747625</v>
      </c>
      <c r="V114" t="s">
        <v>201</v>
      </c>
      <c r="Y114" t="s">
        <v>201</v>
      </c>
    </row>
    <row r="115" spans="1:25" x14ac:dyDescent="0.25">
      <c r="A115">
        <v>112</v>
      </c>
      <c r="B115" t="s">
        <v>202</v>
      </c>
      <c r="C115">
        <v>38</v>
      </c>
      <c r="D115">
        <v>139.08356906409873</v>
      </c>
      <c r="E115">
        <v>0</v>
      </c>
      <c r="F115">
        <v>139.08356906409873</v>
      </c>
      <c r="G115">
        <v>166150</v>
      </c>
      <c r="H115" t="s">
        <v>149</v>
      </c>
      <c r="I115">
        <v>300</v>
      </c>
      <c r="J115">
        <v>0</v>
      </c>
      <c r="K115" t="s">
        <v>69</v>
      </c>
      <c r="L115">
        <v>165850</v>
      </c>
      <c r="M115">
        <v>54.777556632026098</v>
      </c>
      <c r="P115" t="s">
        <v>201</v>
      </c>
      <c r="S115" t="s">
        <v>201</v>
      </c>
      <c r="V115" t="s">
        <v>201</v>
      </c>
      <c r="Y115" t="s">
        <v>201</v>
      </c>
    </row>
    <row r="116" spans="1:25" x14ac:dyDescent="0.25">
      <c r="A116">
        <v>113</v>
      </c>
      <c r="B116" t="s">
        <v>202</v>
      </c>
      <c r="C116">
        <v>38</v>
      </c>
      <c r="D116">
        <v>140.88446398937936</v>
      </c>
      <c r="E116">
        <v>24.238615997344841</v>
      </c>
      <c r="F116">
        <v>116.64584799203452</v>
      </c>
      <c r="G116">
        <v>120520</v>
      </c>
      <c r="H116" t="s">
        <v>149</v>
      </c>
      <c r="I116">
        <v>2400</v>
      </c>
      <c r="J116">
        <v>0</v>
      </c>
      <c r="K116" t="s">
        <v>159</v>
      </c>
      <c r="L116">
        <v>112980</v>
      </c>
      <c r="M116">
        <v>17.489304000000001</v>
      </c>
      <c r="N116" t="s">
        <v>155</v>
      </c>
      <c r="O116">
        <v>5140</v>
      </c>
      <c r="P116">
        <v>1.747625</v>
      </c>
      <c r="S116" t="s">
        <v>201</v>
      </c>
      <c r="V116" t="s">
        <v>201</v>
      </c>
      <c r="Y116" t="s">
        <v>201</v>
      </c>
    </row>
    <row r="117" spans="1:25" x14ac:dyDescent="0.25">
      <c r="A117">
        <v>114</v>
      </c>
      <c r="B117" t="s">
        <v>202</v>
      </c>
      <c r="C117">
        <v>39</v>
      </c>
      <c r="D117">
        <v>139.0947206590474</v>
      </c>
      <c r="E117">
        <v>0</v>
      </c>
      <c r="F117">
        <v>139.0947206590474</v>
      </c>
      <c r="G117">
        <v>172370</v>
      </c>
      <c r="H117" t="s">
        <v>149</v>
      </c>
      <c r="I117">
        <v>100</v>
      </c>
      <c r="J117">
        <v>0</v>
      </c>
      <c r="K117" t="s">
        <v>69</v>
      </c>
      <c r="L117">
        <v>172270</v>
      </c>
      <c r="M117">
        <v>56.897978179072275</v>
      </c>
      <c r="P117" t="s">
        <v>201</v>
      </c>
      <c r="S117" t="s">
        <v>201</v>
      </c>
      <c r="V117" t="s">
        <v>201</v>
      </c>
      <c r="Y117" t="s">
        <v>201</v>
      </c>
    </row>
    <row r="118" spans="1:25" x14ac:dyDescent="0.25">
      <c r="A118">
        <v>115</v>
      </c>
      <c r="B118" t="s">
        <v>202</v>
      </c>
      <c r="C118">
        <v>39</v>
      </c>
      <c r="D118">
        <v>200.9782540431556</v>
      </c>
      <c r="E118">
        <v>68.021483419844714</v>
      </c>
      <c r="F118">
        <v>132.95677062331089</v>
      </c>
      <c r="G118">
        <v>233110</v>
      </c>
      <c r="H118" t="s">
        <v>149</v>
      </c>
      <c r="I118">
        <v>750</v>
      </c>
      <c r="J118">
        <v>0</v>
      </c>
      <c r="K118" t="s">
        <v>155</v>
      </c>
      <c r="L118">
        <v>12360</v>
      </c>
      <c r="M118">
        <v>1.747625</v>
      </c>
      <c r="N118" t="s">
        <v>159</v>
      </c>
      <c r="O118">
        <v>220000</v>
      </c>
      <c r="P118">
        <v>34.055999999999997</v>
      </c>
      <c r="S118" t="s">
        <v>201</v>
      </c>
      <c r="V118" t="s">
        <v>201</v>
      </c>
      <c r="Y118" t="s">
        <v>201</v>
      </c>
    </row>
    <row r="119" spans="1:25" x14ac:dyDescent="0.25">
      <c r="A119">
        <v>116</v>
      </c>
      <c r="B119" t="s">
        <v>204</v>
      </c>
      <c r="C119">
        <v>40</v>
      </c>
      <c r="D119">
        <v>372.28976779875893</v>
      </c>
      <c r="E119">
        <v>30.821078267832121</v>
      </c>
      <c r="F119">
        <v>341.46868953092684</v>
      </c>
      <c r="G119">
        <v>749350</v>
      </c>
      <c r="H119" t="s">
        <v>169</v>
      </c>
      <c r="I119">
        <v>28750</v>
      </c>
      <c r="J119">
        <v>6.4208333333333334</v>
      </c>
      <c r="K119" t="s">
        <v>160</v>
      </c>
      <c r="L119">
        <v>715000</v>
      </c>
      <c r="M119">
        <v>110.682</v>
      </c>
      <c r="N119" t="s">
        <v>168</v>
      </c>
      <c r="O119">
        <v>5600</v>
      </c>
      <c r="P119">
        <v>5.6</v>
      </c>
    </row>
    <row r="120" spans="1:25" x14ac:dyDescent="0.25">
      <c r="A120">
        <v>117</v>
      </c>
      <c r="B120" t="s">
        <v>204</v>
      </c>
      <c r="C120">
        <v>40</v>
      </c>
      <c r="D120">
        <v>429.62797780184081</v>
      </c>
      <c r="E120">
        <v>27.096643205197616</v>
      </c>
      <c r="F120">
        <v>402.53133459664321</v>
      </c>
      <c r="G120">
        <v>738800</v>
      </c>
      <c r="H120" t="s">
        <v>154</v>
      </c>
      <c r="I120">
        <v>19000</v>
      </c>
      <c r="J120">
        <v>3.3250000000000002E-2</v>
      </c>
      <c r="K120" t="s">
        <v>160</v>
      </c>
      <c r="L120">
        <v>715000</v>
      </c>
      <c r="M120">
        <v>110.682</v>
      </c>
      <c r="N120" t="s">
        <v>149</v>
      </c>
      <c r="O120">
        <v>4800</v>
      </c>
      <c r="P120">
        <v>0</v>
      </c>
    </row>
    <row r="121" spans="1:25" x14ac:dyDescent="0.25">
      <c r="A121">
        <v>118</v>
      </c>
      <c r="B121" t="s">
        <v>204</v>
      </c>
      <c r="C121">
        <v>40</v>
      </c>
      <c r="D121">
        <v>370.10917219825569</v>
      </c>
      <c r="E121">
        <v>32.60879355709001</v>
      </c>
      <c r="F121">
        <v>337.5003786411657</v>
      </c>
      <c r="G121">
        <v>748730</v>
      </c>
      <c r="H121" t="s">
        <v>169</v>
      </c>
      <c r="I121">
        <v>28750</v>
      </c>
      <c r="J121">
        <v>6.4208333333333334</v>
      </c>
      <c r="K121" t="s">
        <v>160</v>
      </c>
      <c r="L121">
        <v>715000</v>
      </c>
      <c r="M121">
        <v>110.682</v>
      </c>
      <c r="N121" t="s">
        <v>158</v>
      </c>
      <c r="O121">
        <v>4680</v>
      </c>
      <c r="P121">
        <v>1.66625</v>
      </c>
      <c r="Q121" t="s">
        <v>149</v>
      </c>
      <c r="R121">
        <v>300</v>
      </c>
      <c r="S121">
        <v>0</v>
      </c>
    </row>
    <row r="122" spans="1:25" x14ac:dyDescent="0.25">
      <c r="A122">
        <v>119</v>
      </c>
      <c r="B122" t="s">
        <v>204</v>
      </c>
      <c r="C122">
        <v>40</v>
      </c>
      <c r="D122">
        <v>383.62547515838611</v>
      </c>
      <c r="E122">
        <v>30.836378792930976</v>
      </c>
      <c r="F122">
        <v>352.78909636545512</v>
      </c>
      <c r="G122">
        <v>749750</v>
      </c>
      <c r="H122" t="s">
        <v>169</v>
      </c>
      <c r="I122">
        <v>34750</v>
      </c>
      <c r="J122">
        <v>7.7608333333333333</v>
      </c>
      <c r="K122" t="s">
        <v>160</v>
      </c>
      <c r="L122">
        <v>715000</v>
      </c>
      <c r="M122">
        <v>110.682</v>
      </c>
    </row>
    <row r="123" spans="1:25" x14ac:dyDescent="0.25">
      <c r="A123">
        <v>120</v>
      </c>
      <c r="B123" t="s">
        <v>204</v>
      </c>
      <c r="C123">
        <v>40</v>
      </c>
      <c r="D123">
        <v>378.06106959364786</v>
      </c>
      <c r="E123">
        <v>30.821078267832121</v>
      </c>
      <c r="F123">
        <v>347.23999132581571</v>
      </c>
      <c r="G123">
        <v>749350</v>
      </c>
      <c r="H123" t="s">
        <v>169</v>
      </c>
      <c r="I123">
        <v>28750</v>
      </c>
      <c r="J123">
        <v>6.4208333333333334</v>
      </c>
      <c r="K123" t="s">
        <v>160</v>
      </c>
      <c r="L123">
        <v>715000</v>
      </c>
      <c r="M123">
        <v>110.682</v>
      </c>
      <c r="N123" t="s">
        <v>168</v>
      </c>
      <c r="O123">
        <v>5600</v>
      </c>
      <c r="P123">
        <v>5.6</v>
      </c>
    </row>
    <row r="124" spans="1:25" x14ac:dyDescent="0.25">
      <c r="A124">
        <v>121</v>
      </c>
      <c r="B124" t="s">
        <v>204</v>
      </c>
      <c r="C124">
        <v>40</v>
      </c>
      <c r="D124">
        <v>414.75931801482869</v>
      </c>
      <c r="E124">
        <v>28.098473715850648</v>
      </c>
      <c r="F124">
        <v>386.66084429897802</v>
      </c>
      <c r="G124">
        <v>748550</v>
      </c>
      <c r="H124" t="s">
        <v>169</v>
      </c>
      <c r="I124">
        <v>28750</v>
      </c>
      <c r="J124">
        <v>6.4208333333333334</v>
      </c>
      <c r="K124" t="s">
        <v>160</v>
      </c>
      <c r="L124">
        <v>715000</v>
      </c>
      <c r="M124">
        <v>110.682</v>
      </c>
      <c r="N124" t="s">
        <v>149</v>
      </c>
      <c r="O124">
        <v>4800</v>
      </c>
      <c r="P124">
        <v>0</v>
      </c>
    </row>
    <row r="125" spans="1:25" x14ac:dyDescent="0.25">
      <c r="A125">
        <v>122</v>
      </c>
      <c r="B125" t="s">
        <v>204</v>
      </c>
      <c r="C125">
        <v>40</v>
      </c>
      <c r="D125">
        <v>278.00334947376024</v>
      </c>
      <c r="E125">
        <v>104.10335545551585</v>
      </c>
      <c r="F125">
        <v>173.89999401824437</v>
      </c>
      <c r="G125">
        <v>581769</v>
      </c>
      <c r="H125" t="s">
        <v>69</v>
      </c>
      <c r="I125">
        <v>30709</v>
      </c>
      <c r="J125">
        <v>10.142683066704187</v>
      </c>
      <c r="K125" t="s">
        <v>149</v>
      </c>
      <c r="L125">
        <v>1380</v>
      </c>
      <c r="M125">
        <v>0</v>
      </c>
      <c r="N125" t="s">
        <v>163</v>
      </c>
      <c r="O125">
        <v>500000</v>
      </c>
      <c r="P125">
        <v>51</v>
      </c>
      <c r="Q125" t="s">
        <v>159</v>
      </c>
      <c r="R125">
        <v>45000</v>
      </c>
      <c r="S125">
        <v>6.9659999999999993</v>
      </c>
      <c r="T125" t="s">
        <v>158</v>
      </c>
      <c r="U125">
        <v>4680</v>
      </c>
      <c r="V125">
        <v>1.66625</v>
      </c>
    </row>
    <row r="126" spans="1:25" x14ac:dyDescent="0.25">
      <c r="A126">
        <v>123</v>
      </c>
      <c r="B126" t="s">
        <v>204</v>
      </c>
      <c r="C126">
        <v>40</v>
      </c>
      <c r="D126">
        <v>291.98814269478044</v>
      </c>
      <c r="E126">
        <v>108.36392936506591</v>
      </c>
      <c r="F126">
        <v>183.62421332971451</v>
      </c>
      <c r="G126">
        <v>589510</v>
      </c>
      <c r="H126" t="s">
        <v>149</v>
      </c>
      <c r="I126">
        <v>1830</v>
      </c>
      <c r="J126">
        <v>0</v>
      </c>
      <c r="K126" t="s">
        <v>159</v>
      </c>
      <c r="L126">
        <v>83000</v>
      </c>
      <c r="M126">
        <v>12.8484</v>
      </c>
      <c r="N126" t="s">
        <v>163</v>
      </c>
      <c r="O126">
        <v>500000</v>
      </c>
      <c r="P126">
        <v>51</v>
      </c>
      <c r="Q126" t="s">
        <v>158</v>
      </c>
      <c r="R126">
        <v>4680</v>
      </c>
      <c r="S126">
        <v>1.66625</v>
      </c>
    </row>
    <row r="127" spans="1:25" x14ac:dyDescent="0.25">
      <c r="A127">
        <v>124</v>
      </c>
      <c r="B127" t="s">
        <v>204</v>
      </c>
      <c r="C127">
        <v>40</v>
      </c>
      <c r="D127">
        <v>280.08532559151718</v>
      </c>
      <c r="E127">
        <v>95.422229276333809</v>
      </c>
      <c r="F127">
        <v>184.6630963151834</v>
      </c>
      <c r="G127">
        <v>583584</v>
      </c>
      <c r="H127" t="s">
        <v>69</v>
      </c>
      <c r="I127">
        <v>30709</v>
      </c>
      <c r="J127">
        <v>10.142683066704187</v>
      </c>
      <c r="K127" t="s">
        <v>149</v>
      </c>
      <c r="L127">
        <v>1000</v>
      </c>
      <c r="M127">
        <v>0</v>
      </c>
      <c r="N127" t="s">
        <v>163</v>
      </c>
      <c r="O127">
        <v>500000</v>
      </c>
      <c r="P127">
        <v>51</v>
      </c>
      <c r="Q127" t="s">
        <v>169</v>
      </c>
      <c r="R127">
        <v>51875</v>
      </c>
      <c r="S127">
        <v>11.585416666666667</v>
      </c>
    </row>
    <row r="128" spans="1:25" x14ac:dyDescent="0.25">
      <c r="A128">
        <v>125</v>
      </c>
      <c r="B128" t="s">
        <v>204</v>
      </c>
      <c r="C128">
        <v>40</v>
      </c>
      <c r="D128">
        <v>430.11850297780188</v>
      </c>
      <c r="E128">
        <v>27.129128316188414</v>
      </c>
      <c r="F128">
        <v>402.98937466161345</v>
      </c>
      <c r="G128">
        <v>738800</v>
      </c>
      <c r="H128" t="s">
        <v>154</v>
      </c>
      <c r="I128">
        <v>19000</v>
      </c>
      <c r="J128">
        <v>3.3250000000000002E-2</v>
      </c>
      <c r="K128" t="s">
        <v>160</v>
      </c>
      <c r="L128">
        <v>715000</v>
      </c>
      <c r="M128">
        <v>110.682</v>
      </c>
      <c r="N128" t="s">
        <v>168</v>
      </c>
      <c r="O128">
        <v>5600</v>
      </c>
      <c r="P128">
        <v>5.6</v>
      </c>
    </row>
    <row r="129" spans="1:22" x14ac:dyDescent="0.25">
      <c r="A129">
        <v>126</v>
      </c>
      <c r="B129" t="s">
        <v>204</v>
      </c>
      <c r="C129">
        <v>40</v>
      </c>
      <c r="D129">
        <v>269.89011059123777</v>
      </c>
      <c r="E129">
        <v>98.731561037856224</v>
      </c>
      <c r="F129">
        <v>171.15854955338153</v>
      </c>
      <c r="G129">
        <v>587750</v>
      </c>
      <c r="H129" t="s">
        <v>169</v>
      </c>
      <c r="I129">
        <v>87750</v>
      </c>
      <c r="J129">
        <v>19.5975</v>
      </c>
      <c r="K129" t="s">
        <v>163</v>
      </c>
      <c r="L129">
        <v>500000</v>
      </c>
      <c r="M129">
        <v>51</v>
      </c>
    </row>
    <row r="130" spans="1:22" x14ac:dyDescent="0.25">
      <c r="A130">
        <v>127</v>
      </c>
      <c r="B130" t="s">
        <v>204</v>
      </c>
      <c r="C130">
        <v>40</v>
      </c>
      <c r="D130">
        <v>268.17462901175048</v>
      </c>
      <c r="E130">
        <v>107.41491974365758</v>
      </c>
      <c r="F130">
        <v>160.75970926809291</v>
      </c>
      <c r="G130">
        <v>585935</v>
      </c>
      <c r="H130" t="s">
        <v>169</v>
      </c>
      <c r="I130">
        <v>35875</v>
      </c>
      <c r="J130">
        <v>8.012083333333333</v>
      </c>
      <c r="K130" t="s">
        <v>163</v>
      </c>
      <c r="L130">
        <v>500000</v>
      </c>
      <c r="M130">
        <v>51</v>
      </c>
      <c r="N130" t="s">
        <v>159</v>
      </c>
      <c r="O130">
        <v>45000</v>
      </c>
      <c r="P130">
        <v>6.9659999999999993</v>
      </c>
      <c r="Q130" t="s">
        <v>158</v>
      </c>
      <c r="R130">
        <v>4680</v>
      </c>
      <c r="S130">
        <v>1.66625</v>
      </c>
      <c r="T130" t="s">
        <v>149</v>
      </c>
      <c r="U130">
        <v>380</v>
      </c>
      <c r="V130">
        <v>0</v>
      </c>
    </row>
    <row r="131" spans="1:22" x14ac:dyDescent="0.25">
      <c r="A131">
        <v>128</v>
      </c>
      <c r="B131" t="s">
        <v>204</v>
      </c>
      <c r="C131">
        <v>40</v>
      </c>
      <c r="D131">
        <v>294.37125311799775</v>
      </c>
      <c r="E131">
        <v>99.796008962922258</v>
      </c>
      <c r="F131">
        <v>194.57524415507547</v>
      </c>
      <c r="G131">
        <v>591325</v>
      </c>
      <c r="H131" t="s">
        <v>149</v>
      </c>
      <c r="I131">
        <v>1450</v>
      </c>
      <c r="J131">
        <v>0</v>
      </c>
      <c r="K131" t="s">
        <v>159</v>
      </c>
      <c r="L131">
        <v>38000</v>
      </c>
      <c r="M131">
        <v>5.8823999999999996</v>
      </c>
      <c r="N131" t="s">
        <v>163</v>
      </c>
      <c r="O131">
        <v>500000</v>
      </c>
      <c r="P131">
        <v>51</v>
      </c>
      <c r="Q131" t="s">
        <v>169</v>
      </c>
      <c r="R131">
        <v>51875</v>
      </c>
      <c r="S131">
        <v>11.585416666666667</v>
      </c>
    </row>
    <row r="132" spans="1:22" x14ac:dyDescent="0.25">
      <c r="A132">
        <v>129</v>
      </c>
      <c r="B132" t="s">
        <v>204</v>
      </c>
      <c r="C132">
        <v>40</v>
      </c>
      <c r="D132">
        <v>429.58536545749871</v>
      </c>
      <c r="E132">
        <v>27.084948565240929</v>
      </c>
      <c r="F132">
        <v>402.50041689225776</v>
      </c>
      <c r="G132">
        <v>738800</v>
      </c>
      <c r="H132" t="s">
        <v>154</v>
      </c>
      <c r="I132">
        <v>19000</v>
      </c>
      <c r="J132">
        <v>3.3250000000000002E-2</v>
      </c>
      <c r="K132" t="s">
        <v>160</v>
      </c>
      <c r="L132">
        <v>715000</v>
      </c>
      <c r="M132">
        <v>110.682</v>
      </c>
      <c r="N132" t="s">
        <v>158</v>
      </c>
      <c r="O132">
        <v>4680</v>
      </c>
      <c r="P132">
        <v>1.66625</v>
      </c>
      <c r="Q132" t="s">
        <v>149</v>
      </c>
      <c r="R132">
        <v>300</v>
      </c>
      <c r="S132">
        <v>0</v>
      </c>
    </row>
    <row r="133" spans="1:22" x14ac:dyDescent="0.25">
      <c r="A133">
        <v>130</v>
      </c>
      <c r="B133" t="s">
        <v>204</v>
      </c>
      <c r="C133">
        <v>40</v>
      </c>
      <c r="D133">
        <v>430.53547297297291</v>
      </c>
      <c r="E133">
        <v>27.113513513513514</v>
      </c>
      <c r="F133">
        <v>403.4219594594594</v>
      </c>
      <c r="G133">
        <v>740000</v>
      </c>
      <c r="H133" t="s">
        <v>154</v>
      </c>
      <c r="I133">
        <v>19000</v>
      </c>
      <c r="J133">
        <v>3.3250000000000002E-2</v>
      </c>
      <c r="K133" t="s">
        <v>160</v>
      </c>
      <c r="L133">
        <v>715000</v>
      </c>
      <c r="M133">
        <v>110.682</v>
      </c>
      <c r="N133" t="s">
        <v>169</v>
      </c>
      <c r="O133">
        <v>6000</v>
      </c>
      <c r="P133">
        <v>1.3399999999999999</v>
      </c>
    </row>
    <row r="134" spans="1:22" x14ac:dyDescent="0.25">
      <c r="A134">
        <v>131</v>
      </c>
      <c r="B134" t="s">
        <v>204</v>
      </c>
      <c r="C134">
        <v>40</v>
      </c>
      <c r="D134">
        <v>366.09085484393557</v>
      </c>
      <c r="E134">
        <v>31.53165838643482</v>
      </c>
      <c r="F134">
        <v>334.55919645750078</v>
      </c>
      <c r="G134">
        <v>740720</v>
      </c>
      <c r="H134" t="s">
        <v>149</v>
      </c>
      <c r="I134">
        <v>1100</v>
      </c>
      <c r="J134">
        <v>0</v>
      </c>
      <c r="K134" t="s">
        <v>159</v>
      </c>
      <c r="L134">
        <v>19020</v>
      </c>
      <c r="M134">
        <v>2.944296</v>
      </c>
      <c r="N134" t="s">
        <v>160</v>
      </c>
      <c r="O134">
        <v>715000</v>
      </c>
      <c r="P134">
        <v>110.682</v>
      </c>
      <c r="Q134" t="s">
        <v>168</v>
      </c>
      <c r="R134">
        <v>5600</v>
      </c>
      <c r="S134">
        <v>5.6</v>
      </c>
    </row>
    <row r="135" spans="1:22" x14ac:dyDescent="0.25">
      <c r="A135">
        <v>132</v>
      </c>
      <c r="B135" t="s">
        <v>204</v>
      </c>
      <c r="C135">
        <v>40</v>
      </c>
      <c r="D135">
        <v>614.15650738894669</v>
      </c>
      <c r="E135">
        <v>0</v>
      </c>
      <c r="F135">
        <v>614.15650738894669</v>
      </c>
      <c r="G135">
        <v>684130</v>
      </c>
      <c r="H135" t="s">
        <v>149</v>
      </c>
      <c r="I135">
        <v>400</v>
      </c>
      <c r="J135">
        <v>0</v>
      </c>
      <c r="K135" t="s">
        <v>69</v>
      </c>
      <c r="L135">
        <v>683730</v>
      </c>
      <c r="M135">
        <v>225.82489476041727</v>
      </c>
    </row>
    <row r="136" spans="1:22" x14ac:dyDescent="0.25">
      <c r="A136">
        <v>133</v>
      </c>
      <c r="B136" t="s">
        <v>204</v>
      </c>
      <c r="C136">
        <v>40</v>
      </c>
      <c r="D136">
        <v>369.64048101607887</v>
      </c>
      <c r="E136">
        <v>33.306999054181873</v>
      </c>
      <c r="F136">
        <v>336.33348196189701</v>
      </c>
      <c r="G136">
        <v>740100</v>
      </c>
      <c r="H136" t="s">
        <v>149</v>
      </c>
      <c r="I136">
        <v>1400</v>
      </c>
      <c r="J136">
        <v>0</v>
      </c>
      <c r="K136" t="s">
        <v>159</v>
      </c>
      <c r="L136">
        <v>19020</v>
      </c>
      <c r="M136">
        <v>2.944296</v>
      </c>
      <c r="N136" t="s">
        <v>160</v>
      </c>
      <c r="O136">
        <v>715000</v>
      </c>
      <c r="P136">
        <v>110.682</v>
      </c>
      <c r="Q136" t="s">
        <v>158</v>
      </c>
      <c r="R136">
        <v>4680</v>
      </c>
      <c r="S136">
        <v>1.66625</v>
      </c>
    </row>
    <row r="137" spans="1:22" x14ac:dyDescent="0.25">
      <c r="A137">
        <v>134</v>
      </c>
      <c r="B137" t="s">
        <v>204</v>
      </c>
      <c r="C137">
        <v>40</v>
      </c>
      <c r="D137">
        <v>377.4962819958958</v>
      </c>
      <c r="E137">
        <v>31.53165838643482</v>
      </c>
      <c r="F137">
        <v>345.964623609461</v>
      </c>
      <c r="G137">
        <v>740720</v>
      </c>
      <c r="H137" t="s">
        <v>149</v>
      </c>
      <c r="I137">
        <v>1100</v>
      </c>
      <c r="J137">
        <v>0</v>
      </c>
      <c r="K137" t="s">
        <v>159</v>
      </c>
      <c r="L137">
        <v>19020</v>
      </c>
      <c r="M137">
        <v>2.944296</v>
      </c>
      <c r="N137" t="s">
        <v>160</v>
      </c>
      <c r="O137">
        <v>715000</v>
      </c>
      <c r="P137">
        <v>110.682</v>
      </c>
      <c r="Q137" t="s">
        <v>168</v>
      </c>
      <c r="R137">
        <v>5600</v>
      </c>
      <c r="S137">
        <v>5.6</v>
      </c>
    </row>
    <row r="138" spans="1:22" x14ac:dyDescent="0.25">
      <c r="A138">
        <v>135</v>
      </c>
      <c r="B138" t="s">
        <v>204</v>
      </c>
      <c r="C138">
        <v>40</v>
      </c>
      <c r="D138">
        <v>439.14408500270707</v>
      </c>
      <c r="E138">
        <v>27.096643205197616</v>
      </c>
      <c r="F138">
        <v>412.04744179750946</v>
      </c>
      <c r="G138">
        <v>738800</v>
      </c>
      <c r="H138" t="s">
        <v>153</v>
      </c>
      <c r="I138">
        <v>19000</v>
      </c>
      <c r="J138">
        <v>0</v>
      </c>
      <c r="K138" t="s">
        <v>160</v>
      </c>
      <c r="L138">
        <v>715000</v>
      </c>
      <c r="M138">
        <v>110.682</v>
      </c>
      <c r="N138" t="s">
        <v>149</v>
      </c>
      <c r="O138">
        <v>4800</v>
      </c>
      <c r="P138">
        <v>0</v>
      </c>
    </row>
    <row r="139" spans="1:22" x14ac:dyDescent="0.25">
      <c r="A139">
        <v>136</v>
      </c>
      <c r="B139" t="s">
        <v>204</v>
      </c>
      <c r="C139">
        <v>40</v>
      </c>
      <c r="D139">
        <v>413.73698643096549</v>
      </c>
      <c r="E139">
        <v>28.825516272029407</v>
      </c>
      <c r="F139">
        <v>384.91147015893608</v>
      </c>
      <c r="G139">
        <v>739920</v>
      </c>
      <c r="H139" t="s">
        <v>149</v>
      </c>
      <c r="I139">
        <v>5900</v>
      </c>
      <c r="J139">
        <v>0</v>
      </c>
      <c r="K139" t="s">
        <v>159</v>
      </c>
      <c r="L139">
        <v>19020</v>
      </c>
      <c r="M139">
        <v>2.944296</v>
      </c>
      <c r="N139" t="s">
        <v>160</v>
      </c>
      <c r="O139">
        <v>715000</v>
      </c>
      <c r="P139">
        <v>110.682</v>
      </c>
    </row>
    <row r="140" spans="1:22" x14ac:dyDescent="0.25">
      <c r="A140">
        <v>137</v>
      </c>
      <c r="B140" t="s">
        <v>204</v>
      </c>
      <c r="C140">
        <v>40</v>
      </c>
      <c r="D140">
        <v>369.17633825326686</v>
      </c>
      <c r="E140">
        <v>34.327127681005663</v>
      </c>
      <c r="F140">
        <v>334.8492105722612</v>
      </c>
      <c r="G140">
        <v>744590</v>
      </c>
      <c r="H140" t="s">
        <v>69</v>
      </c>
      <c r="I140">
        <v>24610</v>
      </c>
      <c r="J140">
        <v>8.1282825970103243</v>
      </c>
      <c r="K140" t="s">
        <v>160</v>
      </c>
      <c r="L140">
        <v>715000</v>
      </c>
      <c r="M140">
        <v>110.682</v>
      </c>
      <c r="N140" t="s">
        <v>158</v>
      </c>
      <c r="O140">
        <v>4680</v>
      </c>
      <c r="P140">
        <v>1.66625</v>
      </c>
      <c r="Q140" t="s">
        <v>149</v>
      </c>
      <c r="R140">
        <v>300</v>
      </c>
      <c r="S140">
        <v>0</v>
      </c>
    </row>
    <row r="141" spans="1:22" x14ac:dyDescent="0.25">
      <c r="A141">
        <v>138</v>
      </c>
      <c r="B141" t="s">
        <v>204</v>
      </c>
      <c r="C141">
        <v>40</v>
      </c>
      <c r="D141">
        <v>382.59549657327557</v>
      </c>
      <c r="E141">
        <v>32.56227786644493</v>
      </c>
      <c r="F141">
        <v>350.03321870683067</v>
      </c>
      <c r="G141">
        <v>745610</v>
      </c>
      <c r="H141" t="s">
        <v>69</v>
      </c>
      <c r="I141">
        <v>24610</v>
      </c>
      <c r="J141">
        <v>8.1282825970103243</v>
      </c>
      <c r="K141" t="s">
        <v>160</v>
      </c>
      <c r="L141">
        <v>715000</v>
      </c>
      <c r="M141">
        <v>110.682</v>
      </c>
      <c r="N141" t="s">
        <v>169</v>
      </c>
      <c r="O141">
        <v>6000</v>
      </c>
      <c r="P141">
        <v>1.3399999999999999</v>
      </c>
    </row>
    <row r="142" spans="1:22" x14ac:dyDescent="0.25">
      <c r="A142">
        <v>139</v>
      </c>
      <c r="B142" t="s">
        <v>204</v>
      </c>
      <c r="C142">
        <v>40</v>
      </c>
      <c r="D142">
        <v>364.65578776452276</v>
      </c>
      <c r="E142">
        <v>32.54594007058413</v>
      </c>
      <c r="F142">
        <v>332.1098476939386</v>
      </c>
      <c r="G142">
        <v>745210</v>
      </c>
      <c r="H142" t="s">
        <v>69</v>
      </c>
      <c r="I142">
        <v>24610</v>
      </c>
      <c r="J142">
        <v>8.1282825970103243</v>
      </c>
      <c r="K142" t="s">
        <v>160</v>
      </c>
      <c r="L142">
        <v>715000</v>
      </c>
      <c r="M142">
        <v>110.682</v>
      </c>
      <c r="N142" t="s">
        <v>168</v>
      </c>
      <c r="O142">
        <v>5600</v>
      </c>
      <c r="P142">
        <v>5.6</v>
      </c>
    </row>
    <row r="143" spans="1:22" x14ac:dyDescent="0.25">
      <c r="A143">
        <v>140</v>
      </c>
      <c r="B143" t="s">
        <v>204</v>
      </c>
      <c r="C143">
        <v>40</v>
      </c>
      <c r="D143">
        <v>413.45478351983445</v>
      </c>
      <c r="E143">
        <v>29.830375733802608</v>
      </c>
      <c r="F143">
        <v>383.62440778603184</v>
      </c>
      <c r="G143">
        <v>744410</v>
      </c>
      <c r="H143" t="s">
        <v>69</v>
      </c>
      <c r="I143">
        <v>24610</v>
      </c>
      <c r="J143">
        <v>8.1282825970103243</v>
      </c>
      <c r="K143" t="s">
        <v>160</v>
      </c>
      <c r="L143">
        <v>715000</v>
      </c>
      <c r="M143">
        <v>110.682</v>
      </c>
      <c r="N143" t="s">
        <v>149</v>
      </c>
      <c r="O143">
        <v>4800</v>
      </c>
      <c r="P143">
        <v>0</v>
      </c>
    </row>
    <row r="144" spans="1:22" x14ac:dyDescent="0.25">
      <c r="A144">
        <v>141</v>
      </c>
      <c r="B144" t="s">
        <v>204</v>
      </c>
      <c r="C144">
        <v>40</v>
      </c>
      <c r="D144">
        <v>394.99024601477703</v>
      </c>
      <c r="E144">
        <v>31.591409781049549</v>
      </c>
      <c r="F144">
        <v>363.39883623372748</v>
      </c>
      <c r="G144">
        <v>738980</v>
      </c>
      <c r="H144" t="s">
        <v>153</v>
      </c>
      <c r="I144">
        <v>19000</v>
      </c>
      <c r="J144">
        <v>0</v>
      </c>
      <c r="K144" t="s">
        <v>160</v>
      </c>
      <c r="L144">
        <v>715000</v>
      </c>
      <c r="M144">
        <v>110.682</v>
      </c>
      <c r="N144" t="s">
        <v>158</v>
      </c>
      <c r="O144">
        <v>4680</v>
      </c>
      <c r="P144">
        <v>1.66625</v>
      </c>
      <c r="Q144" t="s">
        <v>149</v>
      </c>
      <c r="R144">
        <v>300</v>
      </c>
      <c r="S144">
        <v>0</v>
      </c>
    </row>
    <row r="145" spans="1:25" x14ac:dyDescent="0.25">
      <c r="A145">
        <v>142</v>
      </c>
      <c r="B145" t="s">
        <v>204</v>
      </c>
      <c r="C145">
        <v>40</v>
      </c>
      <c r="D145">
        <v>408.45020270270265</v>
      </c>
      <c r="E145">
        <v>29.824864864864864</v>
      </c>
      <c r="F145">
        <v>378.62533783783778</v>
      </c>
      <c r="G145">
        <v>740000</v>
      </c>
      <c r="H145" t="s">
        <v>153</v>
      </c>
      <c r="I145">
        <v>19000</v>
      </c>
      <c r="J145">
        <v>0</v>
      </c>
      <c r="K145" t="s">
        <v>160</v>
      </c>
      <c r="L145">
        <v>715000</v>
      </c>
      <c r="M145">
        <v>110.682</v>
      </c>
      <c r="N145" t="s">
        <v>169</v>
      </c>
      <c r="O145">
        <v>6000</v>
      </c>
      <c r="P145">
        <v>1.3399999999999999</v>
      </c>
    </row>
    <row r="146" spans="1:25" x14ac:dyDescent="0.25">
      <c r="A146">
        <v>143</v>
      </c>
      <c r="B146" t="s">
        <v>204</v>
      </c>
      <c r="C146">
        <v>40</v>
      </c>
      <c r="D146">
        <v>402.86168199026497</v>
      </c>
      <c r="E146">
        <v>29.809762033531641</v>
      </c>
      <c r="F146">
        <v>373.05191995673334</v>
      </c>
      <c r="G146">
        <v>739600</v>
      </c>
      <c r="H146" t="s">
        <v>153</v>
      </c>
      <c r="I146">
        <v>19000</v>
      </c>
      <c r="J146">
        <v>0</v>
      </c>
      <c r="K146" t="s">
        <v>160</v>
      </c>
      <c r="L146">
        <v>715000</v>
      </c>
      <c r="M146">
        <v>110.682</v>
      </c>
      <c r="N146" t="s">
        <v>168</v>
      </c>
      <c r="O146">
        <v>5600</v>
      </c>
      <c r="P146">
        <v>5.6</v>
      </c>
    </row>
    <row r="147" spans="1:25" x14ac:dyDescent="0.25">
      <c r="A147">
        <v>144</v>
      </c>
      <c r="B147" t="s">
        <v>204</v>
      </c>
      <c r="C147">
        <v>40</v>
      </c>
      <c r="D147">
        <v>377.06219012090548</v>
      </c>
      <c r="E147">
        <v>32.54594007058413</v>
      </c>
      <c r="F147">
        <v>344.51625005032133</v>
      </c>
      <c r="G147">
        <v>745210</v>
      </c>
      <c r="H147" t="s">
        <v>69</v>
      </c>
      <c r="I147">
        <v>24610</v>
      </c>
      <c r="J147">
        <v>8.1282825970103243</v>
      </c>
      <c r="K147" t="s">
        <v>160</v>
      </c>
      <c r="L147">
        <v>715000</v>
      </c>
      <c r="M147">
        <v>110.682</v>
      </c>
      <c r="N147" t="s">
        <v>168</v>
      </c>
      <c r="O147">
        <v>5600</v>
      </c>
      <c r="P147">
        <v>5.6</v>
      </c>
    </row>
    <row r="148" spans="1:25" x14ac:dyDescent="0.25">
      <c r="A148">
        <v>145</v>
      </c>
      <c r="B148" t="s">
        <v>204</v>
      </c>
      <c r="C148">
        <v>41</v>
      </c>
      <c r="D148">
        <v>292.43164265129678</v>
      </c>
      <c r="E148">
        <v>59.576887608069164</v>
      </c>
      <c r="F148">
        <v>232.85475504322764</v>
      </c>
      <c r="G148">
        <v>433750</v>
      </c>
      <c r="H148" t="s">
        <v>169</v>
      </c>
      <c r="I148">
        <v>5750</v>
      </c>
      <c r="J148">
        <v>1.2841666666666667</v>
      </c>
      <c r="K148" t="s">
        <v>160</v>
      </c>
      <c r="L148">
        <v>425000</v>
      </c>
      <c r="M148">
        <v>65.789999999999992</v>
      </c>
      <c r="N148" t="s">
        <v>168</v>
      </c>
      <c r="O148">
        <v>3000</v>
      </c>
      <c r="P148">
        <v>3</v>
      </c>
    </row>
    <row r="149" spans="1:25" x14ac:dyDescent="0.25">
      <c r="A149">
        <v>146</v>
      </c>
      <c r="B149" t="s">
        <v>204</v>
      </c>
      <c r="C149">
        <v>41</v>
      </c>
      <c r="D149">
        <v>315.43867435158501</v>
      </c>
      <c r="E149">
        <v>57.771527377521615</v>
      </c>
      <c r="F149">
        <v>257.66714697406337</v>
      </c>
      <c r="G149">
        <v>433750</v>
      </c>
      <c r="H149" t="s">
        <v>169</v>
      </c>
      <c r="I149">
        <v>5750</v>
      </c>
      <c r="J149">
        <v>1.2841666666666667</v>
      </c>
      <c r="K149" t="s">
        <v>160</v>
      </c>
      <c r="L149">
        <v>425000</v>
      </c>
      <c r="M149">
        <v>65.789999999999992</v>
      </c>
      <c r="N149" t="s">
        <v>149</v>
      </c>
      <c r="O149">
        <v>3000</v>
      </c>
      <c r="P149">
        <v>0</v>
      </c>
      <c r="S149" t="s">
        <v>201</v>
      </c>
      <c r="V149" t="s">
        <v>201</v>
      </c>
      <c r="Y149" t="s">
        <v>201</v>
      </c>
    </row>
    <row r="150" spans="1:25" x14ac:dyDescent="0.25">
      <c r="A150">
        <v>147</v>
      </c>
      <c r="B150" t="s">
        <v>204</v>
      </c>
      <c r="C150">
        <v>41</v>
      </c>
      <c r="D150">
        <v>293.3859654178674</v>
      </c>
      <c r="E150">
        <v>59.576887608069164</v>
      </c>
      <c r="F150">
        <v>233.80907780979825</v>
      </c>
      <c r="G150">
        <v>433750</v>
      </c>
      <c r="H150" t="s">
        <v>169</v>
      </c>
      <c r="I150">
        <v>5750</v>
      </c>
      <c r="J150">
        <v>1.2841666666666667</v>
      </c>
      <c r="K150" t="s">
        <v>160</v>
      </c>
      <c r="L150">
        <v>425000</v>
      </c>
      <c r="M150">
        <v>65.789999999999992</v>
      </c>
      <c r="N150" t="s">
        <v>168</v>
      </c>
      <c r="O150">
        <v>3000</v>
      </c>
      <c r="P150">
        <v>3</v>
      </c>
      <c r="S150" t="s">
        <v>201</v>
      </c>
      <c r="V150" t="s">
        <v>201</v>
      </c>
      <c r="Y150" t="s">
        <v>201</v>
      </c>
    </row>
    <row r="151" spans="1:25" x14ac:dyDescent="0.25">
      <c r="A151">
        <v>148</v>
      </c>
      <c r="B151" t="s">
        <v>204</v>
      </c>
      <c r="C151">
        <v>41</v>
      </c>
      <c r="D151">
        <v>285.25408139086034</v>
      </c>
      <c r="E151">
        <v>106.09102869853353</v>
      </c>
      <c r="F151">
        <v>179.1630526923268</v>
      </c>
      <c r="G151">
        <v>523302</v>
      </c>
      <c r="H151" t="s">
        <v>69</v>
      </c>
      <c r="I151">
        <v>14552</v>
      </c>
      <c r="J151">
        <v>4.8062888399713222</v>
      </c>
      <c r="K151" t="s">
        <v>163</v>
      </c>
      <c r="L151">
        <v>400000</v>
      </c>
      <c r="M151">
        <v>51</v>
      </c>
      <c r="N151" t="s">
        <v>169</v>
      </c>
      <c r="O151">
        <v>108750</v>
      </c>
      <c r="P151">
        <v>24.287499999999998</v>
      </c>
      <c r="S151" t="s">
        <v>201</v>
      </c>
      <c r="V151" t="s">
        <v>201</v>
      </c>
      <c r="Y151" t="s">
        <v>201</v>
      </c>
    </row>
    <row r="152" spans="1:25" x14ac:dyDescent="0.25">
      <c r="A152">
        <v>149</v>
      </c>
      <c r="B152" t="s">
        <v>204</v>
      </c>
      <c r="C152">
        <v>41</v>
      </c>
      <c r="D152">
        <v>307.40391079315424</v>
      </c>
      <c r="E152">
        <v>65.80369318181819</v>
      </c>
      <c r="F152">
        <v>241.60021761133603</v>
      </c>
      <c r="G152">
        <v>434720</v>
      </c>
      <c r="H152" t="s">
        <v>169</v>
      </c>
      <c r="I152">
        <v>5750</v>
      </c>
      <c r="J152">
        <v>1.2841666666666667</v>
      </c>
      <c r="K152" t="s">
        <v>160</v>
      </c>
      <c r="L152">
        <v>425000</v>
      </c>
      <c r="M152">
        <v>65.789999999999992</v>
      </c>
      <c r="N152" t="s">
        <v>155</v>
      </c>
      <c r="O152">
        <v>3210</v>
      </c>
      <c r="P152">
        <v>1.747625</v>
      </c>
      <c r="Q152" t="s">
        <v>149</v>
      </c>
      <c r="R152">
        <v>760</v>
      </c>
      <c r="S152">
        <v>0</v>
      </c>
      <c r="V152" t="s">
        <v>201</v>
      </c>
      <c r="Y152" t="s">
        <v>201</v>
      </c>
    </row>
    <row r="153" spans="1:25" x14ac:dyDescent="0.25">
      <c r="A153">
        <v>150</v>
      </c>
      <c r="B153" t="s">
        <v>204</v>
      </c>
      <c r="C153">
        <v>41</v>
      </c>
      <c r="D153">
        <v>308.7087299744602</v>
      </c>
      <c r="E153">
        <v>56.783375899698164</v>
      </c>
      <c r="F153">
        <v>251.92535407476203</v>
      </c>
      <c r="G153">
        <v>430700</v>
      </c>
      <c r="H153" t="s">
        <v>154</v>
      </c>
      <c r="I153">
        <v>2700</v>
      </c>
      <c r="J153">
        <v>4.725E-3</v>
      </c>
      <c r="K153" t="s">
        <v>160</v>
      </c>
      <c r="L153">
        <v>425000</v>
      </c>
      <c r="M153">
        <v>65.789999999999992</v>
      </c>
      <c r="N153" t="s">
        <v>149</v>
      </c>
      <c r="O153">
        <v>3000</v>
      </c>
      <c r="P153">
        <v>0</v>
      </c>
      <c r="S153" t="s">
        <v>201</v>
      </c>
    </row>
    <row r="154" spans="1:25" x14ac:dyDescent="0.25">
      <c r="A154">
        <v>151</v>
      </c>
      <c r="B154" t="s">
        <v>204</v>
      </c>
      <c r="C154">
        <v>41</v>
      </c>
      <c r="D154">
        <v>284.84351056419786</v>
      </c>
      <c r="E154">
        <v>58.586022753656842</v>
      </c>
      <c r="F154">
        <v>226.25748781054099</v>
      </c>
      <c r="G154">
        <v>430700</v>
      </c>
      <c r="H154" t="s">
        <v>154</v>
      </c>
      <c r="I154">
        <v>2700</v>
      </c>
      <c r="J154">
        <v>4.725E-3</v>
      </c>
      <c r="K154" t="s">
        <v>160</v>
      </c>
      <c r="L154">
        <v>425000</v>
      </c>
      <c r="M154">
        <v>65.789999999999992</v>
      </c>
      <c r="N154" t="s">
        <v>168</v>
      </c>
      <c r="O154">
        <v>3000</v>
      </c>
      <c r="P154">
        <v>3</v>
      </c>
      <c r="S154" t="s">
        <v>201</v>
      </c>
    </row>
    <row r="155" spans="1:25" x14ac:dyDescent="0.25">
      <c r="A155">
        <v>152</v>
      </c>
      <c r="B155" t="s">
        <v>204</v>
      </c>
      <c r="C155">
        <v>41</v>
      </c>
      <c r="D155">
        <v>291.05051783659377</v>
      </c>
      <c r="E155">
        <v>60.519735327963176</v>
      </c>
      <c r="F155">
        <v>230.53078250863061</v>
      </c>
      <c r="G155">
        <v>434500</v>
      </c>
      <c r="H155" t="s">
        <v>169</v>
      </c>
      <c r="I155">
        <v>9500</v>
      </c>
      <c r="J155">
        <v>2.1216666666666666</v>
      </c>
      <c r="K155" t="s">
        <v>160</v>
      </c>
      <c r="L155">
        <v>425000</v>
      </c>
      <c r="M155">
        <v>65.789999999999992</v>
      </c>
      <c r="P155" t="s">
        <v>201</v>
      </c>
      <c r="S155" t="s">
        <v>201</v>
      </c>
      <c r="V155" t="s">
        <v>201</v>
      </c>
      <c r="Y155" t="s">
        <v>201</v>
      </c>
    </row>
    <row r="156" spans="1:25" x14ac:dyDescent="0.25">
      <c r="A156">
        <v>153</v>
      </c>
      <c r="B156" t="s">
        <v>204</v>
      </c>
      <c r="C156">
        <v>41</v>
      </c>
      <c r="D156">
        <v>298.38821098749878</v>
      </c>
      <c r="E156">
        <v>130.07353184998507</v>
      </c>
      <c r="F156">
        <v>168.31467913751371</v>
      </c>
      <c r="G156">
        <v>482512</v>
      </c>
      <c r="H156" t="s">
        <v>69</v>
      </c>
      <c r="I156">
        <v>14552</v>
      </c>
      <c r="J156">
        <v>4.8062888399713222</v>
      </c>
      <c r="K156" t="s">
        <v>163</v>
      </c>
      <c r="L156">
        <v>400000</v>
      </c>
      <c r="M156">
        <v>51</v>
      </c>
      <c r="N156" t="s">
        <v>159</v>
      </c>
      <c r="O156">
        <v>64000</v>
      </c>
      <c r="P156">
        <v>9.9071999999999996</v>
      </c>
      <c r="Q156" t="s">
        <v>155</v>
      </c>
      <c r="R156">
        <v>3210</v>
      </c>
      <c r="S156">
        <v>1.747625</v>
      </c>
      <c r="T156" t="s">
        <v>149</v>
      </c>
      <c r="U156">
        <v>750</v>
      </c>
      <c r="V156">
        <v>0</v>
      </c>
      <c r="Y156" t="s">
        <v>201</v>
      </c>
    </row>
    <row r="157" spans="1:25" x14ac:dyDescent="0.25">
      <c r="A157">
        <v>154</v>
      </c>
      <c r="B157" t="s">
        <v>204</v>
      </c>
      <c r="C157">
        <v>41</v>
      </c>
      <c r="D157">
        <v>301.67615609145878</v>
      </c>
      <c r="E157">
        <v>64.804169851970258</v>
      </c>
      <c r="F157">
        <v>236.87198623948851</v>
      </c>
      <c r="G157">
        <v>431670</v>
      </c>
      <c r="H157" t="s">
        <v>153</v>
      </c>
      <c r="I157">
        <v>2700</v>
      </c>
      <c r="J157">
        <v>0</v>
      </c>
      <c r="K157" t="s">
        <v>160</v>
      </c>
      <c r="L157">
        <v>425000</v>
      </c>
      <c r="M157">
        <v>65.789999999999992</v>
      </c>
      <c r="N157" t="s">
        <v>155</v>
      </c>
      <c r="O157">
        <v>3210</v>
      </c>
      <c r="P157">
        <v>1.747625</v>
      </c>
      <c r="Q157" t="s">
        <v>149</v>
      </c>
      <c r="R157">
        <v>760</v>
      </c>
      <c r="S157">
        <v>0</v>
      </c>
      <c r="V157" t="s">
        <v>201</v>
      </c>
      <c r="Y157" t="s">
        <v>201</v>
      </c>
    </row>
    <row r="158" spans="1:25" x14ac:dyDescent="0.25">
      <c r="A158">
        <v>155</v>
      </c>
      <c r="B158" t="s">
        <v>204</v>
      </c>
      <c r="C158">
        <v>41</v>
      </c>
      <c r="D158">
        <v>281.51226730310259</v>
      </c>
      <c r="E158">
        <v>99.763174224343658</v>
      </c>
      <c r="F158">
        <v>181.74909307875896</v>
      </c>
      <c r="G158">
        <v>523750</v>
      </c>
      <c r="H158" t="s">
        <v>149</v>
      </c>
      <c r="I158">
        <v>1000</v>
      </c>
      <c r="J158">
        <v>0</v>
      </c>
      <c r="K158" t="s">
        <v>160</v>
      </c>
      <c r="L158">
        <v>14000</v>
      </c>
      <c r="M158">
        <v>2.1671999999999998</v>
      </c>
      <c r="N158" t="s">
        <v>163</v>
      </c>
      <c r="O158">
        <v>400000</v>
      </c>
      <c r="P158">
        <v>51</v>
      </c>
      <c r="Q158" t="s">
        <v>169</v>
      </c>
      <c r="R158">
        <v>108750</v>
      </c>
      <c r="S158">
        <v>24.287499999999998</v>
      </c>
      <c r="V158" t="s">
        <v>201</v>
      </c>
      <c r="Y158" t="s">
        <v>201</v>
      </c>
    </row>
    <row r="159" spans="1:25" x14ac:dyDescent="0.25">
      <c r="A159">
        <v>156</v>
      </c>
      <c r="B159" t="s">
        <v>204</v>
      </c>
      <c r="C159">
        <v>41</v>
      </c>
      <c r="D159">
        <v>294.48864585058806</v>
      </c>
      <c r="E159">
        <v>123.7975567334769</v>
      </c>
      <c r="F159">
        <v>170.69108911711115</v>
      </c>
      <c r="G159">
        <v>482960</v>
      </c>
      <c r="H159" t="s">
        <v>149</v>
      </c>
      <c r="I159">
        <v>1750</v>
      </c>
      <c r="J159">
        <v>0</v>
      </c>
      <c r="K159" t="s">
        <v>160</v>
      </c>
      <c r="L159">
        <v>14000</v>
      </c>
      <c r="M159">
        <v>2.1671999999999998</v>
      </c>
      <c r="N159" t="s">
        <v>163</v>
      </c>
      <c r="O159">
        <v>400000</v>
      </c>
      <c r="P159">
        <v>51</v>
      </c>
      <c r="Q159" t="s">
        <v>159</v>
      </c>
      <c r="R159">
        <v>64000</v>
      </c>
      <c r="S159">
        <v>9.9071999999999996</v>
      </c>
      <c r="T159" t="s">
        <v>155</v>
      </c>
      <c r="U159">
        <v>3210</v>
      </c>
      <c r="V159">
        <v>1.747625</v>
      </c>
      <c r="Y159" t="s">
        <v>201</v>
      </c>
    </row>
    <row r="160" spans="1:25" x14ac:dyDescent="0.25">
      <c r="A160">
        <v>157</v>
      </c>
      <c r="B160" t="s">
        <v>204</v>
      </c>
      <c r="C160">
        <v>41</v>
      </c>
      <c r="D160">
        <v>278.11007250129467</v>
      </c>
      <c r="E160">
        <v>119.09194717762817</v>
      </c>
      <c r="F160">
        <v>159.01812532366648</v>
      </c>
      <c r="G160">
        <v>482750</v>
      </c>
      <c r="H160" t="s">
        <v>149</v>
      </c>
      <c r="I160">
        <v>1000</v>
      </c>
      <c r="J160">
        <v>0</v>
      </c>
      <c r="K160" t="s">
        <v>160</v>
      </c>
      <c r="L160">
        <v>14000</v>
      </c>
      <c r="M160">
        <v>2.1671999999999998</v>
      </c>
      <c r="N160" t="s">
        <v>163</v>
      </c>
      <c r="O160">
        <v>400000</v>
      </c>
      <c r="P160">
        <v>51</v>
      </c>
      <c r="Q160" t="s">
        <v>159</v>
      </c>
      <c r="R160">
        <v>64000</v>
      </c>
      <c r="S160">
        <v>9.9071999999999996</v>
      </c>
      <c r="T160" t="s">
        <v>169</v>
      </c>
      <c r="U160">
        <v>3750</v>
      </c>
      <c r="V160">
        <v>0.83750000000000002</v>
      </c>
      <c r="Y160" t="s">
        <v>201</v>
      </c>
    </row>
    <row r="161" spans="1:25" x14ac:dyDescent="0.25">
      <c r="A161">
        <v>158</v>
      </c>
      <c r="B161" t="s">
        <v>204</v>
      </c>
      <c r="C161">
        <v>41</v>
      </c>
      <c r="D161">
        <v>308.32097791798111</v>
      </c>
      <c r="E161">
        <v>100.02917981072555</v>
      </c>
      <c r="F161">
        <v>208.29179810725554</v>
      </c>
      <c r="G161">
        <v>523050</v>
      </c>
      <c r="H161" t="s">
        <v>153</v>
      </c>
      <c r="I161">
        <v>14300</v>
      </c>
      <c r="J161">
        <v>0</v>
      </c>
      <c r="K161" t="s">
        <v>163</v>
      </c>
      <c r="L161">
        <v>400000</v>
      </c>
      <c r="M161">
        <v>51</v>
      </c>
      <c r="N161" t="s">
        <v>169</v>
      </c>
      <c r="O161">
        <v>108750</v>
      </c>
      <c r="P161">
        <v>24.287499999999998</v>
      </c>
      <c r="S161" t="s">
        <v>201</v>
      </c>
      <c r="V161" t="s">
        <v>201</v>
      </c>
      <c r="Y161" t="s">
        <v>201</v>
      </c>
    </row>
    <row r="162" spans="1:25" x14ac:dyDescent="0.25">
      <c r="A162">
        <v>159</v>
      </c>
      <c r="B162" t="s">
        <v>204</v>
      </c>
      <c r="C162">
        <v>41</v>
      </c>
      <c r="D162">
        <v>319.94474743914066</v>
      </c>
      <c r="E162">
        <v>124.16013768506612</v>
      </c>
      <c r="F162">
        <v>195.78460975407455</v>
      </c>
      <c r="G162">
        <v>482260</v>
      </c>
      <c r="H162" t="s">
        <v>153</v>
      </c>
      <c r="I162">
        <v>14300</v>
      </c>
      <c r="J162">
        <v>0</v>
      </c>
      <c r="K162" t="s">
        <v>163</v>
      </c>
      <c r="L162">
        <v>400000</v>
      </c>
      <c r="M162">
        <v>51</v>
      </c>
      <c r="N162" t="s">
        <v>159</v>
      </c>
      <c r="O162">
        <v>64000</v>
      </c>
      <c r="P162">
        <v>9.9071999999999996</v>
      </c>
      <c r="Q162" t="s">
        <v>155</v>
      </c>
      <c r="R162">
        <v>3210</v>
      </c>
      <c r="S162">
        <v>1.747625</v>
      </c>
      <c r="T162" t="s">
        <v>149</v>
      </c>
      <c r="U162">
        <v>750</v>
      </c>
      <c r="V162">
        <v>0</v>
      </c>
      <c r="Y162" t="s">
        <v>201</v>
      </c>
    </row>
    <row r="163" spans="1:25" x14ac:dyDescent="0.25">
      <c r="A163">
        <v>160</v>
      </c>
      <c r="B163" t="s">
        <v>204</v>
      </c>
      <c r="C163">
        <v>41</v>
      </c>
      <c r="D163">
        <v>303.57229540504096</v>
      </c>
      <c r="E163">
        <v>119.44059226221346</v>
      </c>
      <c r="F163">
        <v>184.13170314282749</v>
      </c>
      <c r="G163">
        <v>482050</v>
      </c>
      <c r="H163" t="s">
        <v>153</v>
      </c>
      <c r="I163">
        <v>14300</v>
      </c>
      <c r="J163">
        <v>0</v>
      </c>
      <c r="K163" t="s">
        <v>163</v>
      </c>
      <c r="L163">
        <v>400000</v>
      </c>
      <c r="M163">
        <v>51</v>
      </c>
      <c r="N163" t="s">
        <v>159</v>
      </c>
      <c r="O163">
        <v>64000</v>
      </c>
      <c r="P163">
        <v>9.9071999999999996</v>
      </c>
      <c r="Q163" t="s">
        <v>169</v>
      </c>
      <c r="R163">
        <v>3750</v>
      </c>
      <c r="S163">
        <v>0.83750000000000002</v>
      </c>
      <c r="V163" t="s">
        <v>201</v>
      </c>
      <c r="Y163" t="s">
        <v>201</v>
      </c>
    </row>
    <row r="164" spans="1:25" x14ac:dyDescent="0.25">
      <c r="A164">
        <v>161</v>
      </c>
      <c r="B164" t="s">
        <v>204</v>
      </c>
      <c r="C164">
        <v>41</v>
      </c>
      <c r="D164">
        <v>280.34919163100335</v>
      </c>
      <c r="E164">
        <v>100.18395149786019</v>
      </c>
      <c r="F164">
        <v>180.16524013314313</v>
      </c>
      <c r="G164">
        <v>525750</v>
      </c>
      <c r="H164" t="s">
        <v>169</v>
      </c>
      <c r="I164">
        <v>125750</v>
      </c>
      <c r="J164">
        <v>28.084166666666665</v>
      </c>
      <c r="K164" t="s">
        <v>163</v>
      </c>
      <c r="L164">
        <v>400000</v>
      </c>
      <c r="M164">
        <v>51</v>
      </c>
      <c r="P164" t="s">
        <v>201</v>
      </c>
      <c r="S164" t="s">
        <v>201</v>
      </c>
      <c r="V164" t="s">
        <v>201</v>
      </c>
      <c r="Y164" t="s">
        <v>201</v>
      </c>
    </row>
    <row r="165" spans="1:25" x14ac:dyDescent="0.25">
      <c r="A165">
        <v>162</v>
      </c>
      <c r="B165" t="s">
        <v>204</v>
      </c>
      <c r="C165">
        <v>41</v>
      </c>
      <c r="D165">
        <v>293.83543446882214</v>
      </c>
      <c r="E165">
        <v>124.39122401847575</v>
      </c>
      <c r="F165">
        <v>169.44421045034639</v>
      </c>
      <c r="G165">
        <v>484960</v>
      </c>
      <c r="H165" t="s">
        <v>169</v>
      </c>
      <c r="I165">
        <v>17000</v>
      </c>
      <c r="J165">
        <v>3.7966666666666664</v>
      </c>
      <c r="K165" t="s">
        <v>163</v>
      </c>
      <c r="L165">
        <v>400000</v>
      </c>
      <c r="M165">
        <v>51</v>
      </c>
      <c r="N165" t="s">
        <v>159</v>
      </c>
      <c r="O165">
        <v>64000</v>
      </c>
      <c r="P165">
        <v>9.9071999999999996</v>
      </c>
      <c r="Q165" t="s">
        <v>155</v>
      </c>
      <c r="R165">
        <v>3210</v>
      </c>
      <c r="S165">
        <v>1.747625</v>
      </c>
      <c r="T165" t="s">
        <v>149</v>
      </c>
      <c r="U165">
        <v>750</v>
      </c>
      <c r="V165">
        <v>0</v>
      </c>
      <c r="Y165" t="s">
        <v>201</v>
      </c>
    </row>
    <row r="166" spans="1:25" x14ac:dyDescent="0.25">
      <c r="A166">
        <v>163</v>
      </c>
      <c r="B166" t="s">
        <v>204</v>
      </c>
      <c r="C166">
        <v>41</v>
      </c>
      <c r="D166">
        <v>277.30515729757605</v>
      </c>
      <c r="E166">
        <v>119.66144920061886</v>
      </c>
      <c r="F166">
        <v>157.64370809695717</v>
      </c>
      <c r="G166">
        <v>484750</v>
      </c>
      <c r="H166" t="s">
        <v>169</v>
      </c>
      <c r="I166">
        <v>20750</v>
      </c>
      <c r="J166">
        <v>4.6341666666666663</v>
      </c>
      <c r="K166" t="s">
        <v>163</v>
      </c>
      <c r="L166">
        <v>400000</v>
      </c>
      <c r="M166">
        <v>51</v>
      </c>
      <c r="N166" t="s">
        <v>159</v>
      </c>
      <c r="O166">
        <v>64000</v>
      </c>
      <c r="P166">
        <v>9.9071999999999996</v>
      </c>
      <c r="S166" t="s">
        <v>201</v>
      </c>
      <c r="V166" t="s">
        <v>201</v>
      </c>
      <c r="Y166" t="s">
        <v>201</v>
      </c>
    </row>
    <row r="167" spans="1:25" x14ac:dyDescent="0.25">
      <c r="A167">
        <v>164</v>
      </c>
      <c r="B167" t="s">
        <v>204</v>
      </c>
      <c r="C167">
        <v>41</v>
      </c>
      <c r="D167">
        <v>284.41656043573994</v>
      </c>
      <c r="E167">
        <v>59.527349634951911</v>
      </c>
      <c r="F167">
        <v>224.88921080078802</v>
      </c>
      <c r="G167">
        <v>431450</v>
      </c>
      <c r="H167" t="s">
        <v>154</v>
      </c>
      <c r="I167">
        <v>2700</v>
      </c>
      <c r="J167">
        <v>4.725E-3</v>
      </c>
      <c r="K167" t="s">
        <v>160</v>
      </c>
      <c r="L167">
        <v>425000</v>
      </c>
      <c r="M167">
        <v>65.789999999999992</v>
      </c>
      <c r="N167" t="s">
        <v>169</v>
      </c>
      <c r="O167">
        <v>3750</v>
      </c>
      <c r="P167">
        <v>0.83750000000000002</v>
      </c>
      <c r="S167" t="s">
        <v>201</v>
      </c>
    </row>
    <row r="168" spans="1:25" x14ac:dyDescent="0.25">
      <c r="A168">
        <v>165</v>
      </c>
      <c r="B168" t="s">
        <v>204</v>
      </c>
      <c r="C168">
        <v>41</v>
      </c>
      <c r="D168">
        <v>281.95921741979095</v>
      </c>
      <c r="E168">
        <v>125.36412144258163</v>
      </c>
      <c r="F168">
        <v>156.5950959772093</v>
      </c>
      <c r="G168">
        <v>482302</v>
      </c>
      <c r="H168" t="s">
        <v>69</v>
      </c>
      <c r="I168">
        <v>14552</v>
      </c>
      <c r="J168">
        <v>4.8062888399713222</v>
      </c>
      <c r="K168" t="s">
        <v>163</v>
      </c>
      <c r="L168">
        <v>400000</v>
      </c>
      <c r="M168">
        <v>51</v>
      </c>
      <c r="N168" t="s">
        <v>159</v>
      </c>
      <c r="O168">
        <v>64000</v>
      </c>
      <c r="P168">
        <v>9.9071999999999996</v>
      </c>
      <c r="Q168" t="s">
        <v>169</v>
      </c>
      <c r="R168">
        <v>3750</v>
      </c>
      <c r="S168">
        <v>0.83750000000000002</v>
      </c>
      <c r="V168" t="s">
        <v>201</v>
      </c>
      <c r="Y168" t="s">
        <v>201</v>
      </c>
    </row>
    <row r="169" spans="1:25" x14ac:dyDescent="0.25">
      <c r="A169">
        <v>166</v>
      </c>
      <c r="B169" t="s">
        <v>204</v>
      </c>
      <c r="C169">
        <v>41</v>
      </c>
      <c r="D169">
        <v>300.72486297403111</v>
      </c>
      <c r="E169">
        <v>64.804169851970258</v>
      </c>
      <c r="F169">
        <v>235.92069312206084</v>
      </c>
      <c r="G169">
        <v>431670</v>
      </c>
      <c r="H169" t="s">
        <v>154</v>
      </c>
      <c r="I169">
        <v>2700</v>
      </c>
      <c r="J169">
        <v>4.725E-3</v>
      </c>
      <c r="K169" t="s">
        <v>160</v>
      </c>
      <c r="L169">
        <v>425000</v>
      </c>
      <c r="M169">
        <v>65.789999999999992</v>
      </c>
      <c r="N169" t="s">
        <v>155</v>
      </c>
      <c r="O169">
        <v>3210</v>
      </c>
      <c r="P169">
        <v>1.747625</v>
      </c>
      <c r="Q169" t="s">
        <v>149</v>
      </c>
      <c r="R169">
        <v>760</v>
      </c>
      <c r="S169">
        <v>0</v>
      </c>
    </row>
    <row r="170" spans="1:25" x14ac:dyDescent="0.25">
      <c r="A170">
        <v>167</v>
      </c>
      <c r="B170" t="s">
        <v>204</v>
      </c>
      <c r="C170">
        <v>41</v>
      </c>
      <c r="D170">
        <v>293.59916201117318</v>
      </c>
      <c r="E170">
        <v>54.064245810055866</v>
      </c>
      <c r="F170">
        <v>239.53491620111731</v>
      </c>
      <c r="G170">
        <v>429600</v>
      </c>
      <c r="H170" t="s">
        <v>149</v>
      </c>
      <c r="I170">
        <v>1600</v>
      </c>
      <c r="J170">
        <v>0</v>
      </c>
      <c r="K170" t="s">
        <v>160</v>
      </c>
      <c r="L170">
        <v>425000</v>
      </c>
      <c r="M170">
        <v>65.789999999999992</v>
      </c>
      <c r="N170" t="s">
        <v>168</v>
      </c>
      <c r="O170">
        <v>3000</v>
      </c>
      <c r="P170">
        <v>3</v>
      </c>
      <c r="S170" t="s">
        <v>201</v>
      </c>
      <c r="V170" t="s">
        <v>201</v>
      </c>
      <c r="Y170" t="s">
        <v>201</v>
      </c>
    </row>
    <row r="171" spans="1:25" x14ac:dyDescent="0.25">
      <c r="A171">
        <v>168</v>
      </c>
      <c r="B171" t="s">
        <v>204</v>
      </c>
      <c r="C171">
        <v>41</v>
      </c>
      <c r="D171">
        <v>287.69549570466683</v>
      </c>
      <c r="E171">
        <v>58.586022753656842</v>
      </c>
      <c r="F171">
        <v>229.10947295100999</v>
      </c>
      <c r="G171">
        <v>430700</v>
      </c>
      <c r="H171" t="s">
        <v>153</v>
      </c>
      <c r="I171">
        <v>2700</v>
      </c>
      <c r="J171">
        <v>0</v>
      </c>
      <c r="K171" t="s">
        <v>160</v>
      </c>
      <c r="L171">
        <v>425000</v>
      </c>
      <c r="M171">
        <v>65.789999999999992</v>
      </c>
      <c r="N171" t="s">
        <v>168</v>
      </c>
      <c r="O171">
        <v>3000</v>
      </c>
      <c r="P171">
        <v>3</v>
      </c>
      <c r="S171" t="s">
        <v>201</v>
      </c>
      <c r="V171" t="s">
        <v>201</v>
      </c>
      <c r="Y171" t="s">
        <v>201</v>
      </c>
    </row>
    <row r="172" spans="1:25" x14ac:dyDescent="0.25">
      <c r="A172">
        <v>169</v>
      </c>
      <c r="B172" t="s">
        <v>204</v>
      </c>
      <c r="C172">
        <v>41</v>
      </c>
      <c r="D172">
        <v>309.65939168794984</v>
      </c>
      <c r="E172">
        <v>56.783375899698164</v>
      </c>
      <c r="F172">
        <v>252.87601578825169</v>
      </c>
      <c r="G172">
        <v>430700</v>
      </c>
      <c r="H172" t="s">
        <v>153</v>
      </c>
      <c r="I172">
        <v>2700</v>
      </c>
      <c r="J172">
        <v>0</v>
      </c>
      <c r="K172" t="s">
        <v>160</v>
      </c>
      <c r="L172">
        <v>425000</v>
      </c>
      <c r="M172">
        <v>65.789999999999992</v>
      </c>
      <c r="N172" t="s">
        <v>149</v>
      </c>
      <c r="O172">
        <v>3000</v>
      </c>
      <c r="P172">
        <v>0</v>
      </c>
      <c r="S172" t="s">
        <v>201</v>
      </c>
      <c r="V172" t="s">
        <v>201</v>
      </c>
      <c r="Y172" t="s">
        <v>201</v>
      </c>
    </row>
    <row r="173" spans="1:25" x14ac:dyDescent="0.25">
      <c r="A173">
        <v>170</v>
      </c>
      <c r="B173" t="s">
        <v>204</v>
      </c>
      <c r="C173">
        <v>41</v>
      </c>
      <c r="D173">
        <v>357.3584922496666</v>
      </c>
      <c r="E173">
        <v>0</v>
      </c>
      <c r="F173">
        <v>357.3584922496666</v>
      </c>
      <c r="G173">
        <v>434820</v>
      </c>
      <c r="H173" t="s">
        <v>149</v>
      </c>
      <c r="I173">
        <v>400</v>
      </c>
      <c r="J173">
        <v>0</v>
      </c>
      <c r="K173" t="s">
        <v>69</v>
      </c>
      <c r="L173">
        <v>434420</v>
      </c>
      <c r="M173">
        <v>143.48185801679094</v>
      </c>
      <c r="P173" t="s">
        <v>201</v>
      </c>
      <c r="S173" t="s">
        <v>201</v>
      </c>
      <c r="V173" t="s">
        <v>201</v>
      </c>
      <c r="Y173" t="s">
        <v>201</v>
      </c>
    </row>
    <row r="174" spans="1:25" x14ac:dyDescent="0.25">
      <c r="A174">
        <v>171</v>
      </c>
      <c r="B174" t="s">
        <v>204</v>
      </c>
      <c r="C174">
        <v>41</v>
      </c>
      <c r="D174">
        <v>306.83701293531419</v>
      </c>
      <c r="E174">
        <v>60.310125835217661</v>
      </c>
      <c r="F174">
        <v>246.52688710009653</v>
      </c>
      <c r="G174">
        <v>432073</v>
      </c>
      <c r="H174" t="s">
        <v>69</v>
      </c>
      <c r="I174">
        <v>3103</v>
      </c>
      <c r="J174">
        <v>1.0248704144056497</v>
      </c>
      <c r="K174" t="s">
        <v>160</v>
      </c>
      <c r="L174">
        <v>425000</v>
      </c>
      <c r="M174">
        <v>65.789999999999992</v>
      </c>
      <c r="N174" t="s">
        <v>155</v>
      </c>
      <c r="O174">
        <v>3210</v>
      </c>
      <c r="P174">
        <v>1.747625</v>
      </c>
      <c r="Q174" t="s">
        <v>149</v>
      </c>
      <c r="R174">
        <v>760</v>
      </c>
      <c r="S174">
        <v>0</v>
      </c>
      <c r="V174" t="s">
        <v>201</v>
      </c>
      <c r="Y174" t="s">
        <v>201</v>
      </c>
    </row>
    <row r="175" spans="1:25" x14ac:dyDescent="0.25">
      <c r="A175">
        <v>172</v>
      </c>
      <c r="B175" t="s">
        <v>204</v>
      </c>
      <c r="C175">
        <v>41</v>
      </c>
      <c r="D175">
        <v>290.52970540901651</v>
      </c>
      <c r="E175">
        <v>55.023284543583117</v>
      </c>
      <c r="F175">
        <v>235.50642086543337</v>
      </c>
      <c r="G175">
        <v>431853</v>
      </c>
      <c r="H175" t="s">
        <v>69</v>
      </c>
      <c r="I175">
        <v>3103</v>
      </c>
      <c r="J175">
        <v>1.0248704144056497</v>
      </c>
      <c r="K175" t="s">
        <v>160</v>
      </c>
      <c r="L175">
        <v>425000</v>
      </c>
      <c r="M175">
        <v>65.789999999999992</v>
      </c>
      <c r="N175" t="s">
        <v>169</v>
      </c>
      <c r="O175">
        <v>3750</v>
      </c>
      <c r="P175">
        <v>0.83750000000000002</v>
      </c>
      <c r="S175" t="s">
        <v>201</v>
      </c>
      <c r="V175" t="s">
        <v>201</v>
      </c>
      <c r="Y175" t="s">
        <v>201</v>
      </c>
    </row>
    <row r="176" spans="1:25" x14ac:dyDescent="0.25">
      <c r="A176">
        <v>173</v>
      </c>
      <c r="B176" t="s">
        <v>204</v>
      </c>
      <c r="C176">
        <v>41</v>
      </c>
      <c r="D176">
        <v>306.83701293531419</v>
      </c>
      <c r="E176">
        <v>60.310125835217661</v>
      </c>
      <c r="F176">
        <v>246.52688710009653</v>
      </c>
      <c r="G176">
        <v>432073</v>
      </c>
      <c r="H176" t="s">
        <v>69</v>
      </c>
      <c r="I176">
        <v>3103</v>
      </c>
      <c r="J176">
        <v>1.0248704144056497</v>
      </c>
      <c r="K176" t="s">
        <v>160</v>
      </c>
      <c r="L176">
        <v>425000</v>
      </c>
      <c r="M176">
        <v>65.789999999999992</v>
      </c>
      <c r="N176" t="s">
        <v>155</v>
      </c>
      <c r="O176">
        <v>3210</v>
      </c>
      <c r="P176">
        <v>1.747625</v>
      </c>
      <c r="Q176" t="s">
        <v>149</v>
      </c>
      <c r="R176">
        <v>760</v>
      </c>
      <c r="S176">
        <v>0</v>
      </c>
      <c r="V176" t="s">
        <v>201</v>
      </c>
      <c r="Y176" t="s">
        <v>201</v>
      </c>
    </row>
    <row r="177" spans="1:25" x14ac:dyDescent="0.25">
      <c r="A177">
        <v>174</v>
      </c>
      <c r="B177" t="s">
        <v>204</v>
      </c>
      <c r="C177">
        <v>41</v>
      </c>
      <c r="D177">
        <v>290.52970540901651</v>
      </c>
      <c r="E177">
        <v>55.023284543583117</v>
      </c>
      <c r="F177">
        <v>235.50642086543337</v>
      </c>
      <c r="G177">
        <v>431853</v>
      </c>
      <c r="H177" t="s">
        <v>69</v>
      </c>
      <c r="I177">
        <v>3103</v>
      </c>
      <c r="J177">
        <v>1.0248704144056497</v>
      </c>
      <c r="K177" t="s">
        <v>160</v>
      </c>
      <c r="L177">
        <v>425000</v>
      </c>
      <c r="M177">
        <v>65.789999999999992</v>
      </c>
      <c r="N177" t="s">
        <v>169</v>
      </c>
      <c r="O177">
        <v>3750</v>
      </c>
      <c r="P177">
        <v>0.83750000000000002</v>
      </c>
      <c r="S177" t="s">
        <v>201</v>
      </c>
      <c r="V177" t="s">
        <v>201</v>
      </c>
      <c r="Y177" t="s">
        <v>201</v>
      </c>
    </row>
    <row r="178" spans="1:25" x14ac:dyDescent="0.25">
      <c r="A178">
        <v>175</v>
      </c>
      <c r="B178" t="s">
        <v>204</v>
      </c>
      <c r="C178">
        <v>41</v>
      </c>
      <c r="D178">
        <v>292.83907258822137</v>
      </c>
      <c r="E178">
        <v>54.084940257896605</v>
      </c>
      <c r="F178">
        <v>238.75413233032475</v>
      </c>
      <c r="G178">
        <v>431103</v>
      </c>
      <c r="H178" t="s">
        <v>69</v>
      </c>
      <c r="I178">
        <v>3103</v>
      </c>
      <c r="J178">
        <v>1.0248704144056497</v>
      </c>
      <c r="K178" t="s">
        <v>160</v>
      </c>
      <c r="L178">
        <v>425000</v>
      </c>
      <c r="M178">
        <v>65.789999999999992</v>
      </c>
      <c r="N178" t="s">
        <v>168</v>
      </c>
      <c r="O178">
        <v>3000</v>
      </c>
      <c r="P178">
        <v>3</v>
      </c>
      <c r="S178" t="s">
        <v>201</v>
      </c>
      <c r="V178" t="s">
        <v>201</v>
      </c>
      <c r="Y178" t="s">
        <v>201</v>
      </c>
    </row>
    <row r="179" spans="1:25" x14ac:dyDescent="0.25">
      <c r="A179">
        <v>176</v>
      </c>
      <c r="B179" t="s">
        <v>204</v>
      </c>
      <c r="C179">
        <v>41</v>
      </c>
      <c r="D179">
        <v>291.88786090563042</v>
      </c>
      <c r="E179">
        <v>54.084940257896605</v>
      </c>
      <c r="F179">
        <v>237.8029206477338</v>
      </c>
      <c r="G179">
        <v>431103</v>
      </c>
      <c r="H179" t="s">
        <v>69</v>
      </c>
      <c r="I179">
        <v>3103</v>
      </c>
      <c r="J179">
        <v>1.0248704144056497</v>
      </c>
      <c r="K179" t="s">
        <v>160</v>
      </c>
      <c r="L179">
        <v>425000</v>
      </c>
      <c r="M179">
        <v>65.789999999999992</v>
      </c>
      <c r="N179" t="s">
        <v>168</v>
      </c>
      <c r="O179">
        <v>3000</v>
      </c>
      <c r="P179">
        <v>3</v>
      </c>
    </row>
    <row r="180" spans="1:25" x14ac:dyDescent="0.25">
      <c r="A180">
        <v>177</v>
      </c>
      <c r="B180" t="s">
        <v>204</v>
      </c>
      <c r="C180">
        <v>41</v>
      </c>
      <c r="D180">
        <v>303.54573177234261</v>
      </c>
      <c r="E180">
        <v>63.873664077894986</v>
      </c>
      <c r="F180">
        <v>239.67206769444763</v>
      </c>
      <c r="G180">
        <v>431350</v>
      </c>
      <c r="H180" t="s">
        <v>159</v>
      </c>
      <c r="I180">
        <v>1530</v>
      </c>
      <c r="J180">
        <v>0.236844</v>
      </c>
      <c r="K180" t="s">
        <v>149</v>
      </c>
      <c r="L180">
        <v>1610</v>
      </c>
      <c r="M180">
        <v>0</v>
      </c>
      <c r="N180" t="s">
        <v>160</v>
      </c>
      <c r="O180">
        <v>425000</v>
      </c>
      <c r="P180">
        <v>65.789999999999992</v>
      </c>
      <c r="Q180" t="s">
        <v>155</v>
      </c>
      <c r="R180">
        <v>3210</v>
      </c>
      <c r="S180">
        <v>1.747625</v>
      </c>
      <c r="V180" t="s">
        <v>201</v>
      </c>
      <c r="Y180" t="s">
        <v>201</v>
      </c>
    </row>
    <row r="181" spans="1:25" x14ac:dyDescent="0.25">
      <c r="A181">
        <v>178</v>
      </c>
      <c r="B181" t="s">
        <v>204</v>
      </c>
      <c r="C181">
        <v>41</v>
      </c>
      <c r="D181">
        <v>314.81653331106486</v>
      </c>
      <c r="E181">
        <v>52.282108915966724</v>
      </c>
      <c r="F181">
        <v>262.53442439509814</v>
      </c>
      <c r="G181">
        <v>431103</v>
      </c>
      <c r="H181" t="s">
        <v>69</v>
      </c>
      <c r="I181">
        <v>3103</v>
      </c>
      <c r="J181">
        <v>1.0248704144056497</v>
      </c>
      <c r="K181" t="s">
        <v>160</v>
      </c>
      <c r="L181">
        <v>425000</v>
      </c>
      <c r="M181">
        <v>65.789999999999992</v>
      </c>
      <c r="N181" t="s">
        <v>149</v>
      </c>
      <c r="O181">
        <v>3000</v>
      </c>
      <c r="P181">
        <v>0</v>
      </c>
      <c r="S181" t="s">
        <v>201</v>
      </c>
      <c r="V181" t="s">
        <v>201</v>
      </c>
      <c r="Y181" t="s">
        <v>201</v>
      </c>
    </row>
    <row r="182" spans="1:25" x14ac:dyDescent="0.25">
      <c r="A182">
        <v>179</v>
      </c>
      <c r="B182" t="s">
        <v>204</v>
      </c>
      <c r="C182">
        <v>41</v>
      </c>
      <c r="D182">
        <v>289.5663878433013</v>
      </c>
      <c r="E182">
        <v>57.657251731028396</v>
      </c>
      <c r="F182">
        <v>231.90913611227288</v>
      </c>
      <c r="G182">
        <v>430380</v>
      </c>
      <c r="H182" t="s">
        <v>159</v>
      </c>
      <c r="I182">
        <v>1530</v>
      </c>
      <c r="J182">
        <v>0.236844</v>
      </c>
      <c r="K182" t="s">
        <v>149</v>
      </c>
      <c r="L182">
        <v>850</v>
      </c>
      <c r="M182">
        <v>0</v>
      </c>
      <c r="N182" t="s">
        <v>160</v>
      </c>
      <c r="O182">
        <v>425000</v>
      </c>
      <c r="P182">
        <v>65.789999999999992</v>
      </c>
      <c r="Q182" t="s">
        <v>168</v>
      </c>
      <c r="R182">
        <v>3000</v>
      </c>
      <c r="S182">
        <v>3</v>
      </c>
      <c r="V182" t="s">
        <v>201</v>
      </c>
      <c r="Y182" t="s">
        <v>201</v>
      </c>
    </row>
    <row r="183" spans="1:25" x14ac:dyDescent="0.25">
      <c r="A183">
        <v>180</v>
      </c>
      <c r="B183" t="s">
        <v>204</v>
      </c>
      <c r="C183">
        <v>41</v>
      </c>
      <c r="D183">
        <v>288.61594056415265</v>
      </c>
      <c r="E183">
        <v>57.657251731028396</v>
      </c>
      <c r="F183">
        <v>230.95868883312423</v>
      </c>
      <c r="G183">
        <v>430380</v>
      </c>
      <c r="H183" t="s">
        <v>159</v>
      </c>
      <c r="I183">
        <v>1530</v>
      </c>
      <c r="J183">
        <v>0.236844</v>
      </c>
      <c r="K183" t="s">
        <v>149</v>
      </c>
      <c r="L183">
        <v>850</v>
      </c>
      <c r="M183">
        <v>0</v>
      </c>
      <c r="N183" t="s">
        <v>160</v>
      </c>
      <c r="O183">
        <v>425000</v>
      </c>
      <c r="P183">
        <v>65.789999999999992</v>
      </c>
      <c r="Q183" t="s">
        <v>168</v>
      </c>
      <c r="R183">
        <v>3000</v>
      </c>
      <c r="S183">
        <v>3</v>
      </c>
    </row>
    <row r="184" spans="1:25" x14ac:dyDescent="0.25">
      <c r="A184">
        <v>181</v>
      </c>
      <c r="B184" t="s">
        <v>204</v>
      </c>
      <c r="C184">
        <v>41</v>
      </c>
      <c r="D184">
        <v>311.52578070542313</v>
      </c>
      <c r="E184">
        <v>55.855462614433762</v>
      </c>
      <c r="F184">
        <v>255.67031809098935</v>
      </c>
      <c r="G184">
        <v>430380</v>
      </c>
      <c r="H184" t="s">
        <v>159</v>
      </c>
      <c r="I184">
        <v>1530</v>
      </c>
      <c r="J184">
        <v>0.236844</v>
      </c>
      <c r="K184" t="s">
        <v>149</v>
      </c>
      <c r="L184">
        <v>3850</v>
      </c>
      <c r="M184">
        <v>0</v>
      </c>
      <c r="N184" t="s">
        <v>160</v>
      </c>
      <c r="O184">
        <v>425000</v>
      </c>
      <c r="P184">
        <v>65.789999999999992</v>
      </c>
      <c r="S184" t="s">
        <v>201</v>
      </c>
      <c r="V184" t="s">
        <v>201</v>
      </c>
      <c r="Y184" t="s">
        <v>201</v>
      </c>
    </row>
    <row r="185" spans="1:25" x14ac:dyDescent="0.25">
      <c r="A185">
        <v>182</v>
      </c>
      <c r="B185" t="s">
        <v>204</v>
      </c>
      <c r="C185">
        <v>41</v>
      </c>
      <c r="D185">
        <v>307.59063102399148</v>
      </c>
      <c r="E185">
        <v>60.286773346958682</v>
      </c>
      <c r="F185">
        <v>247.30385767703277</v>
      </c>
      <c r="G185">
        <v>430570</v>
      </c>
      <c r="H185" t="s">
        <v>149</v>
      </c>
      <c r="I185">
        <v>2360</v>
      </c>
      <c r="J185">
        <v>0</v>
      </c>
      <c r="K185" t="s">
        <v>160</v>
      </c>
      <c r="L185">
        <v>425000</v>
      </c>
      <c r="M185">
        <v>65.789999999999992</v>
      </c>
      <c r="N185" t="s">
        <v>155</v>
      </c>
      <c r="O185">
        <v>3210</v>
      </c>
      <c r="P185">
        <v>1.747625</v>
      </c>
      <c r="S185" t="s">
        <v>201</v>
      </c>
      <c r="V185" t="s">
        <v>201</v>
      </c>
      <c r="Y185" t="s">
        <v>201</v>
      </c>
    </row>
    <row r="186" spans="1:25" x14ac:dyDescent="0.25">
      <c r="A186">
        <v>183</v>
      </c>
      <c r="B186" t="s">
        <v>204</v>
      </c>
      <c r="C186">
        <v>41</v>
      </c>
      <c r="D186">
        <v>291.29682235389799</v>
      </c>
      <c r="E186">
        <v>55.00241082839549</v>
      </c>
      <c r="F186">
        <v>236.29441152550248</v>
      </c>
      <c r="G186">
        <v>430350</v>
      </c>
      <c r="H186" t="s">
        <v>149</v>
      </c>
      <c r="I186">
        <v>1600</v>
      </c>
      <c r="J186">
        <v>0</v>
      </c>
      <c r="K186" t="s">
        <v>160</v>
      </c>
      <c r="L186">
        <v>425000</v>
      </c>
      <c r="M186">
        <v>65.789999999999992</v>
      </c>
      <c r="N186" t="s">
        <v>169</v>
      </c>
      <c r="O186">
        <v>3750</v>
      </c>
      <c r="P186">
        <v>0.83750000000000002</v>
      </c>
      <c r="S186" t="s">
        <v>201</v>
      </c>
      <c r="V186" t="s">
        <v>201</v>
      </c>
      <c r="Y186" t="s">
        <v>201</v>
      </c>
    </row>
    <row r="187" spans="1:25" x14ac:dyDescent="0.25">
      <c r="A187">
        <v>184</v>
      </c>
      <c r="B187" t="s">
        <v>204</v>
      </c>
      <c r="C187">
        <v>41</v>
      </c>
      <c r="D187">
        <v>292.64862662942267</v>
      </c>
      <c r="E187">
        <v>54.064245810055866</v>
      </c>
      <c r="F187">
        <v>238.58438081936683</v>
      </c>
      <c r="G187">
        <v>429600</v>
      </c>
      <c r="H187" t="s">
        <v>149</v>
      </c>
      <c r="I187">
        <v>1600</v>
      </c>
      <c r="J187">
        <v>0</v>
      </c>
      <c r="K187" t="s">
        <v>160</v>
      </c>
      <c r="L187">
        <v>425000</v>
      </c>
      <c r="M187">
        <v>65.789999999999992</v>
      </c>
      <c r="N187" t="s">
        <v>168</v>
      </c>
      <c r="O187">
        <v>3000</v>
      </c>
      <c r="P187">
        <v>3</v>
      </c>
    </row>
    <row r="188" spans="1:25" x14ac:dyDescent="0.25">
      <c r="A188">
        <v>185</v>
      </c>
      <c r="B188" t="s">
        <v>204</v>
      </c>
      <c r="C188">
        <v>41</v>
      </c>
      <c r="D188">
        <v>315.56040502793292</v>
      </c>
      <c r="E188">
        <v>52.262104283054001</v>
      </c>
      <c r="F188">
        <v>263.29830074487893</v>
      </c>
      <c r="G188">
        <v>429600</v>
      </c>
      <c r="H188" t="s">
        <v>149</v>
      </c>
      <c r="I188">
        <v>4600</v>
      </c>
      <c r="J188">
        <v>0</v>
      </c>
      <c r="K188" t="s">
        <v>160</v>
      </c>
      <c r="L188">
        <v>425000</v>
      </c>
      <c r="M188">
        <v>65.789999999999992</v>
      </c>
      <c r="P188" t="s">
        <v>201</v>
      </c>
      <c r="S188" t="s">
        <v>201</v>
      </c>
      <c r="V188" t="s">
        <v>201</v>
      </c>
      <c r="Y188" t="s">
        <v>201</v>
      </c>
    </row>
    <row r="189" spans="1:25" x14ac:dyDescent="0.25">
      <c r="A189">
        <v>186</v>
      </c>
      <c r="B189" t="s">
        <v>204</v>
      </c>
      <c r="C189">
        <v>41</v>
      </c>
      <c r="D189">
        <v>285.369480820489</v>
      </c>
      <c r="E189">
        <v>59.527349634951911</v>
      </c>
      <c r="F189">
        <v>225.84213118553711</v>
      </c>
      <c r="G189">
        <v>431450</v>
      </c>
      <c r="H189" t="s">
        <v>153</v>
      </c>
      <c r="I189">
        <v>2700</v>
      </c>
      <c r="J189">
        <v>0</v>
      </c>
      <c r="K189" t="s">
        <v>160</v>
      </c>
      <c r="L189">
        <v>425000</v>
      </c>
      <c r="M189">
        <v>65.789999999999992</v>
      </c>
      <c r="N189" t="s">
        <v>169</v>
      </c>
      <c r="O189">
        <v>3750</v>
      </c>
      <c r="P189">
        <v>0.83750000000000002</v>
      </c>
      <c r="S189" t="s">
        <v>201</v>
      </c>
      <c r="V189" t="s">
        <v>201</v>
      </c>
      <c r="Y189" t="s">
        <v>201</v>
      </c>
    </row>
    <row r="190" spans="1:25" x14ac:dyDescent="0.25">
      <c r="A190">
        <v>187</v>
      </c>
      <c r="B190" t="s">
        <v>204</v>
      </c>
      <c r="C190">
        <v>41</v>
      </c>
      <c r="D190">
        <v>287.24754134483794</v>
      </c>
      <c r="E190">
        <v>58.597621367105049</v>
      </c>
      <c r="F190">
        <v>228.64991997773291</v>
      </c>
      <c r="G190">
        <v>431130</v>
      </c>
      <c r="H190" t="s">
        <v>159</v>
      </c>
      <c r="I190">
        <v>1530</v>
      </c>
      <c r="J190">
        <v>0.236844</v>
      </c>
      <c r="K190" t="s">
        <v>149</v>
      </c>
      <c r="L190">
        <v>850</v>
      </c>
      <c r="M190">
        <v>0</v>
      </c>
      <c r="N190" t="s">
        <v>160</v>
      </c>
      <c r="O190">
        <v>425000</v>
      </c>
      <c r="P190">
        <v>65.789999999999992</v>
      </c>
      <c r="Q190" t="s">
        <v>169</v>
      </c>
      <c r="R190">
        <v>3750</v>
      </c>
      <c r="S190">
        <v>0.83750000000000002</v>
      </c>
      <c r="V190" t="s">
        <v>201</v>
      </c>
      <c r="Y190" t="s">
        <v>201</v>
      </c>
    </row>
    <row r="191" spans="1:25" x14ac:dyDescent="0.25">
      <c r="A191">
        <v>188</v>
      </c>
      <c r="B191" t="s">
        <v>204</v>
      </c>
      <c r="C191">
        <v>42</v>
      </c>
      <c r="D191">
        <v>361.22057883419541</v>
      </c>
      <c r="E191">
        <v>14.402487359795431</v>
      </c>
      <c r="F191">
        <v>346.81809147439998</v>
      </c>
      <c r="G191">
        <v>688280</v>
      </c>
      <c r="H191" t="s">
        <v>69</v>
      </c>
      <c r="I191">
        <v>1070</v>
      </c>
      <c r="J191">
        <v>0.35340359117436193</v>
      </c>
      <c r="K191" t="s">
        <v>160</v>
      </c>
      <c r="L191">
        <v>687210</v>
      </c>
      <c r="M191">
        <v>106.38010800000001</v>
      </c>
    </row>
    <row r="192" spans="1:25" x14ac:dyDescent="0.25">
      <c r="A192">
        <v>189</v>
      </c>
      <c r="B192" t="s">
        <v>204</v>
      </c>
      <c r="C192">
        <v>42</v>
      </c>
      <c r="D192">
        <v>458.38544453541169</v>
      </c>
      <c r="E192">
        <v>156.94548467722447</v>
      </c>
      <c r="F192">
        <v>301.43995985818725</v>
      </c>
      <c r="G192">
        <v>554534</v>
      </c>
      <c r="H192" t="s">
        <v>149</v>
      </c>
      <c r="I192">
        <v>3050</v>
      </c>
      <c r="J192">
        <v>0</v>
      </c>
      <c r="K192" t="s">
        <v>160</v>
      </c>
      <c r="L192">
        <v>4624</v>
      </c>
      <c r="M192">
        <v>0.71579519999999996</v>
      </c>
      <c r="N192" t="s">
        <v>159</v>
      </c>
      <c r="O192">
        <v>58470</v>
      </c>
      <c r="P192">
        <v>9.0511559999999989</v>
      </c>
      <c r="Q192" t="s">
        <v>163</v>
      </c>
      <c r="R192">
        <v>484110</v>
      </c>
      <c r="S192">
        <v>51</v>
      </c>
      <c r="T192" t="s">
        <v>155</v>
      </c>
      <c r="U192">
        <v>4280</v>
      </c>
      <c r="V192">
        <v>1.747625</v>
      </c>
    </row>
    <row r="193" spans="1:25" x14ac:dyDescent="0.25">
      <c r="A193">
        <v>190</v>
      </c>
      <c r="B193" t="s">
        <v>204</v>
      </c>
      <c r="C193">
        <v>42</v>
      </c>
      <c r="D193">
        <v>422.27167168085128</v>
      </c>
      <c r="E193">
        <v>137.71232394887011</v>
      </c>
      <c r="F193">
        <v>284.55934773198118</v>
      </c>
      <c r="G193">
        <v>507061.5</v>
      </c>
      <c r="H193" t="s">
        <v>149</v>
      </c>
      <c r="I193">
        <v>2200</v>
      </c>
      <c r="J193">
        <v>0</v>
      </c>
      <c r="K193" t="s">
        <v>160</v>
      </c>
      <c r="L193">
        <v>4624</v>
      </c>
      <c r="M193">
        <v>0.71579519999999996</v>
      </c>
      <c r="N193" t="s">
        <v>159</v>
      </c>
      <c r="O193">
        <v>9340</v>
      </c>
      <c r="P193">
        <v>1.445832</v>
      </c>
      <c r="Q193" t="s">
        <v>163</v>
      </c>
      <c r="R193">
        <v>484110</v>
      </c>
      <c r="S193">
        <v>51</v>
      </c>
      <c r="T193" t="s">
        <v>169</v>
      </c>
      <c r="U193">
        <v>6787.5</v>
      </c>
      <c r="V193">
        <v>1.5157633333333334</v>
      </c>
    </row>
    <row r="194" spans="1:25" x14ac:dyDescent="0.25">
      <c r="A194">
        <v>191</v>
      </c>
      <c r="B194" t="s">
        <v>204</v>
      </c>
      <c r="C194">
        <v>42</v>
      </c>
      <c r="D194">
        <v>317.9827252196996</v>
      </c>
      <c r="E194">
        <v>20.779181219440087</v>
      </c>
      <c r="F194">
        <v>297.20354400025951</v>
      </c>
      <c r="G194">
        <v>548635.4</v>
      </c>
      <c r="H194" t="s">
        <v>149</v>
      </c>
      <c r="I194">
        <v>1250</v>
      </c>
      <c r="J194">
        <v>0</v>
      </c>
      <c r="K194" t="s">
        <v>69</v>
      </c>
      <c r="L194">
        <v>9865.4000000000015</v>
      </c>
      <c r="M194">
        <v>3.2582489971355892</v>
      </c>
      <c r="N194" t="s">
        <v>163</v>
      </c>
      <c r="O194">
        <v>484110</v>
      </c>
      <c r="P194">
        <v>51</v>
      </c>
      <c r="Q194" t="s">
        <v>159</v>
      </c>
      <c r="R194">
        <v>49130</v>
      </c>
      <c r="S194">
        <v>7.6053240000000004</v>
      </c>
      <c r="T194" t="s">
        <v>155</v>
      </c>
      <c r="U194">
        <v>4280</v>
      </c>
      <c r="V194">
        <v>1.747625</v>
      </c>
    </row>
    <row r="195" spans="1:25" x14ac:dyDescent="0.25">
      <c r="A195">
        <v>192</v>
      </c>
      <c r="B195" t="s">
        <v>204</v>
      </c>
      <c r="C195">
        <v>42</v>
      </c>
      <c r="D195">
        <v>280.32910753569342</v>
      </c>
      <c r="E195">
        <v>0</v>
      </c>
      <c r="F195">
        <v>280.32910753569342</v>
      </c>
      <c r="G195">
        <v>501162.9</v>
      </c>
      <c r="H195" t="s">
        <v>149</v>
      </c>
      <c r="I195">
        <v>400</v>
      </c>
      <c r="J195">
        <v>0</v>
      </c>
      <c r="K195" t="s">
        <v>69</v>
      </c>
      <c r="L195">
        <v>9865.4000000000015</v>
      </c>
      <c r="M195">
        <v>3.2582489971355892</v>
      </c>
      <c r="N195" t="s">
        <v>163</v>
      </c>
      <c r="O195">
        <v>484110</v>
      </c>
      <c r="P195">
        <v>51</v>
      </c>
      <c r="Q195" t="s">
        <v>169</v>
      </c>
      <c r="R195">
        <v>6787.5</v>
      </c>
      <c r="S195">
        <v>1.5157633333333334</v>
      </c>
    </row>
    <row r="196" spans="1:25" x14ac:dyDescent="0.25">
      <c r="A196">
        <v>193</v>
      </c>
      <c r="B196" t="s">
        <v>204</v>
      </c>
      <c r="C196">
        <v>42</v>
      </c>
      <c r="D196">
        <v>372.22334431630964</v>
      </c>
      <c r="E196">
        <v>32.434440301742825</v>
      </c>
      <c r="F196">
        <v>339.78890401456681</v>
      </c>
      <c r="G196">
        <v>691980</v>
      </c>
      <c r="H196" t="s">
        <v>69</v>
      </c>
      <c r="I196">
        <v>1070</v>
      </c>
      <c r="J196">
        <v>0.35340359117436193</v>
      </c>
      <c r="K196" t="s">
        <v>160</v>
      </c>
      <c r="L196">
        <v>687210</v>
      </c>
      <c r="M196">
        <v>106.38010800000001</v>
      </c>
      <c r="N196" t="s">
        <v>169</v>
      </c>
      <c r="O196">
        <v>3700</v>
      </c>
      <c r="P196">
        <v>0.82633333333333336</v>
      </c>
    </row>
    <row r="197" spans="1:25" x14ac:dyDescent="0.25">
      <c r="A197">
        <v>194</v>
      </c>
      <c r="B197" t="s">
        <v>204</v>
      </c>
      <c r="C197">
        <v>42</v>
      </c>
      <c r="D197">
        <v>380.87553915823889</v>
      </c>
      <c r="E197">
        <v>14.818189446879927</v>
      </c>
      <c r="F197">
        <v>366.05734971135894</v>
      </c>
      <c r="G197">
        <v>691170</v>
      </c>
      <c r="H197" t="s">
        <v>149</v>
      </c>
      <c r="I197">
        <v>1000</v>
      </c>
      <c r="J197">
        <v>0</v>
      </c>
      <c r="K197" t="s">
        <v>160</v>
      </c>
      <c r="L197">
        <v>687210</v>
      </c>
      <c r="M197">
        <v>106.38010800000001</v>
      </c>
      <c r="N197" t="s">
        <v>149</v>
      </c>
      <c r="O197">
        <v>1161</v>
      </c>
      <c r="P197">
        <v>0</v>
      </c>
      <c r="Q197" t="s">
        <v>159</v>
      </c>
      <c r="R197">
        <v>17960</v>
      </c>
      <c r="S197">
        <v>2.780208</v>
      </c>
      <c r="T197" t="s">
        <v>155</v>
      </c>
      <c r="U197">
        <v>4130</v>
      </c>
      <c r="V197">
        <v>1.747625</v>
      </c>
    </row>
    <row r="198" spans="1:25" x14ac:dyDescent="0.25">
      <c r="A198">
        <v>195</v>
      </c>
      <c r="B198" t="s">
        <v>204</v>
      </c>
      <c r="C198">
        <v>42</v>
      </c>
      <c r="D198">
        <v>358.92204621988407</v>
      </c>
      <c r="E198">
        <v>14.415146478588257</v>
      </c>
      <c r="F198">
        <v>344.5068997412958</v>
      </c>
      <c r="G198">
        <v>691910</v>
      </c>
      <c r="H198" t="s">
        <v>154</v>
      </c>
      <c r="I198">
        <v>1000</v>
      </c>
      <c r="J198">
        <v>1.75E-3</v>
      </c>
      <c r="K198" t="s">
        <v>160</v>
      </c>
      <c r="L198">
        <v>687210</v>
      </c>
      <c r="M198">
        <v>106.38010800000001</v>
      </c>
      <c r="N198" t="s">
        <v>169</v>
      </c>
      <c r="O198">
        <v>3700</v>
      </c>
      <c r="P198">
        <v>0.82633333333333336</v>
      </c>
    </row>
    <row r="199" spans="1:25" x14ac:dyDescent="0.25">
      <c r="A199">
        <v>196</v>
      </c>
      <c r="B199" t="s">
        <v>204</v>
      </c>
      <c r="C199">
        <v>42</v>
      </c>
      <c r="D199">
        <v>373.04543542109752</v>
      </c>
      <c r="E199">
        <v>14.818189446879927</v>
      </c>
      <c r="F199">
        <v>358.22724597421757</v>
      </c>
      <c r="G199">
        <v>691170</v>
      </c>
      <c r="H199" t="s">
        <v>153</v>
      </c>
      <c r="I199">
        <v>1000</v>
      </c>
      <c r="J199">
        <v>0</v>
      </c>
      <c r="K199" t="s">
        <v>160</v>
      </c>
      <c r="L199">
        <v>687210</v>
      </c>
      <c r="M199">
        <v>106.38010800000001</v>
      </c>
      <c r="N199" t="s">
        <v>149</v>
      </c>
      <c r="O199">
        <v>1161</v>
      </c>
      <c r="P199">
        <v>0</v>
      </c>
      <c r="Q199" t="s">
        <v>159</v>
      </c>
      <c r="R199">
        <v>17960</v>
      </c>
      <c r="S199">
        <v>2.780208</v>
      </c>
      <c r="T199" t="s">
        <v>155</v>
      </c>
      <c r="U199">
        <v>4130</v>
      </c>
      <c r="V199">
        <v>1.747625</v>
      </c>
    </row>
    <row r="200" spans="1:25" x14ac:dyDescent="0.25">
      <c r="A200">
        <v>197</v>
      </c>
      <c r="B200" t="s">
        <v>204</v>
      </c>
      <c r="C200">
        <v>42</v>
      </c>
      <c r="D200">
        <v>373.13427324362993</v>
      </c>
      <c r="E200">
        <v>32.434079576823578</v>
      </c>
      <c r="F200">
        <v>340.70019366680634</v>
      </c>
      <c r="G200">
        <v>691910</v>
      </c>
      <c r="H200" t="s">
        <v>153</v>
      </c>
      <c r="I200">
        <v>1000</v>
      </c>
      <c r="J200">
        <v>0</v>
      </c>
      <c r="K200" t="s">
        <v>160</v>
      </c>
      <c r="L200">
        <v>687210</v>
      </c>
      <c r="M200">
        <v>106.38010800000001</v>
      </c>
      <c r="N200" t="s">
        <v>169</v>
      </c>
      <c r="O200">
        <v>3700</v>
      </c>
      <c r="P200">
        <v>0.82633333333333336</v>
      </c>
    </row>
    <row r="201" spans="1:25" x14ac:dyDescent="0.25">
      <c r="A201">
        <v>198</v>
      </c>
      <c r="B201" t="s">
        <v>204</v>
      </c>
      <c r="C201">
        <v>42</v>
      </c>
      <c r="D201">
        <v>380.78328627225784</v>
      </c>
      <c r="E201">
        <v>32.440053039299002</v>
      </c>
      <c r="F201">
        <v>348.34323323295882</v>
      </c>
      <c r="G201">
        <v>693071</v>
      </c>
      <c r="H201" t="s">
        <v>149</v>
      </c>
      <c r="I201">
        <v>2161</v>
      </c>
      <c r="J201">
        <v>0</v>
      </c>
      <c r="K201" t="s">
        <v>160</v>
      </c>
      <c r="L201">
        <v>687210</v>
      </c>
      <c r="M201">
        <v>106.38010800000001</v>
      </c>
      <c r="N201" t="s">
        <v>169</v>
      </c>
      <c r="O201">
        <v>3700</v>
      </c>
      <c r="P201">
        <v>0.82633333333333336</v>
      </c>
    </row>
    <row r="202" spans="1:25" x14ac:dyDescent="0.25">
      <c r="A202">
        <v>199</v>
      </c>
      <c r="B202" t="s">
        <v>204</v>
      </c>
      <c r="C202">
        <v>42</v>
      </c>
      <c r="D202">
        <v>501.40164422768026</v>
      </c>
      <c r="E202">
        <v>0</v>
      </c>
      <c r="F202">
        <v>501.40164422768026</v>
      </c>
      <c r="G202">
        <v>684820</v>
      </c>
      <c r="H202" t="s">
        <v>149</v>
      </c>
      <c r="I202">
        <v>400</v>
      </c>
      <c r="J202">
        <v>0</v>
      </c>
      <c r="K202" t="s">
        <v>69</v>
      </c>
      <c r="L202">
        <v>662330</v>
      </c>
      <c r="M202">
        <v>218.75682293693004</v>
      </c>
      <c r="N202" t="s">
        <v>159</v>
      </c>
      <c r="O202">
        <v>17960</v>
      </c>
      <c r="P202">
        <v>2.780208</v>
      </c>
      <c r="Q202" t="s">
        <v>155</v>
      </c>
      <c r="R202">
        <v>4130</v>
      </c>
      <c r="S202">
        <v>1.747625</v>
      </c>
    </row>
    <row r="203" spans="1:25" x14ac:dyDescent="0.25">
      <c r="A203">
        <v>200</v>
      </c>
      <c r="B203" t="s">
        <v>204</v>
      </c>
      <c r="C203">
        <v>42</v>
      </c>
      <c r="D203">
        <v>369.13038355252684</v>
      </c>
      <c r="E203">
        <v>14.818189446879927</v>
      </c>
      <c r="F203">
        <v>354.31219410564688</v>
      </c>
      <c r="G203">
        <v>691170</v>
      </c>
      <c r="H203" t="s">
        <v>154</v>
      </c>
      <c r="I203">
        <v>1000</v>
      </c>
      <c r="J203">
        <v>1.75E-3</v>
      </c>
      <c r="K203" t="s">
        <v>160</v>
      </c>
      <c r="L203">
        <v>687210</v>
      </c>
      <c r="M203">
        <v>106.38010800000001</v>
      </c>
      <c r="N203" t="s">
        <v>149</v>
      </c>
      <c r="O203">
        <v>1161</v>
      </c>
      <c r="P203">
        <v>0</v>
      </c>
      <c r="Q203" t="s">
        <v>159</v>
      </c>
      <c r="R203">
        <v>17960</v>
      </c>
      <c r="S203">
        <v>2.780208</v>
      </c>
      <c r="T203" t="s">
        <v>155</v>
      </c>
      <c r="U203">
        <v>4130</v>
      </c>
      <c r="V203">
        <v>1.747625</v>
      </c>
    </row>
    <row r="204" spans="1:25" x14ac:dyDescent="0.25">
      <c r="A204">
        <v>201</v>
      </c>
      <c r="B204" t="s">
        <v>204</v>
      </c>
      <c r="C204">
        <v>43</v>
      </c>
      <c r="D204">
        <v>445.03468597845864</v>
      </c>
      <c r="E204">
        <v>133.22749717208478</v>
      </c>
      <c r="F204">
        <v>311.80718880637386</v>
      </c>
      <c r="G204">
        <v>406660</v>
      </c>
      <c r="H204" t="s">
        <v>149</v>
      </c>
      <c r="I204">
        <v>2330</v>
      </c>
      <c r="J204">
        <v>0</v>
      </c>
      <c r="K204" t="s">
        <v>159</v>
      </c>
      <c r="L204">
        <v>74770</v>
      </c>
      <c r="M204">
        <v>11.574395999999998</v>
      </c>
      <c r="N204" t="s">
        <v>155</v>
      </c>
      <c r="O204">
        <v>3460</v>
      </c>
      <c r="P204">
        <v>1.747625</v>
      </c>
      <c r="Q204" t="s">
        <v>163</v>
      </c>
      <c r="R204">
        <v>308580</v>
      </c>
      <c r="S204">
        <v>51</v>
      </c>
      <c r="T204" t="s">
        <v>156</v>
      </c>
      <c r="U204">
        <v>4750</v>
      </c>
      <c r="V204">
        <v>1.66625</v>
      </c>
      <c r="W204" t="s">
        <v>155</v>
      </c>
      <c r="X204">
        <v>12770</v>
      </c>
      <c r="Y204">
        <v>1.747625</v>
      </c>
    </row>
    <row r="205" spans="1:25" x14ac:dyDescent="0.25">
      <c r="A205">
        <v>202</v>
      </c>
      <c r="B205" t="s">
        <v>204</v>
      </c>
      <c r="C205">
        <v>43</v>
      </c>
      <c r="D205">
        <v>392.51070954192363</v>
      </c>
      <c r="E205">
        <v>102.72018748652614</v>
      </c>
      <c r="F205">
        <v>289.7905220553975</v>
      </c>
      <c r="G205">
        <v>359492.5</v>
      </c>
      <c r="H205" t="s">
        <v>149</v>
      </c>
      <c r="I205">
        <v>1040</v>
      </c>
      <c r="J205">
        <v>0</v>
      </c>
      <c r="K205" t="s">
        <v>159</v>
      </c>
      <c r="L205">
        <v>40350</v>
      </c>
      <c r="M205">
        <v>6.2461799999999998</v>
      </c>
      <c r="N205" t="s">
        <v>155</v>
      </c>
      <c r="O205">
        <v>3460</v>
      </c>
      <c r="P205">
        <v>1.747625</v>
      </c>
      <c r="Q205" t="s">
        <v>163</v>
      </c>
      <c r="R205">
        <v>308580</v>
      </c>
      <c r="S205">
        <v>51</v>
      </c>
      <c r="T205" t="s">
        <v>169</v>
      </c>
      <c r="U205">
        <v>6062.5</v>
      </c>
      <c r="V205">
        <v>1.3538466666666666</v>
      </c>
    </row>
    <row r="206" spans="1:25" x14ac:dyDescent="0.25">
      <c r="A206">
        <v>203</v>
      </c>
      <c r="B206" t="s">
        <v>204</v>
      </c>
      <c r="C206">
        <v>43</v>
      </c>
      <c r="D206">
        <v>390.29059471531423</v>
      </c>
      <c r="E206">
        <v>114.92787166114954</v>
      </c>
      <c r="F206">
        <v>275.36272305416469</v>
      </c>
      <c r="G206">
        <v>365376.5</v>
      </c>
      <c r="H206" t="s">
        <v>149</v>
      </c>
      <c r="I206">
        <v>1700</v>
      </c>
      <c r="J206">
        <v>0</v>
      </c>
      <c r="K206" t="s">
        <v>69</v>
      </c>
      <c r="L206">
        <v>3156.5</v>
      </c>
      <c r="M206">
        <v>1.0423754520993329</v>
      </c>
      <c r="N206" t="s">
        <v>163</v>
      </c>
      <c r="O206">
        <v>308580</v>
      </c>
      <c r="P206">
        <v>51</v>
      </c>
      <c r="Q206" t="s">
        <v>156</v>
      </c>
      <c r="R206">
        <v>4750</v>
      </c>
      <c r="S206">
        <v>1.66625</v>
      </c>
      <c r="T206" t="s">
        <v>159</v>
      </c>
      <c r="U206">
        <v>34420</v>
      </c>
      <c r="V206">
        <v>5.3282160000000003</v>
      </c>
      <c r="W206" t="s">
        <v>155</v>
      </c>
      <c r="X206">
        <v>12770</v>
      </c>
      <c r="Y206">
        <v>1.747625</v>
      </c>
    </row>
    <row r="207" spans="1:25" x14ac:dyDescent="0.25">
      <c r="A207">
        <v>204</v>
      </c>
      <c r="B207" t="s">
        <v>204</v>
      </c>
      <c r="C207">
        <v>43</v>
      </c>
      <c r="D207">
        <v>346.46389141700638</v>
      </c>
      <c r="E207">
        <v>93.088594323049421</v>
      </c>
      <c r="F207">
        <v>253.37529709395696</v>
      </c>
      <c r="G207">
        <v>318199</v>
      </c>
      <c r="H207" t="s">
        <v>149</v>
      </c>
      <c r="I207">
        <v>400</v>
      </c>
      <c r="J207">
        <v>0</v>
      </c>
      <c r="K207" t="s">
        <v>69</v>
      </c>
      <c r="L207">
        <v>3156.5</v>
      </c>
      <c r="M207">
        <v>1.0423754520993329</v>
      </c>
      <c r="N207" t="s">
        <v>163</v>
      </c>
      <c r="O207">
        <v>308580</v>
      </c>
      <c r="P207">
        <v>51</v>
      </c>
      <c r="Q207" t="s">
        <v>169</v>
      </c>
      <c r="R207">
        <v>6062.5</v>
      </c>
      <c r="S207">
        <v>1.3538466666666666</v>
      </c>
    </row>
    <row r="208" spans="1:25" x14ac:dyDescent="0.25">
      <c r="A208">
        <v>205</v>
      </c>
      <c r="B208" t="s">
        <v>204</v>
      </c>
      <c r="C208">
        <v>43</v>
      </c>
      <c r="D208">
        <v>358.46943572442001</v>
      </c>
      <c r="E208">
        <v>95.864496777004462</v>
      </c>
      <c r="F208">
        <v>262.60493894741552</v>
      </c>
      <c r="G208">
        <v>447565</v>
      </c>
      <c r="H208" t="s">
        <v>149</v>
      </c>
      <c r="I208">
        <v>1050</v>
      </c>
      <c r="J208">
        <v>0</v>
      </c>
      <c r="K208" t="s">
        <v>159</v>
      </c>
      <c r="L208">
        <v>149880</v>
      </c>
      <c r="M208">
        <v>23.201423999999999</v>
      </c>
      <c r="N208" t="s">
        <v>160</v>
      </c>
      <c r="O208">
        <v>284260</v>
      </c>
      <c r="P208">
        <v>44.003447999999999</v>
      </c>
      <c r="Q208" t="s">
        <v>169</v>
      </c>
      <c r="R208">
        <v>12375</v>
      </c>
      <c r="S208">
        <v>2.7637499999999999</v>
      </c>
    </row>
    <row r="209" spans="1:22" x14ac:dyDescent="0.25">
      <c r="A209">
        <v>206</v>
      </c>
      <c r="B209" t="s">
        <v>204</v>
      </c>
      <c r="C209">
        <v>43</v>
      </c>
      <c r="D209">
        <v>364.83856561010896</v>
      </c>
      <c r="E209">
        <v>72.761180469947249</v>
      </c>
      <c r="F209">
        <v>292.07738514016171</v>
      </c>
      <c r="G209">
        <v>448424.8</v>
      </c>
      <c r="H209" t="s">
        <v>149</v>
      </c>
      <c r="I209">
        <v>950</v>
      </c>
      <c r="J209">
        <v>0</v>
      </c>
      <c r="K209" t="s">
        <v>69</v>
      </c>
      <c r="L209">
        <v>3894.8</v>
      </c>
      <c r="M209">
        <v>1.286124844890622</v>
      </c>
      <c r="N209" t="s">
        <v>160</v>
      </c>
      <c r="O209">
        <v>284260</v>
      </c>
      <c r="P209">
        <v>44.003447999999999</v>
      </c>
      <c r="Q209" t="s">
        <v>159</v>
      </c>
      <c r="R209">
        <v>146790</v>
      </c>
      <c r="S209">
        <v>22.723091999999998</v>
      </c>
      <c r="T209" t="s">
        <v>155</v>
      </c>
      <c r="U209">
        <v>12530</v>
      </c>
      <c r="V209">
        <v>1.747625</v>
      </c>
    </row>
    <row r="210" spans="1:22" x14ac:dyDescent="0.25">
      <c r="A210">
        <v>207</v>
      </c>
      <c r="B210" t="s">
        <v>204</v>
      </c>
      <c r="C210">
        <v>43</v>
      </c>
      <c r="D210">
        <v>376.82751154438176</v>
      </c>
      <c r="E210">
        <v>104.11716153211235</v>
      </c>
      <c r="F210">
        <v>272.71035001226943</v>
      </c>
      <c r="G210">
        <v>448270</v>
      </c>
      <c r="H210" t="s">
        <v>149</v>
      </c>
      <c r="I210">
        <v>1600</v>
      </c>
      <c r="J210">
        <v>0</v>
      </c>
      <c r="K210" t="s">
        <v>159</v>
      </c>
      <c r="L210">
        <v>149880</v>
      </c>
      <c r="M210">
        <v>23.201423999999999</v>
      </c>
      <c r="N210" t="s">
        <v>160</v>
      </c>
      <c r="O210">
        <v>284260</v>
      </c>
      <c r="P210">
        <v>44.003447999999999</v>
      </c>
      <c r="Q210" t="s">
        <v>155</v>
      </c>
      <c r="R210">
        <v>12530</v>
      </c>
      <c r="S210">
        <v>1.747625</v>
      </c>
    </row>
    <row r="211" spans="1:22" x14ac:dyDescent="0.25">
      <c r="A211">
        <v>208</v>
      </c>
      <c r="B211" t="s">
        <v>204</v>
      </c>
      <c r="C211">
        <v>43</v>
      </c>
      <c r="D211">
        <v>320.9788610111483</v>
      </c>
      <c r="E211">
        <v>0</v>
      </c>
      <c r="F211">
        <v>320.9788610111483</v>
      </c>
      <c r="G211">
        <v>397370</v>
      </c>
      <c r="H211" t="s">
        <v>149</v>
      </c>
      <c r="I211">
        <v>400</v>
      </c>
      <c r="J211">
        <v>0</v>
      </c>
      <c r="K211" t="s">
        <v>69</v>
      </c>
      <c r="L211">
        <v>396970</v>
      </c>
      <c r="M211">
        <v>131.11273232568828</v>
      </c>
    </row>
    <row r="212" spans="1:22" x14ac:dyDescent="0.25">
      <c r="A212">
        <v>209</v>
      </c>
      <c r="B212" t="s">
        <v>204</v>
      </c>
      <c r="C212">
        <v>43</v>
      </c>
      <c r="D212">
        <v>346.32036763618669</v>
      </c>
      <c r="E212">
        <v>64.26247409652197</v>
      </c>
      <c r="F212">
        <v>282.05789353966475</v>
      </c>
      <c r="G212">
        <v>447719.8</v>
      </c>
      <c r="H212" t="s">
        <v>149</v>
      </c>
      <c r="I212">
        <v>400</v>
      </c>
      <c r="J212">
        <v>0</v>
      </c>
      <c r="K212" t="s">
        <v>69</v>
      </c>
      <c r="L212">
        <v>3894.8</v>
      </c>
      <c r="M212">
        <v>1.286124844890622</v>
      </c>
      <c r="N212" t="s">
        <v>160</v>
      </c>
      <c r="O212">
        <v>284260</v>
      </c>
      <c r="P212">
        <v>44.003447999999999</v>
      </c>
      <c r="Q212" t="s">
        <v>159</v>
      </c>
      <c r="R212">
        <v>146790</v>
      </c>
      <c r="S212">
        <v>22.723091999999998</v>
      </c>
      <c r="T212" t="s">
        <v>169</v>
      </c>
      <c r="U212">
        <v>12375</v>
      </c>
      <c r="V212">
        <v>2.7637499999999999</v>
      </c>
    </row>
    <row r="213" spans="1:22" x14ac:dyDescent="0.25">
      <c r="A213">
        <v>210</v>
      </c>
      <c r="B213" t="s">
        <v>204</v>
      </c>
      <c r="C213">
        <v>44</v>
      </c>
      <c r="D213">
        <v>265.1825696803686</v>
      </c>
      <c r="E213">
        <v>90.393202717845639</v>
      </c>
      <c r="F213">
        <v>174.78936696252293</v>
      </c>
      <c r="G213">
        <v>562210</v>
      </c>
      <c r="H213" t="s">
        <v>169</v>
      </c>
      <c r="I213">
        <v>49125</v>
      </c>
      <c r="J213">
        <v>10.97125</v>
      </c>
      <c r="K213" t="s">
        <v>149</v>
      </c>
      <c r="L213">
        <v>1500</v>
      </c>
      <c r="M213">
        <v>0</v>
      </c>
      <c r="N213" t="s">
        <v>163</v>
      </c>
      <c r="O213">
        <v>460760</v>
      </c>
      <c r="P213">
        <v>51</v>
      </c>
      <c r="Q213" t="s">
        <v>69</v>
      </c>
      <c r="R213">
        <v>50825</v>
      </c>
      <c r="S213">
        <v>16.786670580782193</v>
      </c>
    </row>
    <row r="214" spans="1:22" x14ac:dyDescent="0.25">
      <c r="A214">
        <v>211</v>
      </c>
      <c r="B214" t="s">
        <v>204</v>
      </c>
      <c r="C214">
        <v>44</v>
      </c>
      <c r="D214">
        <v>300.40429376733186</v>
      </c>
      <c r="E214">
        <v>108.57429694958402</v>
      </c>
      <c r="F214">
        <v>191.82999681774785</v>
      </c>
      <c r="G214">
        <v>549925</v>
      </c>
      <c r="H214" t="s">
        <v>169</v>
      </c>
      <c r="I214">
        <v>49125</v>
      </c>
      <c r="J214">
        <v>10.97125</v>
      </c>
      <c r="K214" t="s">
        <v>149</v>
      </c>
      <c r="L214">
        <v>1200</v>
      </c>
      <c r="M214">
        <v>0</v>
      </c>
      <c r="N214" t="s">
        <v>163</v>
      </c>
      <c r="O214">
        <v>460760</v>
      </c>
      <c r="P214">
        <v>51</v>
      </c>
      <c r="Q214" t="s">
        <v>155</v>
      </c>
      <c r="R214">
        <v>7200</v>
      </c>
      <c r="S214">
        <v>1.747625</v>
      </c>
      <c r="T214" t="s">
        <v>159</v>
      </c>
      <c r="U214">
        <v>31640</v>
      </c>
      <c r="V214">
        <v>4.8978719999999996</v>
      </c>
    </row>
    <row r="215" spans="1:22" x14ac:dyDescent="0.25">
      <c r="A215">
        <v>212</v>
      </c>
      <c r="B215" t="s">
        <v>204</v>
      </c>
      <c r="C215">
        <v>44</v>
      </c>
      <c r="D215">
        <v>623.6024551529099</v>
      </c>
      <c r="E215">
        <v>178.27347713976764</v>
      </c>
      <c r="F215">
        <v>445.3289780131422</v>
      </c>
      <c r="G215">
        <v>721340</v>
      </c>
      <c r="H215" t="s">
        <v>149</v>
      </c>
      <c r="I215">
        <v>2790</v>
      </c>
      <c r="J215">
        <v>0</v>
      </c>
      <c r="K215" t="s">
        <v>155</v>
      </c>
      <c r="L215">
        <v>32750</v>
      </c>
      <c r="M215">
        <v>1.747625</v>
      </c>
      <c r="N215" t="s">
        <v>159</v>
      </c>
      <c r="O215">
        <v>18800</v>
      </c>
      <c r="P215">
        <v>2.9102399999999999</v>
      </c>
      <c r="Q215" t="s">
        <v>160</v>
      </c>
      <c r="R215">
        <v>667000</v>
      </c>
      <c r="S215">
        <v>103.2516</v>
      </c>
    </row>
    <row r="216" spans="1:22" x14ac:dyDescent="0.25">
      <c r="A216">
        <v>213</v>
      </c>
      <c r="B216" t="s">
        <v>204</v>
      </c>
      <c r="C216">
        <v>44</v>
      </c>
      <c r="D216">
        <v>298.63352123059218</v>
      </c>
      <c r="E216">
        <v>106.15943756686535</v>
      </c>
      <c r="F216">
        <v>192.47408366372684</v>
      </c>
      <c r="G216">
        <v>556155</v>
      </c>
      <c r="H216" t="s">
        <v>149</v>
      </c>
      <c r="I216">
        <v>880</v>
      </c>
      <c r="J216">
        <v>0</v>
      </c>
      <c r="K216" t="s">
        <v>159</v>
      </c>
      <c r="L216">
        <v>43690</v>
      </c>
      <c r="M216">
        <v>6.7632119999999993</v>
      </c>
      <c r="N216" t="s">
        <v>163</v>
      </c>
      <c r="O216">
        <v>460760</v>
      </c>
      <c r="P216">
        <v>51</v>
      </c>
      <c r="Q216" t="s">
        <v>69</v>
      </c>
      <c r="R216">
        <v>50825</v>
      </c>
      <c r="S216">
        <v>16.786670580782193</v>
      </c>
    </row>
    <row r="217" spans="1:22" x14ac:dyDescent="0.25">
      <c r="A217">
        <v>214</v>
      </c>
      <c r="B217" t="s">
        <v>204</v>
      </c>
      <c r="C217">
        <v>44</v>
      </c>
      <c r="D217">
        <v>538.60335554122787</v>
      </c>
      <c r="E217">
        <v>85.71618393426904</v>
      </c>
      <c r="F217">
        <v>452.88717160695887</v>
      </c>
      <c r="G217">
        <v>725868</v>
      </c>
      <c r="H217" t="s">
        <v>149</v>
      </c>
      <c r="I217">
        <v>2200</v>
      </c>
      <c r="J217">
        <v>0</v>
      </c>
      <c r="K217" t="s">
        <v>69</v>
      </c>
      <c r="L217">
        <v>29318</v>
      </c>
      <c r="M217">
        <v>9.683258398177518</v>
      </c>
      <c r="N217" t="s">
        <v>160</v>
      </c>
      <c r="O217">
        <v>667000</v>
      </c>
      <c r="P217">
        <v>103.2516</v>
      </c>
      <c r="Q217" t="s">
        <v>155</v>
      </c>
      <c r="R217">
        <v>15000</v>
      </c>
      <c r="S217">
        <v>1.747625</v>
      </c>
      <c r="T217" t="s">
        <v>159</v>
      </c>
      <c r="U217">
        <v>12350</v>
      </c>
      <c r="V217">
        <v>1.9117799999999998</v>
      </c>
    </row>
    <row r="218" spans="1:22" x14ac:dyDescent="0.25">
      <c r="A218">
        <v>215</v>
      </c>
      <c r="B218" t="s">
        <v>204</v>
      </c>
      <c r="C218">
        <v>44</v>
      </c>
      <c r="D218">
        <v>500.9580032630675</v>
      </c>
      <c r="E218">
        <v>63.860642197728872</v>
      </c>
      <c r="F218">
        <v>437.09736106533865</v>
      </c>
      <c r="G218">
        <v>737343</v>
      </c>
      <c r="H218" t="s">
        <v>149</v>
      </c>
      <c r="I218">
        <v>400</v>
      </c>
      <c r="J218">
        <v>0</v>
      </c>
      <c r="K218" t="s">
        <v>69</v>
      </c>
      <c r="L218">
        <v>29318</v>
      </c>
      <c r="M218">
        <v>9.683258398177518</v>
      </c>
      <c r="N218" t="s">
        <v>160</v>
      </c>
      <c r="O218">
        <v>667000</v>
      </c>
      <c r="P218">
        <v>103.2516</v>
      </c>
      <c r="Q218" t="s">
        <v>169</v>
      </c>
      <c r="R218">
        <v>40625</v>
      </c>
      <c r="S218">
        <v>9.0729166666666661</v>
      </c>
    </row>
    <row r="219" spans="1:22" x14ac:dyDescent="0.25">
      <c r="A219">
        <v>216</v>
      </c>
      <c r="B219" t="s">
        <v>204</v>
      </c>
      <c r="C219">
        <v>44</v>
      </c>
      <c r="D219">
        <v>363.78331902367233</v>
      </c>
      <c r="E219">
        <v>0</v>
      </c>
      <c r="F219">
        <v>363.78331902367233</v>
      </c>
      <c r="G219">
        <v>570710</v>
      </c>
      <c r="H219" t="s">
        <v>149</v>
      </c>
      <c r="I219">
        <v>400</v>
      </c>
      <c r="J219">
        <v>0</v>
      </c>
      <c r="K219" t="s">
        <v>69</v>
      </c>
      <c r="L219">
        <v>570310</v>
      </c>
      <c r="M219">
        <v>188.36411409593489</v>
      </c>
    </row>
    <row r="220" spans="1:22" x14ac:dyDescent="0.25">
      <c r="A220">
        <v>217</v>
      </c>
      <c r="B220" t="s">
        <v>204</v>
      </c>
      <c r="C220">
        <v>44</v>
      </c>
      <c r="D220">
        <v>587.18406589657695</v>
      </c>
      <c r="E220">
        <v>157.64895300996844</v>
      </c>
      <c r="F220">
        <v>429.53511288660849</v>
      </c>
      <c r="G220">
        <v>732815</v>
      </c>
      <c r="H220" t="s">
        <v>149</v>
      </c>
      <c r="I220">
        <v>990</v>
      </c>
      <c r="J220">
        <v>0</v>
      </c>
      <c r="K220" t="s">
        <v>155</v>
      </c>
      <c r="L220">
        <v>17750</v>
      </c>
      <c r="M220">
        <v>1.747625</v>
      </c>
      <c r="N220" t="s">
        <v>159</v>
      </c>
      <c r="O220">
        <v>6450</v>
      </c>
      <c r="P220">
        <v>0.99846000000000001</v>
      </c>
      <c r="Q220" t="s">
        <v>160</v>
      </c>
      <c r="R220">
        <v>667000</v>
      </c>
      <c r="S220">
        <v>103.2516</v>
      </c>
      <c r="T220" t="s">
        <v>169</v>
      </c>
      <c r="U220">
        <v>40625</v>
      </c>
      <c r="V220">
        <v>9.0729166666666661</v>
      </c>
    </row>
    <row r="221" spans="1:22" x14ac:dyDescent="0.25">
      <c r="A221">
        <v>218</v>
      </c>
      <c r="B221" t="s">
        <v>204</v>
      </c>
      <c r="C221">
        <v>44</v>
      </c>
      <c r="D221">
        <v>332.66147608803573</v>
      </c>
      <c r="E221">
        <v>123.92119808042362</v>
      </c>
      <c r="F221">
        <v>208.74027800761212</v>
      </c>
      <c r="G221">
        <v>543870</v>
      </c>
      <c r="H221" t="s">
        <v>149</v>
      </c>
      <c r="I221">
        <v>580</v>
      </c>
      <c r="J221">
        <v>0</v>
      </c>
      <c r="K221" t="s">
        <v>159</v>
      </c>
      <c r="L221">
        <v>75330</v>
      </c>
      <c r="M221">
        <v>11.661083999999999</v>
      </c>
      <c r="N221" t="s">
        <v>163</v>
      </c>
      <c r="O221">
        <v>460760</v>
      </c>
      <c r="P221">
        <v>51</v>
      </c>
      <c r="Q221" t="s">
        <v>155</v>
      </c>
      <c r="R221">
        <v>7200</v>
      </c>
      <c r="S221">
        <v>1.747625</v>
      </c>
    </row>
  </sheetData>
  <autoFilter ref="A2:Z221" xr:uid="{F868A835-0C03-4F04-8E7B-DAE15C57D1FC}"/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CA296-B785-47D0-A022-61365F8AA065}">
  <sheetPr filterMode="1"/>
  <dimension ref="A1:Z63"/>
  <sheetViews>
    <sheetView workbookViewId="0">
      <selection activeCell="J26" sqref="J26"/>
    </sheetView>
  </sheetViews>
  <sheetFormatPr baseColWidth="10" defaultRowHeight="15.75" x14ac:dyDescent="0.25"/>
  <cols>
    <col min="1" max="1" width="6.75" bestFit="1" customWidth="1"/>
    <col min="2" max="2" width="12.75" bestFit="1" customWidth="1"/>
    <col min="3" max="3" width="16.375" bestFit="1" customWidth="1"/>
    <col min="4" max="4" width="11.625" bestFit="1" customWidth="1"/>
    <col min="5" max="5" width="10.125" bestFit="1" customWidth="1"/>
    <col min="6" max="6" width="9.25" bestFit="1" customWidth="1"/>
    <col min="7" max="7" width="7.75" bestFit="1" customWidth="1"/>
    <col min="8" max="8" width="22" bestFit="1" customWidth="1"/>
    <col min="9" max="9" width="14.25" bestFit="1" customWidth="1"/>
    <col min="10" max="10" width="13.625" bestFit="1" customWidth="1"/>
    <col min="11" max="11" width="14.125" bestFit="1" customWidth="1"/>
    <col min="12" max="12" width="14.25" bestFit="1" customWidth="1"/>
    <col min="13" max="13" width="13.625" bestFit="1" customWidth="1"/>
    <col min="14" max="15" width="14.25" bestFit="1" customWidth="1"/>
    <col min="16" max="16" width="13.625" bestFit="1" customWidth="1"/>
    <col min="17" max="18" width="14.25" bestFit="1" customWidth="1"/>
    <col min="19" max="19" width="13.625" bestFit="1" customWidth="1"/>
    <col min="20" max="20" width="14.125" bestFit="1" customWidth="1"/>
    <col min="21" max="21" width="14.25" bestFit="1" customWidth="1"/>
    <col min="22" max="22" width="13.625" bestFit="1" customWidth="1"/>
    <col min="23" max="23" width="6.875" bestFit="1" customWidth="1"/>
    <col min="24" max="24" width="14.25" bestFit="1" customWidth="1"/>
    <col min="25" max="25" width="13.625" bestFit="1" customWidth="1"/>
  </cols>
  <sheetData>
    <row r="1" spans="1:26" s="33" customFormat="1" x14ac:dyDescent="0.25">
      <c r="B1" s="28" t="s">
        <v>174</v>
      </c>
      <c r="C1" s="28" t="s">
        <v>174</v>
      </c>
      <c r="D1" s="32" t="s">
        <v>68</v>
      </c>
      <c r="E1" s="32" t="s">
        <v>68</v>
      </c>
      <c r="F1" s="32" t="s">
        <v>68</v>
      </c>
      <c r="G1" s="32" t="s">
        <v>68</v>
      </c>
      <c r="H1" s="32" t="s">
        <v>68</v>
      </c>
      <c r="I1" s="32" t="s">
        <v>68</v>
      </c>
      <c r="J1" s="32" t="s">
        <v>68</v>
      </c>
      <c r="K1" s="32" t="s">
        <v>68</v>
      </c>
      <c r="L1" s="32" t="s">
        <v>68</v>
      </c>
      <c r="M1" s="32" t="s">
        <v>68</v>
      </c>
      <c r="N1" s="32" t="s">
        <v>68</v>
      </c>
      <c r="O1" s="32" t="s">
        <v>68</v>
      </c>
      <c r="P1" s="32" t="s">
        <v>68</v>
      </c>
      <c r="Q1" s="32" t="s">
        <v>68</v>
      </c>
      <c r="R1" s="32" t="s">
        <v>68</v>
      </c>
      <c r="S1" s="32" t="s">
        <v>68</v>
      </c>
      <c r="T1" s="32" t="s">
        <v>68</v>
      </c>
      <c r="U1" s="32" t="s">
        <v>68</v>
      </c>
      <c r="V1" s="32" t="s">
        <v>68</v>
      </c>
      <c r="W1" s="32" t="s">
        <v>68</v>
      </c>
      <c r="X1" s="32" t="s">
        <v>68</v>
      </c>
      <c r="Y1" s="32" t="s">
        <v>68</v>
      </c>
      <c r="Z1"/>
    </row>
    <row r="2" spans="1:26" s="33" customFormat="1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s="33" customFormat="1" x14ac:dyDescent="0.25">
      <c r="A3" s="33">
        <v>0</v>
      </c>
      <c r="B3" s="33" t="s">
        <v>200</v>
      </c>
      <c r="C3" s="33">
        <v>1</v>
      </c>
      <c r="D3" s="33">
        <f>E3+F3</f>
        <v>18.5</v>
      </c>
      <c r="E3" s="33">
        <v>2.5</v>
      </c>
      <c r="F3" s="33">
        <f>4+4+3+5</f>
        <v>16</v>
      </c>
      <c r="G3" s="33">
        <f>I3+L3+O3</f>
        <v>4490</v>
      </c>
      <c r="H3" s="103" t="s">
        <v>389</v>
      </c>
      <c r="I3" s="33">
        <v>2410</v>
      </c>
      <c r="K3" s="104" t="s">
        <v>36</v>
      </c>
      <c r="L3" s="33">
        <v>1630</v>
      </c>
      <c r="N3" s="112" t="s">
        <v>149</v>
      </c>
      <c r="O3" s="33">
        <v>450</v>
      </c>
      <c r="Z3"/>
    </row>
    <row r="4" spans="1:26" s="33" customFormat="1" x14ac:dyDescent="0.25">
      <c r="A4" s="33">
        <v>1</v>
      </c>
      <c r="B4" s="33" t="s">
        <v>200</v>
      </c>
      <c r="C4" s="33">
        <v>2</v>
      </c>
      <c r="D4" s="33">
        <f t="shared" ref="D4:D47" si="0">E4+F4</f>
        <v>18.5</v>
      </c>
      <c r="E4" s="33">
        <v>2.5</v>
      </c>
      <c r="F4" s="33">
        <f>4+5+5+2</f>
        <v>16</v>
      </c>
      <c r="G4" s="33">
        <f>I4+L4+O4</f>
        <v>3450</v>
      </c>
      <c r="H4" s="103" t="s">
        <v>149</v>
      </c>
      <c r="I4" s="33">
        <v>400</v>
      </c>
      <c r="J4" s="33">
        <v>0</v>
      </c>
      <c r="K4" s="103" t="s">
        <v>36</v>
      </c>
      <c r="L4" s="33">
        <v>2050</v>
      </c>
      <c r="N4" s="103" t="s">
        <v>389</v>
      </c>
      <c r="O4" s="33">
        <v>1000</v>
      </c>
      <c r="Z4"/>
    </row>
    <row r="5" spans="1:26" s="33" customFormat="1" hidden="1" x14ac:dyDescent="0.25">
      <c r="A5" s="33">
        <v>2</v>
      </c>
      <c r="B5" s="33" t="s">
        <v>200</v>
      </c>
      <c r="C5" s="33">
        <v>3</v>
      </c>
      <c r="D5" s="33">
        <f t="shared" si="0"/>
        <v>20.5</v>
      </c>
      <c r="E5" s="33">
        <v>2.5</v>
      </c>
      <c r="F5" s="33">
        <v>18</v>
      </c>
      <c r="G5" s="33">
        <v>5300</v>
      </c>
      <c r="H5" s="103" t="s">
        <v>149</v>
      </c>
      <c r="I5" s="33">
        <v>600</v>
      </c>
      <c r="J5" s="33">
        <v>0</v>
      </c>
      <c r="K5" s="103" t="s">
        <v>389</v>
      </c>
      <c r="L5" s="33">
        <v>4700</v>
      </c>
      <c r="N5" s="36"/>
      <c r="Z5"/>
    </row>
    <row r="6" spans="1:26" s="33" customFormat="1" hidden="1" x14ac:dyDescent="0.25">
      <c r="A6" s="33">
        <v>3</v>
      </c>
      <c r="B6" s="33" t="s">
        <v>200</v>
      </c>
      <c r="C6" s="33">
        <v>4</v>
      </c>
      <c r="D6" s="33">
        <f t="shared" si="0"/>
        <v>15.5</v>
      </c>
      <c r="E6" s="33">
        <v>2.5</v>
      </c>
      <c r="F6" s="33">
        <v>13</v>
      </c>
      <c r="G6" s="33">
        <v>3650</v>
      </c>
      <c r="H6" s="103" t="s">
        <v>149</v>
      </c>
      <c r="I6" s="33">
        <v>150</v>
      </c>
      <c r="J6" s="33">
        <v>0</v>
      </c>
      <c r="K6" s="103" t="s">
        <v>389</v>
      </c>
      <c r="L6" s="33">
        <v>3500</v>
      </c>
      <c r="N6" s="36"/>
      <c r="Z6"/>
    </row>
    <row r="7" spans="1:26" s="33" customFormat="1" hidden="1" x14ac:dyDescent="0.25">
      <c r="A7" s="33">
        <v>4</v>
      </c>
      <c r="B7" s="104" t="s">
        <v>200</v>
      </c>
      <c r="C7" s="33">
        <v>5</v>
      </c>
      <c r="D7" s="33">
        <f t="shared" si="0"/>
        <v>13.5</v>
      </c>
      <c r="E7" s="33">
        <v>2.5</v>
      </c>
      <c r="F7" s="33">
        <v>11</v>
      </c>
      <c r="G7" s="33">
        <v>3150</v>
      </c>
      <c r="H7" s="103" t="s">
        <v>149</v>
      </c>
      <c r="I7" s="33">
        <v>450</v>
      </c>
      <c r="K7" s="103" t="s">
        <v>389</v>
      </c>
      <c r="L7" s="33">
        <v>2700</v>
      </c>
      <c r="N7" s="36"/>
      <c r="Z7"/>
    </row>
    <row r="8" spans="1:26" s="33" customFormat="1" x14ac:dyDescent="0.25">
      <c r="A8" s="33">
        <v>5</v>
      </c>
      <c r="B8" s="33" t="s">
        <v>200</v>
      </c>
      <c r="C8" s="33">
        <v>6</v>
      </c>
      <c r="D8" s="33">
        <f t="shared" si="0"/>
        <v>13.5</v>
      </c>
      <c r="E8" s="33">
        <v>2.5</v>
      </c>
      <c r="F8" s="33">
        <v>11</v>
      </c>
      <c r="G8" s="33">
        <v>2710</v>
      </c>
      <c r="H8" s="105" t="s">
        <v>149</v>
      </c>
      <c r="I8" s="33">
        <v>400</v>
      </c>
      <c r="K8" s="105" t="s">
        <v>36</v>
      </c>
      <c r="L8" s="33">
        <v>1310</v>
      </c>
      <c r="N8" s="105" t="s">
        <v>389</v>
      </c>
      <c r="O8" s="33">
        <v>1000</v>
      </c>
      <c r="Z8"/>
    </row>
    <row r="9" spans="1:26" s="33" customFormat="1" hidden="1" x14ac:dyDescent="0.25">
      <c r="A9" s="33">
        <v>6</v>
      </c>
      <c r="B9" s="33" t="s">
        <v>200</v>
      </c>
      <c r="C9" s="33">
        <v>7</v>
      </c>
      <c r="D9" s="33">
        <f t="shared" si="0"/>
        <v>13.5</v>
      </c>
      <c r="E9" s="33">
        <v>2.5</v>
      </c>
      <c r="F9" s="33">
        <v>11</v>
      </c>
      <c r="G9" s="33">
        <v>3350</v>
      </c>
      <c r="H9" s="105" t="s">
        <v>149</v>
      </c>
      <c r="I9" s="33">
        <v>450</v>
      </c>
      <c r="J9" s="33">
        <v>0</v>
      </c>
      <c r="K9" s="105" t="s">
        <v>389</v>
      </c>
      <c r="L9" s="33">
        <v>2900</v>
      </c>
      <c r="N9" s="36"/>
      <c r="Z9"/>
    </row>
    <row r="10" spans="1:26" s="33" customFormat="1" hidden="1" x14ac:dyDescent="0.25">
      <c r="A10" s="33">
        <v>7</v>
      </c>
      <c r="B10" s="33" t="s">
        <v>200</v>
      </c>
      <c r="C10" s="33">
        <v>8</v>
      </c>
      <c r="D10" s="33">
        <f t="shared" si="0"/>
        <v>15.5</v>
      </c>
      <c r="E10" s="33">
        <v>2.5</v>
      </c>
      <c r="F10" s="33">
        <v>13</v>
      </c>
      <c r="G10" s="33">
        <v>3250</v>
      </c>
      <c r="H10" s="105" t="s">
        <v>149</v>
      </c>
      <c r="I10" s="33">
        <v>350</v>
      </c>
      <c r="J10" s="33">
        <v>0</v>
      </c>
      <c r="K10" s="105" t="s">
        <v>389</v>
      </c>
      <c r="L10" s="33">
        <v>1100</v>
      </c>
      <c r="N10" s="105" t="s">
        <v>36</v>
      </c>
      <c r="O10" s="33">
        <v>1800</v>
      </c>
      <c r="Z10"/>
    </row>
    <row r="11" spans="1:26" s="33" customFormat="1" hidden="1" x14ac:dyDescent="0.25">
      <c r="A11" s="33">
        <v>8</v>
      </c>
      <c r="B11" s="33" t="s">
        <v>200</v>
      </c>
      <c r="C11" s="33">
        <v>9</v>
      </c>
      <c r="D11" s="33">
        <f t="shared" si="0"/>
        <v>13.5</v>
      </c>
      <c r="E11" s="33">
        <v>2.5</v>
      </c>
      <c r="F11" s="33">
        <v>11</v>
      </c>
      <c r="G11" s="33">
        <v>3200</v>
      </c>
      <c r="H11" s="105" t="s">
        <v>149</v>
      </c>
      <c r="I11" s="33">
        <v>500</v>
      </c>
      <c r="J11" s="33">
        <v>0</v>
      </c>
      <c r="K11" s="105" t="s">
        <v>389</v>
      </c>
      <c r="L11" s="33">
        <v>2700</v>
      </c>
      <c r="N11" s="36"/>
      <c r="Z11"/>
    </row>
    <row r="12" spans="1:26" s="33" customFormat="1" hidden="1" x14ac:dyDescent="0.25">
      <c r="A12" s="33">
        <v>9</v>
      </c>
      <c r="B12" s="33" t="s">
        <v>200</v>
      </c>
      <c r="C12" s="33">
        <v>10</v>
      </c>
      <c r="D12" s="33">
        <f t="shared" si="0"/>
        <v>11.5</v>
      </c>
      <c r="E12" s="33">
        <v>2.5</v>
      </c>
      <c r="F12" s="33">
        <v>9</v>
      </c>
      <c r="G12" s="33">
        <v>2000</v>
      </c>
      <c r="H12" s="105" t="s">
        <v>149</v>
      </c>
      <c r="I12" s="33">
        <v>300</v>
      </c>
      <c r="J12" s="33">
        <v>0</v>
      </c>
      <c r="K12" s="105" t="s">
        <v>389</v>
      </c>
      <c r="L12" s="33">
        <v>1700</v>
      </c>
      <c r="N12" s="36"/>
      <c r="Q12" s="36"/>
      <c r="Z12"/>
    </row>
    <row r="13" spans="1:26" s="33" customFormat="1" hidden="1" x14ac:dyDescent="0.25">
      <c r="A13" s="33">
        <v>10</v>
      </c>
      <c r="B13" s="33" t="s">
        <v>202</v>
      </c>
      <c r="C13" s="33">
        <v>17</v>
      </c>
      <c r="D13" s="33">
        <f t="shared" si="0"/>
        <v>155.5</v>
      </c>
      <c r="E13" s="33">
        <v>7.5</v>
      </c>
      <c r="F13" s="33">
        <f>7+10+70+30+8+4+4+3+12</f>
        <v>148</v>
      </c>
      <c r="G13" s="33">
        <f>U13+R13+O13+L13+I13</f>
        <v>238880</v>
      </c>
      <c r="H13" s="109" t="s">
        <v>149</v>
      </c>
      <c r="I13" s="33">
        <v>200</v>
      </c>
      <c r="J13" s="33">
        <v>0</v>
      </c>
      <c r="K13" s="109" t="s">
        <v>389</v>
      </c>
      <c r="L13" s="33">
        <v>6200</v>
      </c>
      <c r="N13" s="109" t="s">
        <v>36</v>
      </c>
      <c r="O13" s="33">
        <v>6380</v>
      </c>
      <c r="Q13" s="108" t="s">
        <v>37</v>
      </c>
      <c r="R13" s="33">
        <v>183920</v>
      </c>
      <c r="T13" s="109" t="s">
        <v>36</v>
      </c>
      <c r="U13" s="33">
        <v>42180</v>
      </c>
      <c r="Z13"/>
    </row>
    <row r="14" spans="1:26" s="33" customFormat="1" hidden="1" x14ac:dyDescent="0.25">
      <c r="A14" s="33">
        <v>11</v>
      </c>
      <c r="B14" s="108" t="s">
        <v>202</v>
      </c>
      <c r="C14" s="33">
        <v>18</v>
      </c>
      <c r="D14" s="33">
        <f t="shared" si="0"/>
        <v>169.5</v>
      </c>
      <c r="E14" s="33">
        <v>7.5</v>
      </c>
      <c r="F14" s="33">
        <f>7+10+70+30+8+4+4+24+5</f>
        <v>162</v>
      </c>
      <c r="G14" s="33">
        <f>U14+R14+O14+L14+I14</f>
        <v>247080</v>
      </c>
      <c r="H14" s="109" t="s">
        <v>149</v>
      </c>
      <c r="I14" s="33">
        <v>400</v>
      </c>
      <c r="J14" s="33">
        <v>0</v>
      </c>
      <c r="K14" s="109" t="s">
        <v>389</v>
      </c>
      <c r="L14" s="33">
        <f>2500+11700</f>
        <v>14200</v>
      </c>
      <c r="N14" s="109" t="s">
        <v>36</v>
      </c>
      <c r="O14" s="33">
        <v>6380</v>
      </c>
      <c r="Q14" s="108" t="s">
        <v>37</v>
      </c>
      <c r="R14" s="33">
        <v>183920</v>
      </c>
      <c r="T14" s="109" t="s">
        <v>36</v>
      </c>
      <c r="U14" s="33">
        <v>42180</v>
      </c>
      <c r="Z14"/>
    </row>
    <row r="15" spans="1:26" s="33" customFormat="1" hidden="1" x14ac:dyDescent="0.25">
      <c r="A15" s="33">
        <v>12</v>
      </c>
      <c r="B15" s="33" t="s">
        <v>202</v>
      </c>
      <c r="C15" s="33">
        <v>19</v>
      </c>
      <c r="D15" s="33">
        <f t="shared" si="0"/>
        <v>200.5</v>
      </c>
      <c r="E15" s="33">
        <v>7.5</v>
      </c>
      <c r="F15" s="33">
        <f>35+6+5+10+75+62</f>
        <v>193</v>
      </c>
      <c r="G15" s="33">
        <f>U15+R15+O15+L15+I15</f>
        <v>340770</v>
      </c>
      <c r="H15" s="109" t="s">
        <v>149</v>
      </c>
      <c r="I15" s="33">
        <v>400</v>
      </c>
      <c r="J15" s="33">
        <v>0</v>
      </c>
      <c r="K15" s="109" t="s">
        <v>389</v>
      </c>
      <c r="L15" s="33">
        <f>2500+32200</f>
        <v>34700</v>
      </c>
      <c r="N15" s="109" t="s">
        <v>36</v>
      </c>
      <c r="O15" s="33">
        <v>6380</v>
      </c>
      <c r="Q15" s="108" t="s">
        <v>37</v>
      </c>
      <c r="R15" s="33">
        <v>170560</v>
      </c>
      <c r="T15" s="109" t="s">
        <v>36</v>
      </c>
      <c r="U15" s="33">
        <v>128730</v>
      </c>
      <c r="Z15"/>
    </row>
    <row r="16" spans="1:26" s="33" customFormat="1" x14ac:dyDescent="0.25">
      <c r="A16" s="33">
        <v>13</v>
      </c>
      <c r="B16" s="33" t="s">
        <v>202</v>
      </c>
      <c r="C16" s="33">
        <v>22</v>
      </c>
      <c r="D16" s="33">
        <f t="shared" si="0"/>
        <v>130.5</v>
      </c>
      <c r="E16" s="33">
        <v>7.5</v>
      </c>
      <c r="F16" s="33">
        <f>4+20+5+57+28+5+4</f>
        <v>123</v>
      </c>
      <c r="G16" s="33">
        <f>I16+L16+O16+R16+U16</f>
        <v>160500</v>
      </c>
      <c r="H16" s="36" t="s">
        <v>149</v>
      </c>
      <c r="I16" s="33">
        <v>400</v>
      </c>
      <c r="K16" s="109" t="s">
        <v>36</v>
      </c>
      <c r="L16" s="33">
        <v>9930</v>
      </c>
      <c r="N16" s="108" t="s">
        <v>37</v>
      </c>
      <c r="O16" s="33">
        <f>187470-70000</f>
        <v>117470</v>
      </c>
      <c r="Q16" s="109" t="s">
        <v>36</v>
      </c>
      <c r="R16" s="33">
        <v>32000</v>
      </c>
      <c r="T16" s="109" t="s">
        <v>389</v>
      </c>
      <c r="U16" s="33">
        <v>700</v>
      </c>
      <c r="Z16"/>
    </row>
    <row r="17" spans="1:26" s="33" customFormat="1" hidden="1" x14ac:dyDescent="0.25">
      <c r="A17" s="33">
        <v>14</v>
      </c>
      <c r="B17" s="33" t="s">
        <v>202</v>
      </c>
      <c r="C17" s="33">
        <v>23</v>
      </c>
      <c r="D17" s="33">
        <f t="shared" si="0"/>
        <v>153.5</v>
      </c>
      <c r="E17" s="33">
        <v>7.5</v>
      </c>
      <c r="F17" s="33">
        <f>18+6+4+68+50</f>
        <v>146</v>
      </c>
      <c r="G17" s="33">
        <f>I17+L17+O17+R17</f>
        <v>153600</v>
      </c>
      <c r="H17" s="36" t="s">
        <v>149</v>
      </c>
      <c r="I17" s="33">
        <v>400</v>
      </c>
      <c r="J17" s="33">
        <v>0</v>
      </c>
      <c r="K17" s="109" t="s">
        <v>389</v>
      </c>
      <c r="L17" s="33">
        <v>3200</v>
      </c>
      <c r="N17" s="108" t="s">
        <v>37</v>
      </c>
      <c r="O17" s="33">
        <v>114000</v>
      </c>
      <c r="Q17" s="109" t="s">
        <v>389</v>
      </c>
      <c r="R17" s="33">
        <v>36000</v>
      </c>
      <c r="Z17"/>
    </row>
    <row r="18" spans="1:26" s="33" customFormat="1" hidden="1" x14ac:dyDescent="0.25">
      <c r="A18" s="33">
        <v>15</v>
      </c>
      <c r="B18" s="33" t="s">
        <v>203</v>
      </c>
      <c r="C18" s="33">
        <v>24</v>
      </c>
      <c r="D18" s="33">
        <f t="shared" si="0"/>
        <v>33</v>
      </c>
      <c r="E18" s="33">
        <v>5</v>
      </c>
      <c r="F18" s="33">
        <f>4+4+9+7+4</f>
        <v>28</v>
      </c>
      <c r="G18" s="33">
        <f>I18+L18+O18+R18</f>
        <v>13350</v>
      </c>
      <c r="H18" s="36" t="s">
        <v>149</v>
      </c>
      <c r="I18" s="33">
        <v>300</v>
      </c>
      <c r="J18" s="33">
        <v>0</v>
      </c>
      <c r="K18" s="109" t="s">
        <v>389</v>
      </c>
      <c r="L18" s="33">
        <v>3600</v>
      </c>
      <c r="N18" s="109" t="s">
        <v>36</v>
      </c>
      <c r="O18" s="33">
        <v>8450</v>
      </c>
      <c r="Q18" s="109" t="s">
        <v>389</v>
      </c>
      <c r="R18" s="33">
        <v>1000</v>
      </c>
      <c r="Z18"/>
    </row>
    <row r="19" spans="1:26" s="33" customFormat="1" hidden="1" x14ac:dyDescent="0.25">
      <c r="A19" s="33">
        <v>16</v>
      </c>
      <c r="B19" s="33" t="s">
        <v>203</v>
      </c>
      <c r="C19" s="33">
        <v>25</v>
      </c>
      <c r="D19" s="33">
        <f t="shared" si="0"/>
        <v>43</v>
      </c>
      <c r="E19" s="33">
        <v>5</v>
      </c>
      <c r="F19" s="33">
        <f>38</f>
        <v>38</v>
      </c>
      <c r="G19" s="33">
        <v>13600</v>
      </c>
      <c r="H19" s="109" t="s">
        <v>149</v>
      </c>
      <c r="I19" s="33">
        <v>600</v>
      </c>
      <c r="K19" s="109" t="s">
        <v>389</v>
      </c>
      <c r="L19" s="33">
        <v>13000</v>
      </c>
      <c r="N19" s="36"/>
      <c r="Z19"/>
    </row>
    <row r="20" spans="1:26" s="33" customFormat="1" hidden="1" x14ac:dyDescent="0.25">
      <c r="A20" s="33">
        <v>17</v>
      </c>
      <c r="B20" s="33" t="s">
        <v>203</v>
      </c>
      <c r="C20" s="33">
        <v>26</v>
      </c>
      <c r="D20" s="33">
        <f t="shared" si="0"/>
        <v>40</v>
      </c>
      <c r="E20" s="33">
        <v>5</v>
      </c>
      <c r="F20" s="33">
        <f>7+10+14+4</f>
        <v>35</v>
      </c>
      <c r="G20" s="33">
        <f>I20+L20+O20</f>
        <v>19050</v>
      </c>
      <c r="H20" s="109" t="s">
        <v>149</v>
      </c>
      <c r="I20" s="33">
        <v>400</v>
      </c>
      <c r="K20" s="109" t="s">
        <v>389</v>
      </c>
      <c r="L20" s="33">
        <f>2500+2950</f>
        <v>5450</v>
      </c>
      <c r="N20" s="109" t="s">
        <v>36</v>
      </c>
      <c r="O20" s="33">
        <v>13200</v>
      </c>
      <c r="Z20"/>
    </row>
    <row r="21" spans="1:26" s="33" customFormat="1" hidden="1" x14ac:dyDescent="0.25">
      <c r="A21" s="33">
        <v>18</v>
      </c>
      <c r="B21" s="33" t="s">
        <v>203</v>
      </c>
      <c r="C21" s="33">
        <v>27</v>
      </c>
      <c r="D21" s="33">
        <f t="shared" si="0"/>
        <v>35</v>
      </c>
      <c r="E21" s="33">
        <v>5</v>
      </c>
      <c r="F21" s="33">
        <v>30</v>
      </c>
      <c r="G21" s="33">
        <v>20000</v>
      </c>
      <c r="H21" s="109" t="s">
        <v>149</v>
      </c>
      <c r="I21" s="33">
        <v>600</v>
      </c>
      <c r="J21" s="33">
        <v>0</v>
      </c>
      <c r="K21" s="109" t="s">
        <v>389</v>
      </c>
      <c r="L21" s="33">
        <v>17400</v>
      </c>
      <c r="N21" s="36"/>
      <c r="Z21"/>
    </row>
    <row r="22" spans="1:26" s="33" customFormat="1" hidden="1" x14ac:dyDescent="0.25">
      <c r="A22" s="33">
        <v>19</v>
      </c>
      <c r="B22" s="33" t="s">
        <v>203</v>
      </c>
      <c r="C22" s="33">
        <v>28</v>
      </c>
      <c r="D22" s="33">
        <f t="shared" si="0"/>
        <v>61</v>
      </c>
      <c r="E22" s="33">
        <v>5</v>
      </c>
      <c r="F22" s="33">
        <v>56</v>
      </c>
      <c r="G22" s="33">
        <f>I22+L22+O22+R22</f>
        <v>26460</v>
      </c>
      <c r="H22" s="109" t="s">
        <v>149</v>
      </c>
      <c r="I22" s="33">
        <v>300</v>
      </c>
      <c r="J22" s="33">
        <v>0</v>
      </c>
      <c r="K22" s="109" t="s">
        <v>389</v>
      </c>
      <c r="L22" s="33">
        <v>10500</v>
      </c>
      <c r="N22" s="109" t="s">
        <v>36</v>
      </c>
      <c r="O22" s="33">
        <v>10660</v>
      </c>
      <c r="Q22" s="109" t="s">
        <v>389</v>
      </c>
      <c r="R22" s="33">
        <v>5000</v>
      </c>
      <c r="Z22"/>
    </row>
    <row r="23" spans="1:26" s="33" customFormat="1" hidden="1" x14ac:dyDescent="0.25">
      <c r="A23" s="33">
        <v>20</v>
      </c>
      <c r="B23" s="33" t="s">
        <v>203</v>
      </c>
      <c r="C23" s="33">
        <v>29</v>
      </c>
      <c r="D23" s="33">
        <f t="shared" si="0"/>
        <v>54</v>
      </c>
      <c r="E23" s="33">
        <v>5</v>
      </c>
      <c r="F23" s="33">
        <f>7+4+27+11</f>
        <v>49</v>
      </c>
      <c r="G23" s="33">
        <f>I23+L23+O23+R23</f>
        <v>27270</v>
      </c>
      <c r="H23" s="36" t="s">
        <v>149</v>
      </c>
      <c r="I23" s="33">
        <v>600</v>
      </c>
      <c r="K23" s="109" t="s">
        <v>389</v>
      </c>
      <c r="L23" s="33">
        <v>1000</v>
      </c>
      <c r="N23" s="109" t="s">
        <v>36</v>
      </c>
      <c r="O23" s="33">
        <v>20470</v>
      </c>
      <c r="Q23" s="109" t="s">
        <v>389</v>
      </c>
      <c r="R23" s="33">
        <v>5200</v>
      </c>
      <c r="Z23"/>
    </row>
    <row r="24" spans="1:26" s="33" customFormat="1" hidden="1" x14ac:dyDescent="0.25">
      <c r="A24" s="33">
        <v>21</v>
      </c>
      <c r="B24" s="33" t="s">
        <v>203</v>
      </c>
      <c r="C24" s="33">
        <v>30</v>
      </c>
      <c r="D24" s="33">
        <f t="shared" si="0"/>
        <v>42</v>
      </c>
      <c r="E24" s="33">
        <v>5</v>
      </c>
      <c r="F24" s="33">
        <f>7+3+2+4+21</f>
        <v>37</v>
      </c>
      <c r="G24" s="33">
        <f>I24+L24+O24+R24</f>
        <v>17770</v>
      </c>
      <c r="H24" s="109" t="s">
        <v>149</v>
      </c>
      <c r="I24" s="109">
        <v>600</v>
      </c>
      <c r="J24" s="109"/>
      <c r="K24" s="109" t="s">
        <v>389</v>
      </c>
      <c r="L24" s="109">
        <v>1000</v>
      </c>
      <c r="N24" s="109" t="s">
        <v>36</v>
      </c>
      <c r="O24" s="109">
        <v>15470</v>
      </c>
      <c r="Q24" s="109" t="s">
        <v>389</v>
      </c>
      <c r="R24" s="33">
        <v>700</v>
      </c>
      <c r="Z24"/>
    </row>
    <row r="25" spans="1:26" s="33" customFormat="1" hidden="1" x14ac:dyDescent="0.25">
      <c r="A25" s="33">
        <v>22</v>
      </c>
      <c r="B25" s="33" t="s">
        <v>203</v>
      </c>
      <c r="C25" s="33">
        <v>31</v>
      </c>
      <c r="D25" s="33">
        <f t="shared" si="0"/>
        <v>30</v>
      </c>
      <c r="E25" s="33">
        <v>5</v>
      </c>
      <c r="F25" s="33">
        <f>8+13+4</f>
        <v>25</v>
      </c>
      <c r="G25" s="33">
        <v>19750</v>
      </c>
      <c r="H25" s="109" t="s">
        <v>149</v>
      </c>
      <c r="I25" s="109">
        <v>600</v>
      </c>
      <c r="J25" s="109">
        <v>0</v>
      </c>
      <c r="K25" s="109" t="s">
        <v>389</v>
      </c>
      <c r="L25" s="109">
        <v>1100</v>
      </c>
      <c r="N25" s="109" t="s">
        <v>36</v>
      </c>
      <c r="O25" s="109">
        <v>17600</v>
      </c>
      <c r="Q25" s="109" t="s">
        <v>389</v>
      </c>
      <c r="R25" s="33">
        <v>450</v>
      </c>
      <c r="Z25"/>
    </row>
    <row r="26" spans="1:26" s="33" customFormat="1" x14ac:dyDescent="0.25">
      <c r="A26" s="33">
        <v>23</v>
      </c>
      <c r="B26" s="33" t="s">
        <v>203</v>
      </c>
      <c r="C26" s="33">
        <v>32</v>
      </c>
      <c r="D26" s="33">
        <f t="shared" si="0"/>
        <v>33</v>
      </c>
      <c r="E26" s="33">
        <v>5</v>
      </c>
      <c r="F26" s="33">
        <f>16+3+9</f>
        <v>28</v>
      </c>
      <c r="G26" s="33">
        <f>O26+L26+I26</f>
        <v>19300</v>
      </c>
      <c r="H26" s="109" t="s">
        <v>149</v>
      </c>
      <c r="I26" s="109">
        <v>300</v>
      </c>
      <c r="J26" s="109">
        <v>0</v>
      </c>
      <c r="K26" s="109" t="s">
        <v>36</v>
      </c>
      <c r="L26" s="109">
        <v>16800</v>
      </c>
      <c r="N26" s="109" t="s">
        <v>389</v>
      </c>
      <c r="O26" s="109">
        <v>2200</v>
      </c>
      <c r="Q26" s="109"/>
      <c r="Z26"/>
    </row>
    <row r="27" spans="1:26" s="33" customFormat="1" hidden="1" x14ac:dyDescent="0.25">
      <c r="A27" s="33">
        <v>24</v>
      </c>
      <c r="B27" s="33" t="s">
        <v>202</v>
      </c>
      <c r="C27" s="33">
        <v>33</v>
      </c>
      <c r="D27" s="33">
        <f t="shared" si="0"/>
        <v>165.5</v>
      </c>
      <c r="E27" s="33">
        <v>7.5</v>
      </c>
      <c r="F27" s="33">
        <f>6+8+112+27+1+4</f>
        <v>158</v>
      </c>
      <c r="G27" s="33">
        <f>I27+L27+O27+R27</f>
        <v>165500</v>
      </c>
      <c r="H27" s="36" t="s">
        <v>149</v>
      </c>
      <c r="I27" s="109">
        <v>400</v>
      </c>
      <c r="J27" s="109"/>
      <c r="K27" s="109" t="s">
        <v>389</v>
      </c>
      <c r="L27" s="109">
        <v>7000</v>
      </c>
      <c r="M27" s="109"/>
      <c r="N27" s="109" t="s">
        <v>37</v>
      </c>
      <c r="O27" s="109">
        <v>140550</v>
      </c>
      <c r="P27" s="109"/>
      <c r="Q27" s="109" t="s">
        <v>389</v>
      </c>
      <c r="R27" s="33">
        <v>17550</v>
      </c>
      <c r="Z27"/>
    </row>
    <row r="28" spans="1:26" s="33" customFormat="1" hidden="1" x14ac:dyDescent="0.25">
      <c r="A28" s="33">
        <v>25</v>
      </c>
      <c r="B28" s="33" t="s">
        <v>202</v>
      </c>
      <c r="C28" s="33">
        <v>34</v>
      </c>
      <c r="D28" s="33">
        <f t="shared" si="0"/>
        <v>112.5</v>
      </c>
      <c r="E28" s="33">
        <v>7.5</v>
      </c>
      <c r="F28" s="33">
        <f>84+6+4+7+4</f>
        <v>105</v>
      </c>
      <c r="G28" s="33">
        <f>U28+R28+O28+L28+I28</f>
        <v>146140</v>
      </c>
      <c r="H28" s="36" t="s">
        <v>149</v>
      </c>
      <c r="I28" s="109">
        <v>500</v>
      </c>
      <c r="J28" s="109"/>
      <c r="K28" s="109" t="s">
        <v>389</v>
      </c>
      <c r="L28" s="109">
        <v>400</v>
      </c>
      <c r="M28" s="109"/>
      <c r="N28" s="109" t="s">
        <v>36</v>
      </c>
      <c r="O28" s="109">
        <v>3100</v>
      </c>
      <c r="P28" s="109"/>
      <c r="Q28" s="108" t="s">
        <v>37</v>
      </c>
      <c r="R28" s="33">
        <v>141340</v>
      </c>
      <c r="T28" s="109" t="s">
        <v>389</v>
      </c>
      <c r="U28" s="33">
        <v>800</v>
      </c>
      <c r="Z28"/>
    </row>
    <row r="29" spans="1:26" s="33" customFormat="1" hidden="1" x14ac:dyDescent="0.25">
      <c r="A29" s="33">
        <v>26</v>
      </c>
      <c r="B29" s="33" t="s">
        <v>202</v>
      </c>
      <c r="C29" s="33">
        <v>35</v>
      </c>
      <c r="D29" s="33">
        <f t="shared" si="0"/>
        <v>120.5</v>
      </c>
      <c r="E29" s="33">
        <v>7.5</v>
      </c>
      <c r="F29" s="33">
        <f>5+6+93+9</f>
        <v>113</v>
      </c>
      <c r="G29" s="33">
        <f>I29+L29+O29+R29</f>
        <v>196350</v>
      </c>
      <c r="H29" s="109" t="s">
        <v>149</v>
      </c>
      <c r="I29" s="109">
        <v>400</v>
      </c>
      <c r="J29" s="109"/>
      <c r="K29" s="109" t="s">
        <v>389</v>
      </c>
      <c r="L29" s="109">
        <v>1250</v>
      </c>
      <c r="M29" s="109"/>
      <c r="N29" s="109" t="s">
        <v>37</v>
      </c>
      <c r="O29" s="109">
        <f>139000+55000</f>
        <v>194000</v>
      </c>
      <c r="P29" s="109"/>
      <c r="Q29" s="109" t="s">
        <v>389</v>
      </c>
      <c r="R29" s="33">
        <v>700</v>
      </c>
      <c r="Z29"/>
    </row>
    <row r="30" spans="1:26" s="33" customFormat="1" x14ac:dyDescent="0.25">
      <c r="A30" s="33">
        <v>27</v>
      </c>
      <c r="B30" s="33" t="s">
        <v>202</v>
      </c>
      <c r="C30" s="33">
        <v>36</v>
      </c>
      <c r="D30" s="33">
        <f t="shared" si="0"/>
        <v>190.5</v>
      </c>
      <c r="E30" s="33">
        <v>7.5</v>
      </c>
      <c r="F30" s="33">
        <f>53+41+68+8+5+8</f>
        <v>183</v>
      </c>
      <c r="G30" s="33">
        <f>R30+O30+L30+I30</f>
        <v>230160</v>
      </c>
      <c r="H30" s="109" t="s">
        <v>149</v>
      </c>
      <c r="I30" s="109">
        <v>400</v>
      </c>
      <c r="J30" s="109"/>
      <c r="K30" s="109" t="s">
        <v>36</v>
      </c>
      <c r="L30" s="109">
        <v>142710</v>
      </c>
      <c r="M30" s="109"/>
      <c r="N30" s="109" t="s">
        <v>37</v>
      </c>
      <c r="O30" s="109">
        <v>83950</v>
      </c>
      <c r="P30" s="109"/>
      <c r="Q30" s="109" t="s">
        <v>389</v>
      </c>
      <c r="R30" s="33">
        <v>3100</v>
      </c>
      <c r="Z30"/>
    </row>
    <row r="31" spans="1:26" s="33" customFormat="1" hidden="1" x14ac:dyDescent="0.25">
      <c r="A31" s="33">
        <v>28</v>
      </c>
      <c r="B31" s="33" t="s">
        <v>202</v>
      </c>
      <c r="C31" s="33">
        <v>37</v>
      </c>
      <c r="D31" s="33">
        <f t="shared" si="0"/>
        <v>166.5</v>
      </c>
      <c r="E31" s="33">
        <v>7.5</v>
      </c>
      <c r="F31" s="33">
        <f>75+4+7+69+4</f>
        <v>159</v>
      </c>
      <c r="G31" s="33">
        <f>I31+L31+O31+R31</f>
        <v>217800</v>
      </c>
      <c r="H31" s="36" t="s">
        <v>149</v>
      </c>
      <c r="I31" s="109">
        <v>300</v>
      </c>
      <c r="J31" s="109"/>
      <c r="K31" s="109" t="s">
        <v>389</v>
      </c>
      <c r="L31" s="109">
        <v>2500</v>
      </c>
      <c r="M31" s="109"/>
      <c r="N31" s="109" t="s">
        <v>37</v>
      </c>
      <c r="O31" s="109">
        <v>140000</v>
      </c>
      <c r="P31" s="109"/>
      <c r="Q31" s="109" t="s">
        <v>389</v>
      </c>
      <c r="R31" s="33">
        <v>75000</v>
      </c>
      <c r="Z31"/>
    </row>
    <row r="32" spans="1:26" s="33" customFormat="1" hidden="1" x14ac:dyDescent="0.25">
      <c r="A32" s="33">
        <v>29</v>
      </c>
      <c r="B32" s="33" t="s">
        <v>202</v>
      </c>
      <c r="C32" s="33">
        <v>38</v>
      </c>
      <c r="D32" s="33">
        <f t="shared" si="0"/>
        <v>100.5</v>
      </c>
      <c r="E32" s="33">
        <v>7.5</v>
      </c>
      <c r="F32" s="33">
        <f>7+7+79</f>
        <v>93</v>
      </c>
      <c r="G32" s="33">
        <f>I32+L32+O32+R32</f>
        <v>115880</v>
      </c>
      <c r="H32" s="36" t="s">
        <v>149</v>
      </c>
      <c r="I32" s="109">
        <v>500</v>
      </c>
      <c r="J32" s="109"/>
      <c r="K32" s="109" t="s">
        <v>389</v>
      </c>
      <c r="L32" s="109">
        <v>1400</v>
      </c>
      <c r="M32" s="109"/>
      <c r="N32" s="109" t="s">
        <v>37</v>
      </c>
      <c r="O32" s="109">
        <v>112980</v>
      </c>
      <c r="P32" s="109"/>
      <c r="Q32" s="109" t="s">
        <v>389</v>
      </c>
      <c r="R32" s="33">
        <v>1000</v>
      </c>
      <c r="Z32"/>
    </row>
    <row r="33" spans="1:26" s="33" customFormat="1" hidden="1" x14ac:dyDescent="0.25">
      <c r="A33" s="33">
        <v>30</v>
      </c>
      <c r="B33" s="33" t="s">
        <v>202</v>
      </c>
      <c r="C33" s="33">
        <v>39</v>
      </c>
      <c r="D33" s="33">
        <f t="shared" si="0"/>
        <v>141.5</v>
      </c>
      <c r="E33" s="33">
        <v>7.5</v>
      </c>
      <c r="F33" s="33">
        <f>4+1+125+4</f>
        <v>134</v>
      </c>
      <c r="G33" s="33">
        <f>L33+O33+I33+R33</f>
        <v>213400</v>
      </c>
      <c r="H33" s="109" t="s">
        <v>149</v>
      </c>
      <c r="I33" s="109">
        <v>300</v>
      </c>
      <c r="J33" s="109"/>
      <c r="K33" s="109" t="s">
        <v>389</v>
      </c>
      <c r="L33" s="109">
        <v>13000</v>
      </c>
      <c r="M33" s="109"/>
      <c r="N33" s="109" t="s">
        <v>37</v>
      </c>
      <c r="O33" s="109">
        <v>200000</v>
      </c>
      <c r="P33" s="109"/>
      <c r="Q33" s="108" t="s">
        <v>149</v>
      </c>
      <c r="R33" s="33">
        <v>100</v>
      </c>
      <c r="T33" s="108"/>
      <c r="Z33"/>
    </row>
    <row r="34" spans="1:26" s="33" customFormat="1" hidden="1" x14ac:dyDescent="0.25">
      <c r="A34" s="33">
        <v>31</v>
      </c>
      <c r="B34" s="33" t="s">
        <v>204</v>
      </c>
      <c r="C34" s="47">
        <v>40</v>
      </c>
      <c r="D34" s="33">
        <f t="shared" si="0"/>
        <v>352</v>
      </c>
      <c r="E34" s="47">
        <v>10</v>
      </c>
      <c r="F34" s="47">
        <f>8+327+3+4</f>
        <v>342</v>
      </c>
      <c r="G34" s="47">
        <f>R34+O34+L34+I34</f>
        <v>720900</v>
      </c>
      <c r="H34" s="110" t="s">
        <v>149</v>
      </c>
      <c r="I34" s="109">
        <v>300</v>
      </c>
      <c r="J34" s="109"/>
      <c r="K34" s="109" t="s">
        <v>389</v>
      </c>
      <c r="L34" s="109">
        <v>900</v>
      </c>
      <c r="M34" s="109">
        <f>L34/1000*$J$57</f>
        <v>0.18000000000000002</v>
      </c>
      <c r="N34" s="109" t="s">
        <v>37</v>
      </c>
      <c r="O34" s="109">
        <v>715000</v>
      </c>
      <c r="P34" s="109">
        <f>O34/1000*$J$61</f>
        <v>44.779428571428575</v>
      </c>
      <c r="Q34" s="109" t="s">
        <v>36</v>
      </c>
      <c r="R34" s="47">
        <v>4700</v>
      </c>
      <c r="S34" s="109">
        <f>R34/1000*$J$59</f>
        <v>0.52246095238095247</v>
      </c>
      <c r="T34" s="47"/>
      <c r="U34" s="47"/>
      <c r="V34" s="47"/>
      <c r="Y34">
        <f>SUM(M34,P34,S34,V34)</f>
        <v>45.481889523809528</v>
      </c>
      <c r="Z34"/>
    </row>
    <row r="35" spans="1:26" s="33" customFormat="1" hidden="1" x14ac:dyDescent="0.25">
      <c r="A35" s="33">
        <v>32</v>
      </c>
      <c r="B35" s="33" t="s">
        <v>204</v>
      </c>
      <c r="C35" s="41">
        <v>41</v>
      </c>
      <c r="D35" s="33">
        <f t="shared" si="0"/>
        <v>189</v>
      </c>
      <c r="E35" s="41">
        <v>10</v>
      </c>
      <c r="F35" s="41">
        <f>7+4+158+10</f>
        <v>179</v>
      </c>
      <c r="G35" s="41">
        <f>I35+L35+O35+R35</f>
        <v>427125</v>
      </c>
      <c r="H35" s="42" t="s">
        <v>149</v>
      </c>
      <c r="I35" s="109">
        <v>500</v>
      </c>
      <c r="J35" s="109"/>
      <c r="K35" s="109" t="s">
        <v>389</v>
      </c>
      <c r="L35" s="109">
        <v>3000</v>
      </c>
      <c r="M35" s="109">
        <f t="shared" ref="M35:M38" si="1">L35/1000*$J$57</f>
        <v>0.60000000000000009</v>
      </c>
      <c r="N35" s="109" t="s">
        <v>37</v>
      </c>
      <c r="O35" s="109">
        <f>425000-2000</f>
        <v>423000</v>
      </c>
      <c r="P35" s="109">
        <f t="shared" ref="P35:P38" si="2">O35/1000*$J$61</f>
        <v>26.491885714285718</v>
      </c>
      <c r="Q35" s="109" t="s">
        <v>389</v>
      </c>
      <c r="R35" s="33">
        <v>625</v>
      </c>
      <c r="S35" s="109">
        <f>R35/1000*$J$57</f>
        <v>0.125</v>
      </c>
      <c r="Y35">
        <f t="shared" ref="Y35:Y38" si="3">SUM(M35,P35,S35,V35)</f>
        <v>27.21688571428572</v>
      </c>
      <c r="Z35"/>
    </row>
    <row r="36" spans="1:26" s="33" customFormat="1" hidden="1" x14ac:dyDescent="0.25">
      <c r="A36" s="33">
        <v>33</v>
      </c>
      <c r="B36" s="33" t="s">
        <v>204</v>
      </c>
      <c r="C36" s="52">
        <v>42</v>
      </c>
      <c r="D36" s="33">
        <f t="shared" si="0"/>
        <v>372</v>
      </c>
      <c r="E36" s="52">
        <v>10</v>
      </c>
      <c r="F36" s="52">
        <f>33+277+23+4+4+21</f>
        <v>362</v>
      </c>
      <c r="G36" s="52">
        <f>U36+R36+O36+L36+I36</f>
        <v>687100</v>
      </c>
      <c r="H36" s="53" t="s">
        <v>149</v>
      </c>
      <c r="I36" s="109">
        <v>550</v>
      </c>
      <c r="J36" s="109">
        <v>0</v>
      </c>
      <c r="K36" s="109" t="s">
        <v>389</v>
      </c>
      <c r="L36" s="109">
        <v>700</v>
      </c>
      <c r="M36" s="109">
        <f t="shared" si="1"/>
        <v>0.13999999999999999</v>
      </c>
      <c r="N36" s="109" t="s">
        <v>37</v>
      </c>
      <c r="O36" s="109">
        <v>667000</v>
      </c>
      <c r="P36" s="109">
        <f t="shared" si="2"/>
        <v>41.773257142857148</v>
      </c>
      <c r="Q36" s="109" t="s">
        <v>36</v>
      </c>
      <c r="R36" s="33">
        <v>12350</v>
      </c>
      <c r="S36" s="109">
        <f>R36/1000*$J$59</f>
        <v>1.3728495238095237</v>
      </c>
      <c r="T36" s="109" t="s">
        <v>389</v>
      </c>
      <c r="U36" s="52">
        <v>6500</v>
      </c>
      <c r="V36" s="109">
        <f>U36/1000*$J$57</f>
        <v>1.3</v>
      </c>
      <c r="Y36">
        <f t="shared" si="3"/>
        <v>44.586106666666666</v>
      </c>
      <c r="Z36"/>
    </row>
    <row r="37" spans="1:26" s="33" customFormat="1" hidden="1" x14ac:dyDescent="0.25">
      <c r="A37" s="33">
        <v>34</v>
      </c>
      <c r="B37" s="33" t="s">
        <v>204</v>
      </c>
      <c r="C37" s="58">
        <v>43</v>
      </c>
      <c r="D37" s="33">
        <f t="shared" si="0"/>
        <v>304</v>
      </c>
      <c r="E37" s="58">
        <v>10</v>
      </c>
      <c r="F37" s="59">
        <v>294</v>
      </c>
      <c r="G37" s="59">
        <f>U37+R37+O37+L37+I37</f>
        <v>448180</v>
      </c>
      <c r="H37" s="63" t="s">
        <v>149</v>
      </c>
      <c r="I37" s="109">
        <v>500</v>
      </c>
      <c r="J37" s="109"/>
      <c r="K37" s="109" t="s">
        <v>389</v>
      </c>
      <c r="L37" s="109">
        <v>3640</v>
      </c>
      <c r="M37" s="109">
        <f t="shared" si="1"/>
        <v>0.72800000000000009</v>
      </c>
      <c r="N37" s="109" t="s">
        <v>36</v>
      </c>
      <c r="O37" s="109">
        <v>149880</v>
      </c>
      <c r="P37" s="109">
        <f>O37/1000*$J$59</f>
        <v>16.660946285714285</v>
      </c>
      <c r="Q37" s="108" t="s">
        <v>37</v>
      </c>
      <c r="R37" s="62">
        <v>284260</v>
      </c>
      <c r="S37" s="109">
        <f t="shared" ref="S37" si="4">R37/1000*$J$61</f>
        <v>17.802797714285717</v>
      </c>
      <c r="T37" s="109" t="s">
        <v>389</v>
      </c>
      <c r="U37" s="59">
        <v>9900</v>
      </c>
      <c r="V37" s="109">
        <f>U37/1000*$J$57</f>
        <v>1.9800000000000002</v>
      </c>
      <c r="Y37">
        <f t="shared" si="3"/>
        <v>37.171743999999997</v>
      </c>
      <c r="Z37"/>
    </row>
    <row r="38" spans="1:26" s="33" customFormat="1" hidden="1" x14ac:dyDescent="0.25">
      <c r="A38" s="33">
        <v>35</v>
      </c>
      <c r="B38" s="33" t="s">
        <v>204</v>
      </c>
      <c r="C38" s="64">
        <v>44</v>
      </c>
      <c r="D38" s="33">
        <f t="shared" si="0"/>
        <v>460</v>
      </c>
      <c r="E38" s="64">
        <v>10</v>
      </c>
      <c r="F38" s="65">
        <v>450</v>
      </c>
      <c r="G38" s="65">
        <f>I38+L38+O38+R38</f>
        <v>727300</v>
      </c>
      <c r="H38" s="65" t="s">
        <v>149</v>
      </c>
      <c r="I38" s="109">
        <v>400</v>
      </c>
      <c r="J38" s="109"/>
      <c r="K38" s="109" t="s">
        <v>389</v>
      </c>
      <c r="L38" s="109">
        <v>27400</v>
      </c>
      <c r="M38" s="109">
        <f t="shared" si="1"/>
        <v>5.48</v>
      </c>
      <c r="N38" s="109" t="s">
        <v>37</v>
      </c>
      <c r="O38" s="109">
        <v>667000</v>
      </c>
      <c r="P38" s="109">
        <f t="shared" si="2"/>
        <v>41.773257142857148</v>
      </c>
      <c r="Q38" s="109" t="s">
        <v>389</v>
      </c>
      <c r="R38" s="65">
        <v>32500</v>
      </c>
      <c r="S38" s="109">
        <f>R38/1000*$J$57</f>
        <v>6.5</v>
      </c>
      <c r="T38" s="64"/>
      <c r="U38" s="64"/>
      <c r="V38" s="64"/>
      <c r="Y38">
        <f t="shared" si="3"/>
        <v>53.753257142857152</v>
      </c>
      <c r="Z38"/>
    </row>
    <row r="39" spans="1:26" x14ac:dyDescent="0.25">
      <c r="A39" s="33">
        <v>36</v>
      </c>
      <c r="B39" t="s">
        <v>203</v>
      </c>
      <c r="C39">
        <v>11</v>
      </c>
      <c r="D39" s="33">
        <f t="shared" si="0"/>
        <v>35</v>
      </c>
      <c r="E39" s="33">
        <v>5</v>
      </c>
      <c r="F39">
        <f>7+2+18+3</f>
        <v>30</v>
      </c>
      <c r="G39">
        <v>14360</v>
      </c>
      <c r="H39" s="107" t="s">
        <v>149</v>
      </c>
      <c r="I39" s="109">
        <v>200</v>
      </c>
      <c r="J39" s="109"/>
      <c r="K39" s="109" t="s">
        <v>36</v>
      </c>
      <c r="L39" s="109">
        <v>11860</v>
      </c>
      <c r="M39" s="33"/>
      <c r="N39" s="109" t="s">
        <v>389</v>
      </c>
      <c r="O39" s="109">
        <v>2300</v>
      </c>
      <c r="P39" s="33"/>
    </row>
    <row r="40" spans="1:26" x14ac:dyDescent="0.25">
      <c r="A40" s="33">
        <v>37</v>
      </c>
      <c r="B40" t="s">
        <v>203</v>
      </c>
      <c r="C40">
        <v>12</v>
      </c>
      <c r="D40" s="33">
        <f t="shared" si="0"/>
        <v>52</v>
      </c>
      <c r="E40" s="33">
        <v>5</v>
      </c>
      <c r="F40">
        <f>5+28+6+8</f>
        <v>47</v>
      </c>
      <c r="G40">
        <f>I40+L40+O40</f>
        <v>21060</v>
      </c>
      <c r="H40" s="107" t="s">
        <v>149</v>
      </c>
      <c r="I40" s="109">
        <v>800</v>
      </c>
      <c r="J40" s="109"/>
      <c r="K40" s="109" t="s">
        <v>36</v>
      </c>
      <c r="L40" s="109">
        <v>16840</v>
      </c>
      <c r="M40" s="33"/>
      <c r="N40" s="109" t="s">
        <v>389</v>
      </c>
      <c r="O40" s="109">
        <v>3420</v>
      </c>
      <c r="P40" s="33"/>
    </row>
    <row r="41" spans="1:26" hidden="1" x14ac:dyDescent="0.25">
      <c r="A41" s="33">
        <v>38</v>
      </c>
      <c r="B41" t="s">
        <v>203</v>
      </c>
      <c r="C41">
        <v>14</v>
      </c>
      <c r="D41" s="33">
        <f t="shared" si="0"/>
        <v>43</v>
      </c>
      <c r="E41" s="33">
        <v>5</v>
      </c>
      <c r="F41">
        <f>15+13+4+4+2</f>
        <v>38</v>
      </c>
      <c r="G41">
        <f>O41+L41+I41</f>
        <v>18650</v>
      </c>
      <c r="H41" s="107" t="s">
        <v>149</v>
      </c>
      <c r="I41" s="109">
        <v>150</v>
      </c>
      <c r="J41" s="109"/>
      <c r="K41" s="109" t="s">
        <v>389</v>
      </c>
      <c r="L41" s="109">
        <v>5000</v>
      </c>
      <c r="M41" s="33"/>
      <c r="N41" s="109" t="s">
        <v>36</v>
      </c>
      <c r="O41" s="109">
        <v>13500</v>
      </c>
      <c r="P41" s="33"/>
    </row>
    <row r="42" spans="1:26" x14ac:dyDescent="0.25">
      <c r="A42" s="33">
        <v>39</v>
      </c>
      <c r="B42" t="s">
        <v>203</v>
      </c>
      <c r="C42">
        <v>15</v>
      </c>
      <c r="D42" s="33">
        <f>E42+F42</f>
        <v>39</v>
      </c>
      <c r="E42" s="33">
        <v>5</v>
      </c>
      <c r="F42">
        <f>7+19+4+4</f>
        <v>34</v>
      </c>
      <c r="G42">
        <v>15300</v>
      </c>
      <c r="H42" s="107" t="s">
        <v>149</v>
      </c>
      <c r="I42" s="109">
        <v>500</v>
      </c>
      <c r="J42" s="109"/>
      <c r="K42" s="109" t="s">
        <v>36</v>
      </c>
      <c r="L42" s="109">
        <v>14000</v>
      </c>
      <c r="M42" s="33"/>
      <c r="N42" s="109" t="s">
        <v>389</v>
      </c>
      <c r="O42" s="109">
        <v>800</v>
      </c>
      <c r="P42" s="33"/>
    </row>
    <row r="43" spans="1:26" hidden="1" x14ac:dyDescent="0.25">
      <c r="A43" s="33">
        <v>40</v>
      </c>
      <c r="B43" s="33" t="s">
        <v>204</v>
      </c>
      <c r="C43">
        <v>40</v>
      </c>
      <c r="D43" s="33">
        <f t="shared" si="0"/>
        <v>265</v>
      </c>
      <c r="E43">
        <v>100</v>
      </c>
      <c r="F43">
        <v>165</v>
      </c>
      <c r="G43">
        <f>I43+L43+O43</f>
        <v>590700</v>
      </c>
      <c r="H43" s="65" t="s">
        <v>149</v>
      </c>
      <c r="I43">
        <v>600</v>
      </c>
      <c r="K43" s="109" t="s">
        <v>389</v>
      </c>
      <c r="L43">
        <v>90100</v>
      </c>
      <c r="M43" s="109">
        <f t="shared" ref="M43:M47" si="5">L43/1000*$J$57</f>
        <v>18.02</v>
      </c>
      <c r="N43" s="120" t="s">
        <v>163</v>
      </c>
      <c r="O43">
        <v>500000</v>
      </c>
      <c r="P43">
        <v>51</v>
      </c>
      <c r="Y43">
        <f t="shared" ref="Y43:Y47" si="6">SUM(M43,P43,S43,V43)</f>
        <v>69.02</v>
      </c>
    </row>
    <row r="44" spans="1:26" hidden="1" x14ac:dyDescent="0.25">
      <c r="A44" s="33">
        <v>41</v>
      </c>
      <c r="B44" s="33" t="s">
        <v>204</v>
      </c>
      <c r="C44">
        <v>41</v>
      </c>
      <c r="D44" s="33">
        <f t="shared" si="0"/>
        <v>284</v>
      </c>
      <c r="E44">
        <v>100</v>
      </c>
      <c r="F44">
        <v>184</v>
      </c>
      <c r="G44">
        <f t="shared" ref="G44:G47" si="7">I44+L44+O44</f>
        <v>529135</v>
      </c>
      <c r="H44" s="65" t="s">
        <v>149</v>
      </c>
      <c r="I44">
        <v>600</v>
      </c>
      <c r="K44" s="109" t="s">
        <v>389</v>
      </c>
      <c r="L44">
        <v>128535</v>
      </c>
      <c r="M44" s="109">
        <f t="shared" si="5"/>
        <v>25.707000000000001</v>
      </c>
      <c r="N44" s="120" t="s">
        <v>163</v>
      </c>
      <c r="O44">
        <v>400000</v>
      </c>
      <c r="P44">
        <v>51</v>
      </c>
      <c r="Y44">
        <f t="shared" si="6"/>
        <v>76.706999999999994</v>
      </c>
    </row>
    <row r="45" spans="1:26" hidden="1" x14ac:dyDescent="0.25">
      <c r="A45" s="33">
        <v>42</v>
      </c>
      <c r="B45" s="33" t="s">
        <v>204</v>
      </c>
      <c r="C45">
        <v>42</v>
      </c>
      <c r="D45" s="33">
        <f t="shared" si="0"/>
        <v>295</v>
      </c>
      <c r="E45">
        <v>100</v>
      </c>
      <c r="F45">
        <v>195</v>
      </c>
      <c r="G45">
        <f t="shared" si="7"/>
        <v>502710</v>
      </c>
      <c r="H45" s="65" t="s">
        <v>149</v>
      </c>
      <c r="I45">
        <v>600</v>
      </c>
      <c r="K45" s="109" t="s">
        <v>389</v>
      </c>
      <c r="L45">
        <v>18000</v>
      </c>
      <c r="M45" s="109">
        <f t="shared" si="5"/>
        <v>3.6</v>
      </c>
      <c r="N45" s="120" t="s">
        <v>163</v>
      </c>
      <c r="O45">
        <v>484110</v>
      </c>
      <c r="P45">
        <v>51</v>
      </c>
      <c r="Y45">
        <f t="shared" si="6"/>
        <v>54.6</v>
      </c>
    </row>
    <row r="46" spans="1:26" hidden="1" x14ac:dyDescent="0.25">
      <c r="A46" s="33">
        <v>43</v>
      </c>
      <c r="B46" s="33" t="s">
        <v>204</v>
      </c>
      <c r="C46">
        <v>43</v>
      </c>
      <c r="D46" s="33">
        <f t="shared" si="0"/>
        <v>253</v>
      </c>
      <c r="E46">
        <v>100</v>
      </c>
      <c r="F46">
        <v>153</v>
      </c>
      <c r="G46">
        <f t="shared" si="7"/>
        <v>319080</v>
      </c>
      <c r="H46" s="65" t="s">
        <v>149</v>
      </c>
      <c r="I46">
        <v>600</v>
      </c>
      <c r="K46" s="109" t="s">
        <v>389</v>
      </c>
      <c r="L46">
        <v>9900</v>
      </c>
      <c r="M46" s="109">
        <f t="shared" si="5"/>
        <v>1.9800000000000002</v>
      </c>
      <c r="N46" s="120" t="s">
        <v>163</v>
      </c>
      <c r="O46">
        <v>308580</v>
      </c>
      <c r="P46">
        <v>51</v>
      </c>
      <c r="Y46">
        <f t="shared" si="6"/>
        <v>52.98</v>
      </c>
    </row>
    <row r="47" spans="1:26" hidden="1" x14ac:dyDescent="0.25">
      <c r="A47" s="33">
        <v>44</v>
      </c>
      <c r="B47" s="33" t="s">
        <v>204</v>
      </c>
      <c r="C47">
        <v>44</v>
      </c>
      <c r="D47" s="33">
        <f t="shared" si="0"/>
        <v>276</v>
      </c>
      <c r="E47">
        <v>100</v>
      </c>
      <c r="F47">
        <v>176</v>
      </c>
      <c r="G47">
        <f t="shared" si="7"/>
        <v>512720</v>
      </c>
      <c r="H47" s="65" t="s">
        <v>149</v>
      </c>
      <c r="I47">
        <v>600</v>
      </c>
      <c r="K47" s="109" t="s">
        <v>389</v>
      </c>
      <c r="L47">
        <v>51360</v>
      </c>
      <c r="M47" s="109">
        <f t="shared" si="5"/>
        <v>10.272</v>
      </c>
      <c r="N47" s="120" t="s">
        <v>163</v>
      </c>
      <c r="O47">
        <v>460760</v>
      </c>
      <c r="P47">
        <v>51</v>
      </c>
      <c r="Y47">
        <f t="shared" si="6"/>
        <v>61.271999999999998</v>
      </c>
    </row>
    <row r="48" spans="1:26" hidden="1" x14ac:dyDescent="0.25"/>
    <row r="49" spans="8:25" hidden="1" x14ac:dyDescent="0.25">
      <c r="Y49">
        <f>AVERAGE(Y34:Y47)</f>
        <v>52.278888304761914</v>
      </c>
    </row>
    <row r="56" spans="8:25" x14ac:dyDescent="0.25">
      <c r="H56" t="s">
        <v>34</v>
      </c>
      <c r="J56" s="36">
        <v>0.27</v>
      </c>
    </row>
    <row r="57" spans="8:25" x14ac:dyDescent="0.25">
      <c r="H57" t="s">
        <v>35</v>
      </c>
      <c r="J57" s="36">
        <v>0.2</v>
      </c>
    </row>
    <row r="58" spans="8:25" x14ac:dyDescent="0.25">
      <c r="H58" t="s">
        <v>414</v>
      </c>
      <c r="J58" s="33">
        <v>0.45365079365079364</v>
      </c>
    </row>
    <row r="59" spans="8:25" x14ac:dyDescent="0.25">
      <c r="H59" t="s">
        <v>415</v>
      </c>
      <c r="J59" s="33">
        <v>0.11116190476190477</v>
      </c>
    </row>
    <row r="60" spans="8:25" x14ac:dyDescent="0.25">
      <c r="H60" t="s">
        <v>416</v>
      </c>
      <c r="J60" s="33">
        <v>0.25142857142857145</v>
      </c>
    </row>
    <row r="61" spans="8:25" x14ac:dyDescent="0.25">
      <c r="H61" t="s">
        <v>417</v>
      </c>
      <c r="J61" s="33">
        <v>6.2628571428571436E-2</v>
      </c>
    </row>
    <row r="62" spans="8:25" x14ac:dyDescent="0.25">
      <c r="H62" t="s">
        <v>437</v>
      </c>
      <c r="J62" s="36">
        <v>0.25</v>
      </c>
    </row>
    <row r="63" spans="8:25" x14ac:dyDescent="0.25">
      <c r="H63" t="s">
        <v>438</v>
      </c>
      <c r="J63" s="93">
        <v>0.1</v>
      </c>
    </row>
  </sheetData>
  <autoFilter ref="A2:Z49" xr:uid="{7E8407C7-5135-4557-9021-05EB9839014E}">
    <filterColumn colId="10">
      <filters>
        <filter val="Pod_Schiene_Nah"/>
      </filters>
    </filterColumn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EE9C-C126-4922-B47E-B0F0EAA126C2}">
  <sheetPr codeName="Tabelle12"/>
  <dimension ref="A1:C5"/>
  <sheetViews>
    <sheetView workbookViewId="0"/>
  </sheetViews>
  <sheetFormatPr baseColWidth="10" defaultColWidth="8.5" defaultRowHeight="15" x14ac:dyDescent="0.25"/>
  <cols>
    <col min="1" max="1" width="13.25" style="33" bestFit="1" customWidth="1"/>
    <col min="2" max="2" width="10.75" style="33" bestFit="1" customWidth="1"/>
    <col min="3" max="3" width="14.75" style="33" bestFit="1" customWidth="1"/>
    <col min="4" max="16384" width="8.5" style="33"/>
  </cols>
  <sheetData>
    <row r="1" spans="1:3" x14ac:dyDescent="0.25">
      <c r="A1" s="33" t="s">
        <v>331</v>
      </c>
      <c r="B1" s="33" t="s">
        <v>176</v>
      </c>
      <c r="C1" s="33" t="s">
        <v>332</v>
      </c>
    </row>
    <row r="2" spans="1:3" x14ac:dyDescent="0.25">
      <c r="A2" s="33">
        <v>1</v>
      </c>
      <c r="B2" s="33" t="s">
        <v>200</v>
      </c>
      <c r="C2" s="33" t="s">
        <v>333</v>
      </c>
    </row>
    <row r="3" spans="1:3" x14ac:dyDescent="0.25">
      <c r="A3" s="33">
        <v>2</v>
      </c>
      <c r="B3" s="33" t="s">
        <v>203</v>
      </c>
      <c r="C3" s="33" t="s">
        <v>334</v>
      </c>
    </row>
    <row r="4" spans="1:3" x14ac:dyDescent="0.25">
      <c r="A4" s="33">
        <v>3</v>
      </c>
      <c r="B4" s="33" t="s">
        <v>202</v>
      </c>
      <c r="C4" s="33" t="s">
        <v>94</v>
      </c>
    </row>
    <row r="5" spans="1:3" x14ac:dyDescent="0.25">
      <c r="A5" s="33">
        <v>4</v>
      </c>
      <c r="B5" s="33" t="s">
        <v>204</v>
      </c>
      <c r="C5" s="33" t="s">
        <v>95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93300-353A-458C-A397-8AC11D006ADD}">
  <sheetPr codeName="Tabelle10" filterMode="1"/>
  <dimension ref="A1:I41"/>
  <sheetViews>
    <sheetView workbookViewId="0">
      <selection activeCell="H41" sqref="H41"/>
    </sheetView>
  </sheetViews>
  <sheetFormatPr baseColWidth="10" defaultColWidth="8.5" defaultRowHeight="15" x14ac:dyDescent="0.25"/>
  <cols>
    <col min="1" max="1" width="16.375" style="33" bestFit="1" customWidth="1"/>
    <col min="2" max="2" width="12.75" style="33" bestFit="1" customWidth="1"/>
    <col min="3" max="3" width="13.625" style="33" bestFit="1" customWidth="1"/>
    <col min="4" max="4" width="21.75" style="33" bestFit="1" customWidth="1"/>
    <col min="5" max="5" width="13.75" style="33" bestFit="1" customWidth="1"/>
    <col min="6" max="6" width="21.75" style="33" bestFit="1" customWidth="1"/>
    <col min="7" max="7" width="8.75" style="33" bestFit="1" customWidth="1"/>
    <col min="8" max="8" width="32.25" style="33" bestFit="1" customWidth="1"/>
    <col min="9" max="9" width="26.5" style="33" bestFit="1" customWidth="1"/>
    <col min="10" max="1025" width="8.375" style="33" customWidth="1"/>
    <col min="1026" max="16384" width="8.5" style="33"/>
  </cols>
  <sheetData>
    <row r="1" spans="1:9" x14ac:dyDescent="0.25">
      <c r="A1" s="33" t="s">
        <v>177</v>
      </c>
      <c r="B1" s="33" t="s">
        <v>176</v>
      </c>
      <c r="C1" s="33" t="s">
        <v>205</v>
      </c>
      <c r="D1" s="33" t="s">
        <v>206</v>
      </c>
      <c r="E1" s="33" t="s">
        <v>207</v>
      </c>
      <c r="F1" s="33" t="s">
        <v>208</v>
      </c>
      <c r="G1" s="33" t="s">
        <v>209</v>
      </c>
      <c r="H1" s="33" t="s">
        <v>210</v>
      </c>
      <c r="I1" s="33" t="s">
        <v>211</v>
      </c>
    </row>
    <row r="2" spans="1:9" hidden="1" x14ac:dyDescent="0.25">
      <c r="A2" s="33">
        <v>1</v>
      </c>
      <c r="B2" s="33">
        <v>1</v>
      </c>
      <c r="C2" s="33">
        <v>1</v>
      </c>
      <c r="D2" s="33" t="s">
        <v>212</v>
      </c>
      <c r="E2" s="33">
        <v>1</v>
      </c>
      <c r="F2" s="33" t="s">
        <v>212</v>
      </c>
      <c r="G2" s="33">
        <v>2000</v>
      </c>
      <c r="H2" s="33" t="s">
        <v>213</v>
      </c>
      <c r="I2" s="33" t="s">
        <v>214</v>
      </c>
    </row>
    <row r="3" spans="1:9" hidden="1" x14ac:dyDescent="0.25">
      <c r="A3" s="33">
        <v>2</v>
      </c>
      <c r="B3" s="33">
        <v>1</v>
      </c>
      <c r="C3" s="33">
        <v>2</v>
      </c>
      <c r="D3" s="33" t="s">
        <v>215</v>
      </c>
      <c r="E3" s="33">
        <v>2</v>
      </c>
      <c r="F3" s="33" t="s">
        <v>215</v>
      </c>
      <c r="G3" s="33">
        <v>2000</v>
      </c>
      <c r="H3" s="33" t="s">
        <v>216</v>
      </c>
      <c r="I3" s="33" t="s">
        <v>217</v>
      </c>
    </row>
    <row r="4" spans="1:9" hidden="1" x14ac:dyDescent="0.25">
      <c r="A4" s="33">
        <v>3</v>
      </c>
      <c r="B4" s="33">
        <v>1</v>
      </c>
      <c r="C4" s="33">
        <v>3</v>
      </c>
      <c r="D4" s="33" t="s">
        <v>218</v>
      </c>
      <c r="E4" s="33">
        <v>3</v>
      </c>
      <c r="F4" s="33" t="s">
        <v>218</v>
      </c>
      <c r="G4" s="33">
        <v>1930</v>
      </c>
      <c r="H4" s="33" t="s">
        <v>219</v>
      </c>
      <c r="I4" s="33" t="s">
        <v>220</v>
      </c>
    </row>
    <row r="5" spans="1:9" hidden="1" x14ac:dyDescent="0.25">
      <c r="A5" s="33">
        <v>4</v>
      </c>
      <c r="B5" s="33">
        <v>1</v>
      </c>
      <c r="C5" s="33">
        <v>4</v>
      </c>
      <c r="D5" s="33" t="s">
        <v>221</v>
      </c>
      <c r="E5" s="33">
        <v>4</v>
      </c>
      <c r="F5" s="33" t="s">
        <v>221</v>
      </c>
      <c r="G5" s="33">
        <v>2040</v>
      </c>
      <c r="H5" s="33" t="s">
        <v>222</v>
      </c>
      <c r="I5" s="104" t="s">
        <v>390</v>
      </c>
    </row>
    <row r="6" spans="1:9" hidden="1" x14ac:dyDescent="0.25">
      <c r="A6" s="33">
        <v>5</v>
      </c>
      <c r="B6" s="33">
        <v>1</v>
      </c>
      <c r="C6" s="33">
        <v>5</v>
      </c>
      <c r="D6" s="33" t="s">
        <v>223</v>
      </c>
      <c r="E6" s="33">
        <v>5</v>
      </c>
      <c r="F6" s="33" t="s">
        <v>223</v>
      </c>
      <c r="G6" s="33">
        <v>1920</v>
      </c>
      <c r="H6" s="33" t="s">
        <v>224</v>
      </c>
      <c r="I6" s="104" t="s">
        <v>391</v>
      </c>
    </row>
    <row r="7" spans="1:9" hidden="1" x14ac:dyDescent="0.25">
      <c r="A7" s="33">
        <v>6</v>
      </c>
      <c r="B7" s="33">
        <v>1</v>
      </c>
      <c r="C7" s="33">
        <v>6</v>
      </c>
      <c r="D7" s="33" t="s">
        <v>225</v>
      </c>
      <c r="E7" s="33">
        <v>6</v>
      </c>
      <c r="F7" s="33" t="s">
        <v>225</v>
      </c>
      <c r="G7" s="33">
        <v>2240</v>
      </c>
      <c r="H7" s="33" t="s">
        <v>226</v>
      </c>
      <c r="I7" s="33" t="s">
        <v>227</v>
      </c>
    </row>
    <row r="8" spans="1:9" hidden="1" x14ac:dyDescent="0.25">
      <c r="A8" s="33">
        <v>7</v>
      </c>
      <c r="B8" s="33">
        <v>1</v>
      </c>
      <c r="C8" s="33">
        <v>7</v>
      </c>
      <c r="D8" s="33" t="s">
        <v>228</v>
      </c>
      <c r="E8" s="33">
        <v>7</v>
      </c>
      <c r="F8" s="33" t="s">
        <v>228</v>
      </c>
      <c r="G8" s="33">
        <v>1950</v>
      </c>
      <c r="H8" s="33" t="s">
        <v>229</v>
      </c>
      <c r="I8" s="106" t="s">
        <v>230</v>
      </c>
    </row>
    <row r="9" spans="1:9" hidden="1" x14ac:dyDescent="0.25">
      <c r="A9" s="33">
        <v>8</v>
      </c>
      <c r="B9" s="33">
        <v>1</v>
      </c>
      <c r="C9" s="33">
        <v>8</v>
      </c>
      <c r="D9" s="33" t="s">
        <v>231</v>
      </c>
      <c r="E9" s="33">
        <v>8</v>
      </c>
      <c r="F9" s="33" t="s">
        <v>231</v>
      </c>
      <c r="G9" s="33">
        <v>1920</v>
      </c>
      <c r="H9" s="33" t="s">
        <v>232</v>
      </c>
      <c r="I9" s="33" t="s">
        <v>233</v>
      </c>
    </row>
    <row r="10" spans="1:9" hidden="1" x14ac:dyDescent="0.25">
      <c r="A10" s="33">
        <v>9</v>
      </c>
      <c r="B10" s="33">
        <v>1</v>
      </c>
      <c r="C10" s="33">
        <v>9</v>
      </c>
      <c r="D10" s="33" t="s">
        <v>234</v>
      </c>
      <c r="E10" s="33">
        <v>11</v>
      </c>
      <c r="F10" s="33" t="s">
        <v>235</v>
      </c>
      <c r="G10" s="33">
        <v>2140</v>
      </c>
      <c r="H10" s="33" t="s">
        <v>236</v>
      </c>
      <c r="I10" s="33" t="s">
        <v>237</v>
      </c>
    </row>
    <row r="11" spans="1:9" hidden="1" x14ac:dyDescent="0.25">
      <c r="A11" s="33">
        <v>10</v>
      </c>
      <c r="B11" s="33">
        <v>1</v>
      </c>
      <c r="C11" s="33">
        <v>10</v>
      </c>
      <c r="D11" s="33" t="s">
        <v>238</v>
      </c>
      <c r="E11" s="33">
        <v>12</v>
      </c>
      <c r="F11" s="33" t="s">
        <v>239</v>
      </c>
      <c r="G11" s="33">
        <v>1570</v>
      </c>
      <c r="H11" s="33" t="s">
        <v>240</v>
      </c>
      <c r="I11" s="33" t="s">
        <v>241</v>
      </c>
    </row>
    <row r="12" spans="1:9" hidden="1" x14ac:dyDescent="0.25">
      <c r="A12" s="33">
        <v>11</v>
      </c>
      <c r="B12" s="33">
        <v>2</v>
      </c>
      <c r="C12" s="33">
        <v>13</v>
      </c>
      <c r="D12" s="33" t="s">
        <v>242</v>
      </c>
      <c r="E12" s="33">
        <v>13</v>
      </c>
      <c r="F12" s="33" t="s">
        <v>242</v>
      </c>
      <c r="G12" s="33">
        <v>7780</v>
      </c>
      <c r="H12" s="108" t="s">
        <v>243</v>
      </c>
      <c r="I12" s="33" t="s">
        <v>244</v>
      </c>
    </row>
    <row r="13" spans="1:9" hidden="1" x14ac:dyDescent="0.25">
      <c r="A13" s="33">
        <v>12</v>
      </c>
      <c r="B13" s="33">
        <v>2</v>
      </c>
      <c r="C13" s="33">
        <v>1</v>
      </c>
      <c r="D13" s="33" t="s">
        <v>212</v>
      </c>
      <c r="E13" s="33">
        <v>1</v>
      </c>
      <c r="F13" s="33" t="s">
        <v>212</v>
      </c>
      <c r="G13" s="33">
        <v>11560</v>
      </c>
      <c r="H13" s="33" t="s">
        <v>245</v>
      </c>
      <c r="I13" s="33" t="s">
        <v>246</v>
      </c>
    </row>
    <row r="14" spans="1:9" hidden="1" x14ac:dyDescent="0.25">
      <c r="A14" s="33">
        <v>14</v>
      </c>
      <c r="B14" s="33">
        <v>2</v>
      </c>
      <c r="C14" s="33">
        <v>2</v>
      </c>
      <c r="D14" s="33" t="s">
        <v>221</v>
      </c>
      <c r="E14" s="33">
        <v>15</v>
      </c>
      <c r="F14" s="33" t="s">
        <v>247</v>
      </c>
      <c r="G14" s="33">
        <v>11090</v>
      </c>
      <c r="H14" s="108" t="s">
        <v>248</v>
      </c>
      <c r="I14" s="33" t="s">
        <v>249</v>
      </c>
    </row>
    <row r="15" spans="1:9" hidden="1" x14ac:dyDescent="0.25">
      <c r="A15" s="33">
        <v>15</v>
      </c>
      <c r="B15" s="33">
        <v>2</v>
      </c>
      <c r="C15" s="33">
        <v>16</v>
      </c>
      <c r="D15" s="33" t="s">
        <v>250</v>
      </c>
      <c r="E15" s="33">
        <v>16</v>
      </c>
      <c r="F15" s="33" t="s">
        <v>250</v>
      </c>
      <c r="G15" s="33">
        <v>10480</v>
      </c>
      <c r="H15" s="108" t="s">
        <v>251</v>
      </c>
      <c r="I15" s="33" t="s">
        <v>252</v>
      </c>
    </row>
    <row r="16" spans="1:9" hidden="1" x14ac:dyDescent="0.25">
      <c r="A16" s="33">
        <v>17</v>
      </c>
      <c r="B16" s="33">
        <v>3</v>
      </c>
      <c r="C16" s="33">
        <v>1</v>
      </c>
      <c r="D16" s="33" t="s">
        <v>212</v>
      </c>
      <c r="E16" s="33">
        <v>17</v>
      </c>
      <c r="F16" s="33" t="s">
        <v>253</v>
      </c>
      <c r="G16" s="33">
        <v>142590</v>
      </c>
      <c r="H16" s="108" t="s">
        <v>254</v>
      </c>
      <c r="I16" s="33" t="s">
        <v>255</v>
      </c>
    </row>
    <row r="17" spans="1:9" hidden="1" x14ac:dyDescent="0.25">
      <c r="A17" s="33">
        <v>18</v>
      </c>
      <c r="B17" s="33">
        <v>3</v>
      </c>
      <c r="C17" s="33">
        <v>1</v>
      </c>
      <c r="D17" s="33" t="s">
        <v>212</v>
      </c>
      <c r="E17" s="33">
        <v>18</v>
      </c>
      <c r="F17" s="33" t="s">
        <v>256</v>
      </c>
      <c r="G17" s="33">
        <v>140320</v>
      </c>
      <c r="H17" s="33" t="s">
        <v>254</v>
      </c>
      <c r="I17" s="33" t="s">
        <v>257</v>
      </c>
    </row>
    <row r="18" spans="1:9" hidden="1" x14ac:dyDescent="0.25">
      <c r="A18" s="33">
        <v>19</v>
      </c>
      <c r="B18" s="33">
        <v>3</v>
      </c>
      <c r="C18" s="33">
        <v>1</v>
      </c>
      <c r="D18" s="33" t="s">
        <v>212</v>
      </c>
      <c r="E18" s="33">
        <v>19</v>
      </c>
      <c r="F18" s="33" t="s">
        <v>258</v>
      </c>
      <c r="G18" s="33">
        <v>148450</v>
      </c>
      <c r="H18" s="33" t="s">
        <v>254</v>
      </c>
      <c r="I18" s="33" t="s">
        <v>259</v>
      </c>
    </row>
    <row r="19" spans="1:9" hidden="1" x14ac:dyDescent="0.25">
      <c r="A19" s="33">
        <v>22</v>
      </c>
      <c r="B19" s="33">
        <v>3</v>
      </c>
      <c r="C19" s="33">
        <v>8</v>
      </c>
      <c r="D19" s="33" t="s">
        <v>231</v>
      </c>
      <c r="E19" s="33">
        <v>22</v>
      </c>
      <c r="F19" s="33" t="s">
        <v>260</v>
      </c>
      <c r="G19" s="33">
        <v>143140</v>
      </c>
      <c r="H19" s="33" t="s">
        <v>261</v>
      </c>
      <c r="I19" s="33" t="s">
        <v>262</v>
      </c>
    </row>
    <row r="20" spans="1:9" hidden="1" x14ac:dyDescent="0.25">
      <c r="A20" s="33">
        <v>23</v>
      </c>
      <c r="B20" s="33">
        <v>3</v>
      </c>
      <c r="C20" s="33">
        <v>8</v>
      </c>
      <c r="D20" s="33" t="s">
        <v>231</v>
      </c>
      <c r="E20" s="33">
        <v>23</v>
      </c>
      <c r="F20" s="33" t="s">
        <v>263</v>
      </c>
      <c r="G20" s="33">
        <v>130420</v>
      </c>
      <c r="H20" s="33" t="s">
        <v>261</v>
      </c>
      <c r="I20" s="33" t="s">
        <v>264</v>
      </c>
    </row>
    <row r="21" spans="1:9" hidden="1" x14ac:dyDescent="0.25">
      <c r="A21" s="33">
        <v>24</v>
      </c>
      <c r="B21" s="33">
        <v>2</v>
      </c>
      <c r="C21" s="33">
        <v>24</v>
      </c>
      <c r="D21" s="33" t="s">
        <v>265</v>
      </c>
      <c r="E21" s="33">
        <v>25</v>
      </c>
      <c r="F21" s="33" t="s">
        <v>266</v>
      </c>
      <c r="G21" s="33">
        <v>10510</v>
      </c>
      <c r="H21" s="33" t="s">
        <v>267</v>
      </c>
      <c r="I21" s="33" t="s">
        <v>268</v>
      </c>
    </row>
    <row r="22" spans="1:9" hidden="1" x14ac:dyDescent="0.25">
      <c r="A22" s="33">
        <v>25</v>
      </c>
      <c r="B22" s="33">
        <v>2</v>
      </c>
      <c r="C22" s="33">
        <v>26</v>
      </c>
      <c r="D22" s="33" t="s">
        <v>269</v>
      </c>
      <c r="E22" s="33">
        <v>26</v>
      </c>
      <c r="F22" s="33" t="s">
        <v>269</v>
      </c>
      <c r="G22" s="33">
        <v>10410</v>
      </c>
      <c r="H22" s="108" t="s">
        <v>270</v>
      </c>
      <c r="I22" s="33" t="s">
        <v>271</v>
      </c>
    </row>
    <row r="23" spans="1:9" hidden="1" x14ac:dyDescent="0.25">
      <c r="A23" s="33">
        <v>26</v>
      </c>
      <c r="B23" s="33">
        <v>2</v>
      </c>
      <c r="C23" s="33">
        <v>27</v>
      </c>
      <c r="D23" s="33" t="s">
        <v>272</v>
      </c>
      <c r="E23" s="33">
        <v>28</v>
      </c>
      <c r="F23" s="33" t="s">
        <v>273</v>
      </c>
      <c r="G23" s="33">
        <v>11920</v>
      </c>
      <c r="H23" s="33" t="s">
        <v>274</v>
      </c>
      <c r="I23" s="33" t="s">
        <v>275</v>
      </c>
    </row>
    <row r="24" spans="1:9" hidden="1" x14ac:dyDescent="0.25">
      <c r="A24" s="33">
        <v>27</v>
      </c>
      <c r="B24" s="33">
        <v>2</v>
      </c>
      <c r="C24" s="33">
        <v>29</v>
      </c>
      <c r="D24" s="33" t="s">
        <v>276</v>
      </c>
      <c r="E24" s="33">
        <v>29</v>
      </c>
      <c r="F24" s="33" t="s">
        <v>276</v>
      </c>
      <c r="G24" s="33">
        <v>9110</v>
      </c>
      <c r="H24" s="33" t="s">
        <v>277</v>
      </c>
      <c r="I24" s="33" t="s">
        <v>278</v>
      </c>
    </row>
    <row r="25" spans="1:9" hidden="1" x14ac:dyDescent="0.25">
      <c r="A25" s="33">
        <v>28</v>
      </c>
      <c r="B25" s="33">
        <v>2</v>
      </c>
      <c r="C25" s="33">
        <v>13</v>
      </c>
      <c r="D25" s="33" t="s">
        <v>242</v>
      </c>
      <c r="E25" s="33">
        <v>30</v>
      </c>
      <c r="F25" s="33" t="s">
        <v>279</v>
      </c>
      <c r="G25" s="33">
        <v>10810</v>
      </c>
      <c r="H25" s="33" t="s">
        <v>280</v>
      </c>
      <c r="I25" s="33" t="s">
        <v>281</v>
      </c>
    </row>
    <row r="26" spans="1:9" hidden="1" x14ac:dyDescent="0.25">
      <c r="A26" s="33">
        <v>29</v>
      </c>
      <c r="B26" s="33">
        <v>2</v>
      </c>
      <c r="C26" s="33">
        <v>8</v>
      </c>
      <c r="D26" s="33" t="s">
        <v>231</v>
      </c>
      <c r="E26" s="33">
        <v>31</v>
      </c>
      <c r="F26" s="33" t="s">
        <v>282</v>
      </c>
      <c r="G26" s="33">
        <v>12777</v>
      </c>
      <c r="H26" s="33" t="s">
        <v>283</v>
      </c>
      <c r="I26" s="33" t="s">
        <v>284</v>
      </c>
    </row>
    <row r="27" spans="1:9" hidden="1" x14ac:dyDescent="0.25">
      <c r="A27" s="33">
        <v>30</v>
      </c>
      <c r="B27" s="33">
        <v>2</v>
      </c>
      <c r="C27" s="33">
        <v>32</v>
      </c>
      <c r="D27" s="33" t="s">
        <v>285</v>
      </c>
      <c r="E27" s="33">
        <v>33</v>
      </c>
      <c r="F27" s="33" t="s">
        <v>286</v>
      </c>
      <c r="G27" s="33">
        <v>9920</v>
      </c>
      <c r="H27" s="33" t="s">
        <v>287</v>
      </c>
      <c r="I27" s="33" t="s">
        <v>288</v>
      </c>
    </row>
    <row r="28" spans="1:9" hidden="1" x14ac:dyDescent="0.25">
      <c r="A28" s="33">
        <v>31</v>
      </c>
      <c r="B28" s="33">
        <v>2</v>
      </c>
      <c r="C28" s="33">
        <v>34</v>
      </c>
      <c r="D28" s="33" t="s">
        <v>289</v>
      </c>
      <c r="E28" s="33">
        <v>35</v>
      </c>
      <c r="F28" s="33" t="s">
        <v>290</v>
      </c>
      <c r="G28" s="33">
        <v>12340</v>
      </c>
      <c r="H28" s="33" t="s">
        <v>291</v>
      </c>
      <c r="I28" s="33" t="s">
        <v>292</v>
      </c>
    </row>
    <row r="29" spans="1:9" hidden="1" x14ac:dyDescent="0.25">
      <c r="A29" s="33">
        <v>32</v>
      </c>
      <c r="B29" s="33">
        <v>2</v>
      </c>
      <c r="C29" s="33">
        <v>8</v>
      </c>
      <c r="D29" s="33" t="s">
        <v>231</v>
      </c>
      <c r="E29" s="33">
        <v>36</v>
      </c>
      <c r="F29" s="33" t="s">
        <v>293</v>
      </c>
      <c r="G29" s="33">
        <v>13570</v>
      </c>
      <c r="H29" s="33" t="s">
        <v>294</v>
      </c>
      <c r="I29" s="33" t="s">
        <v>295</v>
      </c>
    </row>
    <row r="30" spans="1:9" hidden="1" x14ac:dyDescent="0.25">
      <c r="A30" s="33">
        <v>33</v>
      </c>
      <c r="B30" s="33">
        <v>3</v>
      </c>
      <c r="C30" s="33">
        <v>4</v>
      </c>
      <c r="D30" s="33" t="s">
        <v>221</v>
      </c>
      <c r="E30" s="33">
        <v>38</v>
      </c>
      <c r="F30" s="33" t="s">
        <v>296</v>
      </c>
      <c r="G30" s="33">
        <v>97000</v>
      </c>
      <c r="H30" s="33" t="s">
        <v>297</v>
      </c>
      <c r="I30" s="33" t="s">
        <v>298</v>
      </c>
    </row>
    <row r="31" spans="1:9" hidden="1" x14ac:dyDescent="0.25">
      <c r="A31" s="33">
        <v>34</v>
      </c>
      <c r="B31" s="33">
        <v>3</v>
      </c>
      <c r="C31" s="33">
        <v>37</v>
      </c>
      <c r="D31" s="33" t="s">
        <v>299</v>
      </c>
      <c r="E31" s="33">
        <v>39</v>
      </c>
      <c r="F31" s="33" t="s">
        <v>300</v>
      </c>
      <c r="G31" s="33">
        <v>109370</v>
      </c>
      <c r="H31" s="33" t="s">
        <v>301</v>
      </c>
      <c r="I31" s="33" t="s">
        <v>302</v>
      </c>
    </row>
    <row r="32" spans="1:9" hidden="1" x14ac:dyDescent="0.25">
      <c r="A32" s="33">
        <v>35</v>
      </c>
      <c r="B32" s="33">
        <v>3</v>
      </c>
      <c r="C32" s="33">
        <v>40</v>
      </c>
      <c r="D32" s="33" t="s">
        <v>303</v>
      </c>
      <c r="E32" s="33">
        <v>41</v>
      </c>
      <c r="F32" s="33" t="s">
        <v>304</v>
      </c>
      <c r="G32" s="33">
        <v>114090</v>
      </c>
      <c r="H32" s="33" t="s">
        <v>305</v>
      </c>
      <c r="I32" s="33" t="s">
        <v>306</v>
      </c>
    </row>
    <row r="33" spans="1:9" hidden="1" x14ac:dyDescent="0.25">
      <c r="A33" s="33">
        <v>36</v>
      </c>
      <c r="B33" s="33">
        <v>3</v>
      </c>
      <c r="C33" s="33">
        <v>43</v>
      </c>
      <c r="D33" s="33" t="s">
        <v>307</v>
      </c>
      <c r="E33" s="33">
        <v>42</v>
      </c>
      <c r="F33" s="33" t="s">
        <v>308</v>
      </c>
      <c r="G33" s="33">
        <v>146500</v>
      </c>
      <c r="H33" s="108" t="s">
        <v>309</v>
      </c>
      <c r="I33" s="33" t="s">
        <v>310</v>
      </c>
    </row>
    <row r="34" spans="1:9" hidden="1" x14ac:dyDescent="0.25">
      <c r="A34" s="33">
        <v>37</v>
      </c>
      <c r="B34" s="33">
        <v>3</v>
      </c>
      <c r="C34" s="33">
        <v>24</v>
      </c>
      <c r="D34" s="33" t="s">
        <v>265</v>
      </c>
      <c r="E34" s="33">
        <v>44</v>
      </c>
      <c r="F34" s="33" t="s">
        <v>311</v>
      </c>
      <c r="G34" s="33">
        <v>160000</v>
      </c>
      <c r="H34" s="33" t="s">
        <v>312</v>
      </c>
      <c r="I34" s="33" t="s">
        <v>313</v>
      </c>
    </row>
    <row r="35" spans="1:9" hidden="1" x14ac:dyDescent="0.25">
      <c r="A35" s="33">
        <v>38</v>
      </c>
      <c r="B35" s="33">
        <v>3</v>
      </c>
      <c r="C35" s="33">
        <v>45</v>
      </c>
      <c r="D35" s="33" t="s">
        <v>314</v>
      </c>
      <c r="E35" s="33">
        <v>46</v>
      </c>
      <c r="F35" s="33" t="s">
        <v>315</v>
      </c>
      <c r="G35" s="33">
        <v>105000</v>
      </c>
      <c r="H35" s="33" t="s">
        <v>316</v>
      </c>
      <c r="I35" s="33" t="s">
        <v>317</v>
      </c>
    </row>
    <row r="36" spans="1:9" hidden="1" x14ac:dyDescent="0.25">
      <c r="A36" s="33">
        <v>39</v>
      </c>
      <c r="B36" s="33">
        <v>3</v>
      </c>
      <c r="C36" s="33">
        <v>47</v>
      </c>
      <c r="D36" s="33" t="s">
        <v>318</v>
      </c>
      <c r="E36" s="33">
        <v>48</v>
      </c>
      <c r="F36" s="33" t="s">
        <v>319</v>
      </c>
      <c r="G36" s="33">
        <v>108720</v>
      </c>
      <c r="H36" s="33" t="s">
        <v>320</v>
      </c>
      <c r="I36" s="33" t="s">
        <v>321</v>
      </c>
    </row>
    <row r="37" spans="1:9" hidden="1" x14ac:dyDescent="0.25">
      <c r="A37" s="33">
        <v>40</v>
      </c>
      <c r="B37" s="33">
        <v>4</v>
      </c>
      <c r="C37" s="33">
        <v>15</v>
      </c>
      <c r="D37" s="33" t="s">
        <v>247</v>
      </c>
      <c r="E37" s="33">
        <v>1</v>
      </c>
      <c r="F37" s="33" t="s">
        <v>212</v>
      </c>
      <c r="G37" s="33">
        <v>500280</v>
      </c>
      <c r="H37" s="33" t="s">
        <v>322</v>
      </c>
      <c r="I37" s="33" t="s">
        <v>323</v>
      </c>
    </row>
    <row r="38" spans="1:9" hidden="1" x14ac:dyDescent="0.25">
      <c r="A38" s="33">
        <v>41</v>
      </c>
      <c r="B38" s="33">
        <v>4</v>
      </c>
      <c r="C38" s="33">
        <v>49</v>
      </c>
      <c r="D38" s="33" t="s">
        <v>324</v>
      </c>
      <c r="E38" s="33">
        <v>50</v>
      </c>
      <c r="F38" s="33" t="s">
        <v>325</v>
      </c>
      <c r="G38" s="33">
        <v>346010</v>
      </c>
      <c r="H38" s="33" t="s">
        <v>305</v>
      </c>
      <c r="I38" s="33" t="s">
        <v>326</v>
      </c>
    </row>
    <row r="39" spans="1:9" hidden="1" x14ac:dyDescent="0.25">
      <c r="A39" s="33">
        <v>42</v>
      </c>
      <c r="B39" s="33">
        <v>4</v>
      </c>
      <c r="C39" s="33">
        <v>52</v>
      </c>
      <c r="D39" s="33" t="s">
        <v>327</v>
      </c>
      <c r="E39" s="33">
        <v>51</v>
      </c>
      <c r="F39" s="33" t="s">
        <v>328</v>
      </c>
      <c r="G39" s="33">
        <v>473610</v>
      </c>
      <c r="H39" s="33" t="s">
        <v>329</v>
      </c>
      <c r="I39" s="33" t="s">
        <v>330</v>
      </c>
    </row>
    <row r="40" spans="1:9" hidden="1" x14ac:dyDescent="0.25">
      <c r="A40" s="33">
        <v>43</v>
      </c>
      <c r="B40" s="33">
        <v>4</v>
      </c>
      <c r="C40" s="33">
        <v>54</v>
      </c>
      <c r="D40" s="108" t="s">
        <v>392</v>
      </c>
      <c r="E40" s="33">
        <v>55</v>
      </c>
      <c r="F40" s="108" t="s">
        <v>393</v>
      </c>
      <c r="G40" s="33">
        <v>301880</v>
      </c>
      <c r="H40" s="108" t="s">
        <v>394</v>
      </c>
      <c r="I40" s="108" t="s">
        <v>395</v>
      </c>
    </row>
    <row r="41" spans="1:9" x14ac:dyDescent="0.25">
      <c r="A41" s="33">
        <v>44</v>
      </c>
      <c r="B41" s="33">
        <v>4</v>
      </c>
      <c r="C41" s="33">
        <v>56</v>
      </c>
      <c r="D41" s="108" t="s">
        <v>396</v>
      </c>
      <c r="E41" s="33">
        <v>57</v>
      </c>
      <c r="F41" s="108" t="s">
        <v>397</v>
      </c>
      <c r="G41" s="33">
        <v>421270</v>
      </c>
      <c r="H41" s="108" t="s">
        <v>398</v>
      </c>
      <c r="I41" s="108" t="s">
        <v>399</v>
      </c>
    </row>
  </sheetData>
  <autoFilter ref="A1:I41" xr:uid="{50CA056B-8F6B-471E-8578-018CED50311A}">
    <filterColumn colId="0">
      <filters>
        <filter val="44"/>
      </filters>
    </filterColumn>
  </autoFilter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F669E-B8F3-4241-964A-DA34B644459F}">
  <sheetPr codeName="Tabelle14" filterMode="1"/>
  <dimension ref="A1:I22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74" sqref="B174:B218"/>
    </sheetView>
  </sheetViews>
  <sheetFormatPr baseColWidth="10" defaultColWidth="10.625" defaultRowHeight="15.75" x14ac:dyDescent="0.25"/>
  <cols>
    <col min="1" max="1" width="10.75" bestFit="1" customWidth="1"/>
    <col min="2" max="2" width="12.875" bestFit="1" customWidth="1"/>
    <col min="3" max="3" width="15.5" bestFit="1" customWidth="1"/>
    <col min="4" max="4" width="11.875" bestFit="1" customWidth="1"/>
    <col min="5" max="5" width="12.75" bestFit="1" customWidth="1"/>
    <col min="6" max="8" width="11.875" bestFit="1" customWidth="1"/>
    <col min="9" max="9" width="45.5" bestFit="1" customWidth="1"/>
    <col min="10" max="10" width="11.875" bestFit="1" customWidth="1"/>
    <col min="11" max="11" width="15.5" bestFit="1" customWidth="1"/>
    <col min="12" max="14" width="11.875" bestFit="1" customWidth="1"/>
    <col min="15" max="21" width="12.75" bestFit="1" customWidth="1"/>
    <col min="22" max="22" width="15.5" bestFit="1" customWidth="1"/>
    <col min="23" max="25" width="12.75" bestFit="1" customWidth="1"/>
    <col min="26" max="32" width="11.875" bestFit="1" customWidth="1"/>
    <col min="33" max="33" width="15.5" bestFit="1" customWidth="1"/>
    <col min="34" max="43" width="11.875" bestFit="1" customWidth="1"/>
    <col min="44" max="44" width="15.5" bestFit="1" customWidth="1"/>
    <col min="45" max="50" width="11.875" bestFit="1" customWidth="1"/>
    <col min="51" max="51" width="15" bestFit="1" customWidth="1"/>
    <col min="52" max="52" width="11.875" bestFit="1" customWidth="1"/>
    <col min="53" max="53" width="6.375" bestFit="1" customWidth="1"/>
  </cols>
  <sheetData>
    <row r="1" spans="1:9" x14ac:dyDescent="0.25">
      <c r="A1" t="s">
        <v>402</v>
      </c>
      <c r="B1" t="s">
        <v>400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68</v>
      </c>
      <c r="I1" t="s">
        <v>457</v>
      </c>
    </row>
    <row r="2" spans="1:9" hidden="1" x14ac:dyDescent="0.25">
      <c r="A2" t="s">
        <v>202</v>
      </c>
      <c r="B2" t="s">
        <v>69</v>
      </c>
      <c r="C2" t="s">
        <v>33</v>
      </c>
      <c r="D2">
        <v>0</v>
      </c>
      <c r="E2">
        <v>0</v>
      </c>
      <c r="F2">
        <v>0</v>
      </c>
      <c r="G2">
        <v>0</v>
      </c>
      <c r="H2">
        <v>0</v>
      </c>
      <c r="I2" t="s">
        <v>445</v>
      </c>
    </row>
    <row r="3" spans="1:9" hidden="1" x14ac:dyDescent="0.25">
      <c r="A3" t="s">
        <v>202</v>
      </c>
      <c r="B3" t="s">
        <v>69</v>
      </c>
      <c r="C3" t="s">
        <v>31</v>
      </c>
      <c r="D3">
        <v>376.34720744611832</v>
      </c>
      <c r="E3">
        <v>261.48079597071717</v>
      </c>
      <c r="F3">
        <v>234.73178349009072</v>
      </c>
      <c r="G3">
        <v>229.23130737000278</v>
      </c>
      <c r="H3">
        <v>229.23130737000278</v>
      </c>
      <c r="I3" t="s">
        <v>451</v>
      </c>
    </row>
    <row r="4" spans="1:9" hidden="1" x14ac:dyDescent="0.25">
      <c r="A4" t="s">
        <v>202</v>
      </c>
      <c r="B4" t="s">
        <v>69</v>
      </c>
      <c r="C4" t="s">
        <v>180</v>
      </c>
      <c r="D4">
        <v>189.58916397676802</v>
      </c>
      <c r="E4">
        <v>220.21653679714481</v>
      </c>
      <c r="F4">
        <v>204.91723146161485</v>
      </c>
      <c r="G4">
        <v>204.91723146161485</v>
      </c>
      <c r="H4">
        <v>204.91723146161485</v>
      </c>
      <c r="I4" t="s">
        <v>452</v>
      </c>
    </row>
    <row r="5" spans="1:9" hidden="1" x14ac:dyDescent="0.25">
      <c r="A5" t="s">
        <v>202</v>
      </c>
      <c r="B5" t="s">
        <v>69</v>
      </c>
      <c r="C5" t="s">
        <v>152</v>
      </c>
      <c r="D5">
        <v>59.443051028726366</v>
      </c>
      <c r="E5">
        <v>76.270133792480635</v>
      </c>
      <c r="F5">
        <v>73.803176556415423</v>
      </c>
      <c r="G5">
        <v>70.722585827037562</v>
      </c>
      <c r="H5">
        <v>70.722585827037562</v>
      </c>
      <c r="I5" t="s">
        <v>444</v>
      </c>
    </row>
    <row r="6" spans="1:9" hidden="1" x14ac:dyDescent="0.25">
      <c r="A6" t="s">
        <v>202</v>
      </c>
      <c r="B6" t="s">
        <v>69</v>
      </c>
      <c r="C6" t="s">
        <v>181</v>
      </c>
      <c r="D6">
        <v>198446.65849419782</v>
      </c>
      <c r="E6">
        <v>230509.67716477945</v>
      </c>
      <c r="F6">
        <v>214500.19959449762</v>
      </c>
      <c r="G6">
        <v>214500.19959449762</v>
      </c>
      <c r="H6">
        <v>214500.19959449762</v>
      </c>
      <c r="I6" t="s">
        <v>453</v>
      </c>
    </row>
    <row r="7" spans="1:9" hidden="1" x14ac:dyDescent="0.25">
      <c r="A7" t="s">
        <v>202</v>
      </c>
      <c r="B7" t="s">
        <v>69</v>
      </c>
      <c r="C7" t="s">
        <v>150</v>
      </c>
      <c r="D7">
        <v>67.346342385094871</v>
      </c>
      <c r="E7">
        <v>49.92115319659213</v>
      </c>
      <c r="F7">
        <v>44.735994747961925</v>
      </c>
      <c r="G7">
        <v>43.764174612481092</v>
      </c>
      <c r="H7">
        <v>43.764174612481092</v>
      </c>
      <c r="I7" t="s">
        <v>454</v>
      </c>
    </row>
    <row r="8" spans="1:9" hidden="1" x14ac:dyDescent="0.25">
      <c r="A8" t="s">
        <v>202</v>
      </c>
      <c r="B8" t="s">
        <v>69</v>
      </c>
      <c r="C8" t="s">
        <v>30</v>
      </c>
      <c r="D8">
        <v>79.230991041288064</v>
      </c>
      <c r="E8">
        <v>58.638713970549858</v>
      </c>
      <c r="F8">
        <v>52.633869706148793</v>
      </c>
      <c r="G8">
        <v>51.406563208833582</v>
      </c>
      <c r="H8">
        <v>51.406563208833582</v>
      </c>
      <c r="I8" t="s">
        <v>454</v>
      </c>
    </row>
    <row r="9" spans="1:9" hidden="1" x14ac:dyDescent="0.25">
      <c r="A9" t="s">
        <v>202</v>
      </c>
      <c r="B9" t="s">
        <v>69</v>
      </c>
      <c r="C9" t="s">
        <v>29</v>
      </c>
      <c r="D9">
        <v>27532.769386847605</v>
      </c>
      <c r="E9">
        <v>20376.953104766075</v>
      </c>
      <c r="F9">
        <v>18294.971573582778</v>
      </c>
      <c r="G9">
        <v>17863.780715069668</v>
      </c>
      <c r="H9">
        <v>17863.780715069668</v>
      </c>
      <c r="I9" t="s">
        <v>455</v>
      </c>
    </row>
    <row r="10" spans="1:9" hidden="1" x14ac:dyDescent="0.25">
      <c r="A10" t="s">
        <v>202</v>
      </c>
      <c r="B10" t="s">
        <v>69</v>
      </c>
      <c r="C10" t="s">
        <v>178</v>
      </c>
      <c r="D10">
        <v>189.58916397676802</v>
      </c>
      <c r="E10">
        <v>220.21653679714481</v>
      </c>
      <c r="F10">
        <v>204.91723146161485</v>
      </c>
      <c r="G10">
        <v>204.91723146161485</v>
      </c>
      <c r="H10">
        <v>204.91723146161485</v>
      </c>
      <c r="I10" t="s">
        <v>452</v>
      </c>
    </row>
    <row r="11" spans="1:9" hidden="1" x14ac:dyDescent="0.25">
      <c r="A11" t="s">
        <v>202</v>
      </c>
      <c r="B11" t="s">
        <v>69</v>
      </c>
      <c r="C11" t="s">
        <v>32</v>
      </c>
      <c r="D11">
        <v>2.6844974074855141</v>
      </c>
      <c r="E11">
        <v>1.194519272614786</v>
      </c>
      <c r="F11">
        <v>1.075777757905283</v>
      </c>
      <c r="G11">
        <v>1.075777757905283</v>
      </c>
      <c r="H11">
        <v>1.075777757905283</v>
      </c>
      <c r="I11" t="s">
        <v>456</v>
      </c>
    </row>
    <row r="12" spans="1:9" hidden="1" x14ac:dyDescent="0.25">
      <c r="A12" t="s">
        <v>202</v>
      </c>
      <c r="B12" t="s">
        <v>69</v>
      </c>
      <c r="C12" t="s">
        <v>179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452</v>
      </c>
    </row>
    <row r="13" spans="1:9" hidden="1" x14ac:dyDescent="0.25">
      <c r="A13" t="s">
        <v>202</v>
      </c>
      <c r="B13" t="s">
        <v>403</v>
      </c>
      <c r="C13" t="s">
        <v>33</v>
      </c>
      <c r="H13">
        <v>0</v>
      </c>
    </row>
    <row r="14" spans="1:9" hidden="1" x14ac:dyDescent="0.25">
      <c r="A14" t="s">
        <v>202</v>
      </c>
      <c r="B14" t="s">
        <v>403</v>
      </c>
      <c r="C14" t="s">
        <v>31</v>
      </c>
      <c r="H14">
        <v>89.733582381556801</v>
      </c>
    </row>
    <row r="15" spans="1:9" hidden="1" x14ac:dyDescent="0.25">
      <c r="A15" t="s">
        <v>202</v>
      </c>
      <c r="B15" t="s">
        <v>403</v>
      </c>
      <c r="C15" t="s">
        <v>180</v>
      </c>
      <c r="H15">
        <v>175.51772821475819</v>
      </c>
    </row>
    <row r="16" spans="1:9" hidden="1" x14ac:dyDescent="0.25">
      <c r="A16" t="s">
        <v>202</v>
      </c>
      <c r="B16" t="s">
        <v>403</v>
      </c>
      <c r="C16" t="s">
        <v>152</v>
      </c>
      <c r="H16">
        <v>0</v>
      </c>
    </row>
    <row r="17" spans="1:8" hidden="1" x14ac:dyDescent="0.25">
      <c r="A17" t="s">
        <v>202</v>
      </c>
      <c r="B17" t="s">
        <v>403</v>
      </c>
      <c r="C17" t="s">
        <v>181</v>
      </c>
      <c r="H17">
        <v>240631.05696556024</v>
      </c>
    </row>
    <row r="18" spans="1:8" hidden="1" x14ac:dyDescent="0.25">
      <c r="A18" t="s">
        <v>202</v>
      </c>
      <c r="B18" t="s">
        <v>403</v>
      </c>
      <c r="C18" t="s">
        <v>150</v>
      </c>
      <c r="H18">
        <v>3.177827416343165</v>
      </c>
    </row>
    <row r="19" spans="1:8" hidden="1" x14ac:dyDescent="0.25">
      <c r="A19" t="s">
        <v>202</v>
      </c>
      <c r="B19" t="s">
        <v>403</v>
      </c>
      <c r="C19" t="s">
        <v>30</v>
      </c>
      <c r="H19">
        <v>0.2167097265032342</v>
      </c>
    </row>
    <row r="20" spans="1:8" hidden="1" x14ac:dyDescent="0.25">
      <c r="A20" t="s">
        <v>202</v>
      </c>
      <c r="B20" t="s">
        <v>403</v>
      </c>
      <c r="C20" t="s">
        <v>29</v>
      </c>
      <c r="H20">
        <v>2775.2607712307672</v>
      </c>
    </row>
    <row r="21" spans="1:8" hidden="1" x14ac:dyDescent="0.25">
      <c r="A21" t="s">
        <v>202</v>
      </c>
      <c r="B21" t="s">
        <v>403</v>
      </c>
      <c r="C21" t="s">
        <v>178</v>
      </c>
      <c r="H21">
        <v>184.82297182338505</v>
      </c>
    </row>
    <row r="22" spans="1:8" hidden="1" x14ac:dyDescent="0.25">
      <c r="A22" t="s">
        <v>202</v>
      </c>
      <c r="B22" t="s">
        <v>403</v>
      </c>
      <c r="C22" t="s">
        <v>32</v>
      </c>
      <c r="H22">
        <v>0.89994232055732659</v>
      </c>
    </row>
    <row r="23" spans="1:8" hidden="1" x14ac:dyDescent="0.25">
      <c r="A23" t="s">
        <v>202</v>
      </c>
      <c r="B23" t="s">
        <v>403</v>
      </c>
      <c r="C23" t="s">
        <v>179</v>
      </c>
      <c r="H23">
        <v>9.3052436086268457</v>
      </c>
    </row>
    <row r="24" spans="1:8" hidden="1" x14ac:dyDescent="0.25">
      <c r="A24" t="s">
        <v>202</v>
      </c>
      <c r="B24" t="s">
        <v>404</v>
      </c>
      <c r="C24" t="s">
        <v>33</v>
      </c>
      <c r="H24">
        <v>0</v>
      </c>
    </row>
    <row r="25" spans="1:8" hidden="1" x14ac:dyDescent="0.25">
      <c r="A25" t="s">
        <v>202</v>
      </c>
      <c r="B25" t="s">
        <v>404</v>
      </c>
      <c r="C25" t="s">
        <v>31</v>
      </c>
      <c r="H25">
        <v>346.62026737077548</v>
      </c>
    </row>
    <row r="26" spans="1:8" hidden="1" x14ac:dyDescent="0.25">
      <c r="A26" t="s">
        <v>202</v>
      </c>
      <c r="B26" t="s">
        <v>404</v>
      </c>
      <c r="C26" t="s">
        <v>180</v>
      </c>
      <c r="H26">
        <v>170.75596490948902</v>
      </c>
    </row>
    <row r="27" spans="1:8" hidden="1" x14ac:dyDescent="0.25">
      <c r="A27" t="s">
        <v>202</v>
      </c>
      <c r="B27" t="s">
        <v>404</v>
      </c>
      <c r="C27" t="s">
        <v>152</v>
      </c>
      <c r="H27">
        <v>0</v>
      </c>
    </row>
    <row r="28" spans="1:8" hidden="1" x14ac:dyDescent="0.25">
      <c r="A28" t="s">
        <v>202</v>
      </c>
      <c r="B28" t="s">
        <v>404</v>
      </c>
      <c r="C28" t="s">
        <v>181</v>
      </c>
      <c r="H28">
        <v>240631.05696556024</v>
      </c>
    </row>
    <row r="29" spans="1:8" hidden="1" x14ac:dyDescent="0.25">
      <c r="A29" t="s">
        <v>202</v>
      </c>
      <c r="B29" t="s">
        <v>404</v>
      </c>
      <c r="C29" t="s">
        <v>150</v>
      </c>
      <c r="H29">
        <v>4.4409172333793467</v>
      </c>
    </row>
    <row r="30" spans="1:8" hidden="1" x14ac:dyDescent="0.25">
      <c r="A30" t="s">
        <v>202</v>
      </c>
      <c r="B30" t="s">
        <v>404</v>
      </c>
      <c r="C30" t="s">
        <v>30</v>
      </c>
      <c r="H30">
        <v>2.9551381809109594</v>
      </c>
    </row>
    <row r="31" spans="1:8" hidden="1" x14ac:dyDescent="0.25">
      <c r="A31" t="s">
        <v>202</v>
      </c>
      <c r="B31" t="s">
        <v>404</v>
      </c>
      <c r="C31" t="s">
        <v>29</v>
      </c>
      <c r="H31">
        <v>9567.8927108868302</v>
      </c>
    </row>
    <row r="32" spans="1:8" hidden="1" x14ac:dyDescent="0.25">
      <c r="A32" t="s">
        <v>202</v>
      </c>
      <c r="B32" t="s">
        <v>404</v>
      </c>
      <c r="C32" t="s">
        <v>178</v>
      </c>
      <c r="H32">
        <v>179.90826618216511</v>
      </c>
    </row>
    <row r="33" spans="1:8" hidden="1" x14ac:dyDescent="0.25">
      <c r="A33" t="s">
        <v>202</v>
      </c>
      <c r="B33" t="s">
        <v>404</v>
      </c>
      <c r="C33" t="s">
        <v>32</v>
      </c>
      <c r="H33">
        <v>0.96674517028609208</v>
      </c>
    </row>
    <row r="34" spans="1:8" hidden="1" x14ac:dyDescent="0.25">
      <c r="A34" t="s">
        <v>202</v>
      </c>
      <c r="B34" t="s">
        <v>404</v>
      </c>
      <c r="C34" t="s">
        <v>179</v>
      </c>
      <c r="H34">
        <v>9.1523012726760857</v>
      </c>
    </row>
    <row r="35" spans="1:8" hidden="1" x14ac:dyDescent="0.25">
      <c r="A35" t="s">
        <v>202</v>
      </c>
      <c r="B35" t="s">
        <v>401</v>
      </c>
      <c r="C35" t="s">
        <v>33</v>
      </c>
      <c r="D35">
        <v>0</v>
      </c>
      <c r="E35">
        <v>0</v>
      </c>
      <c r="F35">
        <v>0</v>
      </c>
      <c r="G35">
        <v>0</v>
      </c>
    </row>
    <row r="36" spans="1:8" hidden="1" x14ac:dyDescent="0.25">
      <c r="A36" t="s">
        <v>202</v>
      </c>
      <c r="B36" t="s">
        <v>401</v>
      </c>
      <c r="C36" t="s">
        <v>31</v>
      </c>
      <c r="D36">
        <v>165.25605339603973</v>
      </c>
      <c r="E36">
        <v>126.31809796558878</v>
      </c>
      <c r="F36">
        <v>113.83019149911698</v>
      </c>
      <c r="G36">
        <v>113.83019149911698</v>
      </c>
    </row>
    <row r="37" spans="1:8" hidden="1" x14ac:dyDescent="0.25">
      <c r="A37" t="s">
        <v>202</v>
      </c>
      <c r="B37" t="s">
        <v>401</v>
      </c>
      <c r="C37" t="s">
        <v>180</v>
      </c>
      <c r="D37">
        <v>188.67888370307338</v>
      </c>
      <c r="E37">
        <v>192.20226911760733</v>
      </c>
      <c r="F37">
        <v>182.44311857328489</v>
      </c>
      <c r="G37">
        <v>182.44311857328489</v>
      </c>
    </row>
    <row r="38" spans="1:8" hidden="1" x14ac:dyDescent="0.25">
      <c r="A38" t="s">
        <v>202</v>
      </c>
      <c r="B38" t="s">
        <v>401</v>
      </c>
      <c r="C38" t="s">
        <v>152</v>
      </c>
      <c r="D38">
        <v>41.984319615605742</v>
      </c>
      <c r="E38">
        <v>42.566270884479195</v>
      </c>
      <c r="F38">
        <v>36.54655117635982</v>
      </c>
      <c r="G38">
        <v>36.526403914929055</v>
      </c>
    </row>
    <row r="39" spans="1:8" hidden="1" x14ac:dyDescent="0.25">
      <c r="A39" t="s">
        <v>202</v>
      </c>
      <c r="B39" t="s">
        <v>401</v>
      </c>
      <c r="C39" t="s">
        <v>181</v>
      </c>
      <c r="D39">
        <v>236534.78646906771</v>
      </c>
      <c r="E39">
        <v>238745.46624829358</v>
      </c>
      <c r="F39">
        <v>238745.46624829358</v>
      </c>
      <c r="G39">
        <v>238745.46624829358</v>
      </c>
    </row>
    <row r="40" spans="1:8" hidden="1" x14ac:dyDescent="0.25">
      <c r="A40" t="s">
        <v>202</v>
      </c>
      <c r="B40" t="s">
        <v>401</v>
      </c>
      <c r="C40" t="s">
        <v>150</v>
      </c>
      <c r="D40">
        <v>24.695747947575079</v>
      </c>
      <c r="E40">
        <v>3.3116901063851198</v>
      </c>
      <c r="F40">
        <v>3.0226204572720681</v>
      </c>
      <c r="G40">
        <v>3.0226204572720681</v>
      </c>
    </row>
    <row r="41" spans="1:8" hidden="1" x14ac:dyDescent="0.25">
      <c r="A41" t="s">
        <v>202</v>
      </c>
      <c r="B41" t="s">
        <v>401</v>
      </c>
      <c r="C41" t="s">
        <v>30</v>
      </c>
      <c r="D41">
        <v>0.66974274164506298</v>
      </c>
      <c r="E41">
        <v>3.0502655028327441E-2</v>
      </c>
      <c r="F41">
        <v>2.7752713382211705E-2</v>
      </c>
      <c r="G41">
        <v>2.7752713382211705E-2</v>
      </c>
    </row>
    <row r="42" spans="1:8" hidden="1" x14ac:dyDescent="0.25">
      <c r="A42" t="s">
        <v>202</v>
      </c>
      <c r="B42" t="s">
        <v>401</v>
      </c>
      <c r="C42" t="s">
        <v>29</v>
      </c>
      <c r="D42">
        <v>11795.246286965647</v>
      </c>
      <c r="E42">
        <v>3710.0765229399417</v>
      </c>
      <c r="F42">
        <v>3350.1864087127751</v>
      </c>
      <c r="G42">
        <v>3350.1864087127751</v>
      </c>
    </row>
    <row r="43" spans="1:8" hidden="1" x14ac:dyDescent="0.25">
      <c r="A43" t="s">
        <v>202</v>
      </c>
      <c r="B43" t="s">
        <v>401</v>
      </c>
      <c r="C43" t="s">
        <v>178</v>
      </c>
      <c r="D43">
        <v>251.06583964529005</v>
      </c>
      <c r="E43">
        <v>255.0626151542522</v>
      </c>
      <c r="F43">
        <v>244.62570127363438</v>
      </c>
      <c r="G43">
        <v>238.61678097173143</v>
      </c>
    </row>
    <row r="44" spans="1:8" hidden="1" x14ac:dyDescent="0.25">
      <c r="A44" t="s">
        <v>202</v>
      </c>
      <c r="B44" t="s">
        <v>401</v>
      </c>
      <c r="C44" t="s">
        <v>32</v>
      </c>
      <c r="D44">
        <v>1.0770827797331988</v>
      </c>
      <c r="E44">
        <v>0.79442561202430872</v>
      </c>
      <c r="F44">
        <v>0.78447911416646943</v>
      </c>
      <c r="G44">
        <v>0.78447911416646943</v>
      </c>
    </row>
    <row r="45" spans="1:8" hidden="1" x14ac:dyDescent="0.25">
      <c r="A45" t="s">
        <v>202</v>
      </c>
      <c r="B45" t="s">
        <v>401</v>
      </c>
      <c r="C45" t="s">
        <v>179</v>
      </c>
      <c r="D45">
        <v>62.386955942216673</v>
      </c>
      <c r="E45">
        <v>62.860346036644856</v>
      </c>
      <c r="F45">
        <v>62.182582700349485</v>
      </c>
      <c r="G45">
        <v>56.173662398446524</v>
      </c>
    </row>
    <row r="46" spans="1:8" hidden="1" x14ac:dyDescent="0.25">
      <c r="A46" t="s">
        <v>204</v>
      </c>
      <c r="B46" t="s">
        <v>163</v>
      </c>
      <c r="C46" t="s">
        <v>33</v>
      </c>
      <c r="D46">
        <v>214.92918012440106</v>
      </c>
      <c r="E46">
        <v>225.1515542237147</v>
      </c>
      <c r="F46">
        <v>221.76287039757034</v>
      </c>
      <c r="G46">
        <v>239.84493558239143</v>
      </c>
      <c r="H46">
        <v>239.84493558239143</v>
      </c>
    </row>
    <row r="47" spans="1:8" hidden="1" x14ac:dyDescent="0.25">
      <c r="A47" t="s">
        <v>204</v>
      </c>
      <c r="B47" t="s">
        <v>163</v>
      </c>
      <c r="C47" t="s">
        <v>31</v>
      </c>
      <c r="D47">
        <v>728.19268623857772</v>
      </c>
      <c r="E47">
        <v>456.51058184907339</v>
      </c>
      <c r="F47">
        <v>450.53244646413395</v>
      </c>
      <c r="G47">
        <v>452.30397298095858</v>
      </c>
      <c r="H47">
        <v>452.30397298095858</v>
      </c>
    </row>
    <row r="48" spans="1:8" hidden="1" x14ac:dyDescent="0.25">
      <c r="A48" t="s">
        <v>204</v>
      </c>
      <c r="B48" t="s">
        <v>163</v>
      </c>
      <c r="C48" t="s">
        <v>180</v>
      </c>
      <c r="D48">
        <v>224.94162561958709</v>
      </c>
      <c r="E48">
        <v>229.00879325764237</v>
      </c>
      <c r="F48">
        <v>227.11149167144902</v>
      </c>
      <c r="G48">
        <v>228.57379097530105</v>
      </c>
      <c r="H48">
        <v>228.57379097530105</v>
      </c>
    </row>
    <row r="49" spans="1:8" hidden="1" x14ac:dyDescent="0.25">
      <c r="A49" t="s">
        <v>204</v>
      </c>
      <c r="B49" t="s">
        <v>163</v>
      </c>
      <c r="C49" t="s">
        <v>152</v>
      </c>
      <c r="D49">
        <v>95.132890123834017</v>
      </c>
      <c r="E49">
        <v>104.0414458498778</v>
      </c>
      <c r="F49">
        <v>66.701293892722944</v>
      </c>
      <c r="G49">
        <v>66.021017800270442</v>
      </c>
      <c r="H49">
        <v>66.021017800270442</v>
      </c>
    </row>
    <row r="50" spans="1:8" hidden="1" x14ac:dyDescent="0.25">
      <c r="A50" t="s">
        <v>204</v>
      </c>
      <c r="B50" t="s">
        <v>163</v>
      </c>
      <c r="C50" t="s">
        <v>181</v>
      </c>
      <c r="D50">
        <v>498822.49782973382</v>
      </c>
      <c r="E50">
        <v>508327.44436218881</v>
      </c>
      <c r="F50">
        <v>506329.2779394674</v>
      </c>
      <c r="G50">
        <v>509602.7402317613</v>
      </c>
      <c r="H50">
        <v>509602.7402317613</v>
      </c>
    </row>
    <row r="51" spans="1:8" hidden="1" x14ac:dyDescent="0.25">
      <c r="A51" t="s">
        <v>204</v>
      </c>
      <c r="B51" t="s">
        <v>163</v>
      </c>
      <c r="C51" t="s">
        <v>150</v>
      </c>
      <c r="D51">
        <v>235.44256055729838</v>
      </c>
      <c r="E51">
        <v>141.91983140729764</v>
      </c>
      <c r="F51">
        <v>141.21174322436337</v>
      </c>
      <c r="G51">
        <v>141.55196226835392</v>
      </c>
      <c r="H51">
        <v>141.55196226835392</v>
      </c>
    </row>
    <row r="52" spans="1:8" hidden="1" x14ac:dyDescent="0.25">
      <c r="A52" t="s">
        <v>204</v>
      </c>
      <c r="B52" t="s">
        <v>163</v>
      </c>
      <c r="C52" t="s">
        <v>30</v>
      </c>
      <c r="D52">
        <v>27.189181051319053</v>
      </c>
      <c r="E52">
        <v>17.912714026521002</v>
      </c>
      <c r="F52">
        <v>17.162660580431748</v>
      </c>
      <c r="G52">
        <v>17.560095482914903</v>
      </c>
      <c r="H52">
        <v>17.560095482914903</v>
      </c>
    </row>
    <row r="53" spans="1:8" hidden="1" x14ac:dyDescent="0.25">
      <c r="A53" t="s">
        <v>204</v>
      </c>
      <c r="B53" t="s">
        <v>163</v>
      </c>
      <c r="C53" t="s">
        <v>29</v>
      </c>
      <c r="D53">
        <v>92513.789262438964</v>
      </c>
      <c r="E53">
        <v>56532.902743157931</v>
      </c>
      <c r="F53">
        <v>56197.010325371077</v>
      </c>
      <c r="G53">
        <v>56334.998616939141</v>
      </c>
      <c r="H53">
        <v>56334.998616939141</v>
      </c>
    </row>
    <row r="54" spans="1:8" hidden="1" x14ac:dyDescent="0.25">
      <c r="A54" t="s">
        <v>204</v>
      </c>
      <c r="B54" t="s">
        <v>163</v>
      </c>
      <c r="C54" t="s">
        <v>178</v>
      </c>
      <c r="D54">
        <v>327.8833188965898</v>
      </c>
      <c r="E54">
        <v>333.01039537131004</v>
      </c>
      <c r="F54">
        <v>330.63433287285795</v>
      </c>
      <c r="G54">
        <v>331.72000803139355</v>
      </c>
      <c r="H54">
        <v>331.72000803139355</v>
      </c>
    </row>
    <row r="55" spans="1:8" hidden="1" x14ac:dyDescent="0.25">
      <c r="A55" t="s">
        <v>204</v>
      </c>
      <c r="B55" t="s">
        <v>163</v>
      </c>
      <c r="C55" t="s">
        <v>32</v>
      </c>
      <c r="D55">
        <v>0.48086448989161162</v>
      </c>
      <c r="E55">
        <v>0.28559849049252417</v>
      </c>
      <c r="F55">
        <v>0.27565366369025324</v>
      </c>
      <c r="G55">
        <v>0.27911312358776608</v>
      </c>
      <c r="H55">
        <v>0.27911312358776608</v>
      </c>
    </row>
    <row r="56" spans="1:8" hidden="1" x14ac:dyDescent="0.25">
      <c r="A56" t="s">
        <v>204</v>
      </c>
      <c r="B56" t="s">
        <v>163</v>
      </c>
      <c r="C56" t="s">
        <v>179</v>
      </c>
      <c r="D56">
        <v>102.94169327700274</v>
      </c>
      <c r="E56">
        <v>104.00160211366764</v>
      </c>
      <c r="F56">
        <v>103.52284120140892</v>
      </c>
      <c r="G56">
        <v>103.1462170560925</v>
      </c>
      <c r="H56">
        <v>103.1462170560925</v>
      </c>
    </row>
    <row r="57" spans="1:8" hidden="1" x14ac:dyDescent="0.25">
      <c r="A57" t="s">
        <v>204</v>
      </c>
      <c r="B57" t="s">
        <v>69</v>
      </c>
      <c r="C57" t="s">
        <v>33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hidden="1" x14ac:dyDescent="0.25">
      <c r="A58" t="s">
        <v>204</v>
      </c>
      <c r="B58" t="s">
        <v>69</v>
      </c>
      <c r="C58" t="s">
        <v>31</v>
      </c>
      <c r="D58">
        <v>982.51048852639883</v>
      </c>
      <c r="E58">
        <v>684.14024739308593</v>
      </c>
      <c r="F58">
        <v>614.17414373476197</v>
      </c>
      <c r="G58">
        <v>599.8585106565024</v>
      </c>
      <c r="H58">
        <v>599.8585106565024</v>
      </c>
    </row>
    <row r="59" spans="1:8" hidden="1" x14ac:dyDescent="0.25">
      <c r="A59" t="s">
        <v>204</v>
      </c>
      <c r="B59" t="s">
        <v>69</v>
      </c>
      <c r="C59" t="s">
        <v>180</v>
      </c>
      <c r="D59">
        <v>413.34275219125885</v>
      </c>
      <c r="E59">
        <v>481.00650649754982</v>
      </c>
      <c r="F59">
        <v>447.59406864999812</v>
      </c>
      <c r="G59">
        <v>447.59406864999812</v>
      </c>
      <c r="H59">
        <v>447.59406864999812</v>
      </c>
    </row>
    <row r="60" spans="1:8" hidden="1" x14ac:dyDescent="0.25">
      <c r="A60" t="s">
        <v>204</v>
      </c>
      <c r="B60" t="s">
        <v>69</v>
      </c>
      <c r="C60" t="s">
        <v>152</v>
      </c>
      <c r="D60">
        <v>155.69739364852833</v>
      </c>
      <c r="E60">
        <v>199.82507687312426</v>
      </c>
      <c r="F60">
        <v>193.20315469548021</v>
      </c>
      <c r="G60">
        <v>185.18030133358099</v>
      </c>
      <c r="H60">
        <v>185.18030133358099</v>
      </c>
    </row>
    <row r="61" spans="1:8" hidden="1" x14ac:dyDescent="0.25">
      <c r="A61" t="s">
        <v>204</v>
      </c>
      <c r="B61" t="s">
        <v>69</v>
      </c>
      <c r="C61" t="s">
        <v>181</v>
      </c>
      <c r="D61">
        <v>520400.69927331695</v>
      </c>
      <c r="E61">
        <v>604807.68292442593</v>
      </c>
      <c r="F61">
        <v>563141.14321638341</v>
      </c>
      <c r="G61">
        <v>563141.14321638341</v>
      </c>
      <c r="H61">
        <v>563141.14321638341</v>
      </c>
    </row>
    <row r="62" spans="1:8" hidden="1" x14ac:dyDescent="0.25">
      <c r="A62" t="s">
        <v>204</v>
      </c>
      <c r="B62" t="s">
        <v>69</v>
      </c>
      <c r="C62" t="s">
        <v>150</v>
      </c>
      <c r="D62">
        <v>176.04104304783607</v>
      </c>
      <c r="E62">
        <v>130.15082619654996</v>
      </c>
      <c r="F62">
        <v>116.63666362729279</v>
      </c>
      <c r="G62">
        <v>114.10738794753838</v>
      </c>
      <c r="H62">
        <v>114.10738794753838</v>
      </c>
    </row>
    <row r="63" spans="1:8" hidden="1" x14ac:dyDescent="0.25">
      <c r="A63" t="s">
        <v>204</v>
      </c>
      <c r="B63" t="s">
        <v>69</v>
      </c>
      <c r="C63" t="s">
        <v>30</v>
      </c>
      <c r="D63">
        <v>205.86181930662141</v>
      </c>
      <c r="E63">
        <v>152.61589431467357</v>
      </c>
      <c r="F63">
        <v>136.98743032987861</v>
      </c>
      <c r="G63">
        <v>133.79322148203659</v>
      </c>
      <c r="H63">
        <v>133.79322148203659</v>
      </c>
    </row>
    <row r="64" spans="1:8" hidden="1" x14ac:dyDescent="0.25">
      <c r="A64" t="s">
        <v>204</v>
      </c>
      <c r="B64" t="s">
        <v>69</v>
      </c>
      <c r="C64" t="s">
        <v>29</v>
      </c>
      <c r="D64">
        <v>71870.707505951796</v>
      </c>
      <c r="E64">
        <v>53162.803021754822</v>
      </c>
      <c r="F64">
        <v>47732.156590230945</v>
      </c>
      <c r="G64">
        <v>46609.931898693743</v>
      </c>
      <c r="H64">
        <v>46609.931898693743</v>
      </c>
    </row>
    <row r="65" spans="1:8" hidden="1" x14ac:dyDescent="0.25">
      <c r="A65" t="s">
        <v>204</v>
      </c>
      <c r="B65" t="s">
        <v>69</v>
      </c>
      <c r="C65" t="s">
        <v>178</v>
      </c>
      <c r="D65">
        <v>413.34275219125885</v>
      </c>
      <c r="E65">
        <v>481.00650649754982</v>
      </c>
      <c r="F65">
        <v>447.59406864999812</v>
      </c>
      <c r="G65">
        <v>447.59406864999812</v>
      </c>
      <c r="H65">
        <v>447.59406864999812</v>
      </c>
    </row>
    <row r="66" spans="1:8" hidden="1" x14ac:dyDescent="0.25">
      <c r="A66" t="s">
        <v>204</v>
      </c>
      <c r="B66" t="s">
        <v>69</v>
      </c>
      <c r="C66" t="s">
        <v>32</v>
      </c>
      <c r="D66">
        <v>2.1971085456141077</v>
      </c>
      <c r="E66">
        <v>0.9811473269439297</v>
      </c>
      <c r="F66">
        <v>0.88351341887719381</v>
      </c>
      <c r="G66">
        <v>0.88351341887719381</v>
      </c>
      <c r="H66">
        <v>0.88351341887719381</v>
      </c>
    </row>
    <row r="67" spans="1:8" hidden="1" x14ac:dyDescent="0.25">
      <c r="A67" t="s">
        <v>204</v>
      </c>
      <c r="B67" t="s">
        <v>69</v>
      </c>
      <c r="C67" t="s">
        <v>179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hidden="1" x14ac:dyDescent="0.25">
      <c r="A68" t="s">
        <v>204</v>
      </c>
      <c r="B68" t="s">
        <v>403</v>
      </c>
      <c r="C68" t="s">
        <v>33</v>
      </c>
      <c r="H68">
        <v>0</v>
      </c>
    </row>
    <row r="69" spans="1:8" hidden="1" x14ac:dyDescent="0.25">
      <c r="A69" t="s">
        <v>204</v>
      </c>
      <c r="B69" t="s">
        <v>403</v>
      </c>
      <c r="C69" t="s">
        <v>31</v>
      </c>
      <c r="H69">
        <v>317.26938387482494</v>
      </c>
    </row>
    <row r="70" spans="1:8" hidden="1" x14ac:dyDescent="0.25">
      <c r="A70" t="s">
        <v>204</v>
      </c>
      <c r="B70" t="s">
        <v>403</v>
      </c>
      <c r="C70" t="s">
        <v>180</v>
      </c>
      <c r="H70">
        <v>248.87767476827736</v>
      </c>
    </row>
    <row r="71" spans="1:8" hidden="1" x14ac:dyDescent="0.25">
      <c r="A71" t="s">
        <v>204</v>
      </c>
      <c r="B71" t="s">
        <v>403</v>
      </c>
      <c r="C71" t="s">
        <v>152</v>
      </c>
      <c r="H71">
        <v>52.338066172386405</v>
      </c>
    </row>
    <row r="72" spans="1:8" hidden="1" x14ac:dyDescent="0.25">
      <c r="A72" t="s">
        <v>204</v>
      </c>
      <c r="B72" t="s">
        <v>403</v>
      </c>
      <c r="C72" t="s">
        <v>181</v>
      </c>
      <c r="H72">
        <v>547752.90531719488</v>
      </c>
    </row>
    <row r="73" spans="1:8" hidden="1" x14ac:dyDescent="0.25">
      <c r="A73" t="s">
        <v>204</v>
      </c>
      <c r="B73" t="s">
        <v>403</v>
      </c>
      <c r="C73" t="s">
        <v>150</v>
      </c>
      <c r="H73">
        <v>72.963921718346015</v>
      </c>
    </row>
    <row r="74" spans="1:8" hidden="1" x14ac:dyDescent="0.25">
      <c r="A74" t="s">
        <v>204</v>
      </c>
      <c r="B74" t="s">
        <v>403</v>
      </c>
      <c r="C74" t="s">
        <v>30</v>
      </c>
      <c r="H74">
        <v>5.6792823022516741</v>
      </c>
    </row>
    <row r="75" spans="1:8" hidden="1" x14ac:dyDescent="0.25">
      <c r="A75" t="s">
        <v>204</v>
      </c>
      <c r="B75" t="s">
        <v>403</v>
      </c>
      <c r="C75" t="s">
        <v>29</v>
      </c>
      <c r="H75">
        <v>30496.837417562052</v>
      </c>
    </row>
    <row r="76" spans="1:8" hidden="1" x14ac:dyDescent="0.25">
      <c r="A76" t="s">
        <v>204</v>
      </c>
      <c r="B76" t="s">
        <v>403</v>
      </c>
      <c r="C76" t="s">
        <v>178</v>
      </c>
      <c r="H76">
        <v>305.66855739533293</v>
      </c>
    </row>
    <row r="77" spans="1:8" hidden="1" x14ac:dyDescent="0.25">
      <c r="A77" t="s">
        <v>204</v>
      </c>
      <c r="B77" t="s">
        <v>403</v>
      </c>
      <c r="C77" t="s">
        <v>32</v>
      </c>
      <c r="H77">
        <v>0.47917839217153929</v>
      </c>
    </row>
    <row r="78" spans="1:8" hidden="1" x14ac:dyDescent="0.25">
      <c r="A78" t="s">
        <v>204</v>
      </c>
      <c r="B78" t="s">
        <v>403</v>
      </c>
      <c r="C78" t="s">
        <v>179</v>
      </c>
      <c r="H78">
        <v>56.790882627055609</v>
      </c>
    </row>
    <row r="79" spans="1:8" hidden="1" x14ac:dyDescent="0.25">
      <c r="A79" t="s">
        <v>204</v>
      </c>
      <c r="B79" t="s">
        <v>404</v>
      </c>
      <c r="C79" t="s">
        <v>33</v>
      </c>
      <c r="H79">
        <v>0</v>
      </c>
    </row>
    <row r="80" spans="1:8" hidden="1" x14ac:dyDescent="0.25">
      <c r="A80" t="s">
        <v>204</v>
      </c>
      <c r="B80" t="s">
        <v>404</v>
      </c>
      <c r="C80" t="s">
        <v>31</v>
      </c>
      <c r="H80">
        <v>644.27271574321196</v>
      </c>
    </row>
    <row r="81" spans="1:8" hidden="1" x14ac:dyDescent="0.25">
      <c r="A81" t="s">
        <v>204</v>
      </c>
      <c r="B81" t="s">
        <v>404</v>
      </c>
      <c r="C81" t="s">
        <v>180</v>
      </c>
      <c r="H81">
        <v>244.63411248365014</v>
      </c>
    </row>
    <row r="82" spans="1:8" hidden="1" x14ac:dyDescent="0.25">
      <c r="A82" t="s">
        <v>204</v>
      </c>
      <c r="B82" t="s">
        <v>404</v>
      </c>
      <c r="C82" t="s">
        <v>152</v>
      </c>
      <c r="H82">
        <v>52.338066172386405</v>
      </c>
    </row>
    <row r="83" spans="1:8" hidden="1" x14ac:dyDescent="0.25">
      <c r="A83" t="s">
        <v>204</v>
      </c>
      <c r="B83" t="s">
        <v>404</v>
      </c>
      <c r="C83" t="s">
        <v>181</v>
      </c>
      <c r="H83">
        <v>547752.90531719488</v>
      </c>
    </row>
    <row r="84" spans="1:8" hidden="1" x14ac:dyDescent="0.25">
      <c r="A84" t="s">
        <v>204</v>
      </c>
      <c r="B84" t="s">
        <v>404</v>
      </c>
      <c r="C84" t="s">
        <v>150</v>
      </c>
      <c r="H84">
        <v>74.452489723952908</v>
      </c>
    </row>
    <row r="85" spans="1:8" hidden="1" x14ac:dyDescent="0.25">
      <c r="A85" t="s">
        <v>204</v>
      </c>
      <c r="B85" t="s">
        <v>404</v>
      </c>
      <c r="C85" t="s">
        <v>30</v>
      </c>
      <c r="H85">
        <v>10.591518121186333</v>
      </c>
    </row>
    <row r="86" spans="1:8" hidden="1" x14ac:dyDescent="0.25">
      <c r="A86" t="s">
        <v>204</v>
      </c>
      <c r="B86" t="s">
        <v>404</v>
      </c>
      <c r="C86" t="s">
        <v>29</v>
      </c>
      <c r="H86">
        <v>39243.743819455747</v>
      </c>
    </row>
    <row r="87" spans="1:8" hidden="1" x14ac:dyDescent="0.25">
      <c r="A87" t="s">
        <v>204</v>
      </c>
      <c r="B87" t="s">
        <v>404</v>
      </c>
      <c r="C87" t="s">
        <v>178</v>
      </c>
      <c r="H87">
        <v>300.2021412627127</v>
      </c>
    </row>
    <row r="88" spans="1:8" hidden="1" x14ac:dyDescent="0.25">
      <c r="A88" t="s">
        <v>204</v>
      </c>
      <c r="B88" t="s">
        <v>404</v>
      </c>
      <c r="C88" t="s">
        <v>32</v>
      </c>
      <c r="H88">
        <v>0.52505290883126388</v>
      </c>
    </row>
    <row r="89" spans="1:8" hidden="1" x14ac:dyDescent="0.25">
      <c r="A89" t="s">
        <v>204</v>
      </c>
      <c r="B89" t="s">
        <v>404</v>
      </c>
      <c r="C89" t="s">
        <v>179</v>
      </c>
      <c r="H89">
        <v>55.568028779062601</v>
      </c>
    </row>
    <row r="90" spans="1:8" hidden="1" x14ac:dyDescent="0.25">
      <c r="A90" t="s">
        <v>204</v>
      </c>
      <c r="B90" t="s">
        <v>401</v>
      </c>
      <c r="C90" t="s">
        <v>33</v>
      </c>
      <c r="D90">
        <v>247.83488812651959</v>
      </c>
      <c r="E90">
        <v>252.89124700928011</v>
      </c>
      <c r="F90">
        <v>252.46028125765702</v>
      </c>
      <c r="G90">
        <v>254.55102531509976</v>
      </c>
    </row>
    <row r="91" spans="1:8" hidden="1" x14ac:dyDescent="0.25">
      <c r="A91" t="s">
        <v>204</v>
      </c>
      <c r="B91" t="s">
        <v>401</v>
      </c>
      <c r="C91" t="s">
        <v>31</v>
      </c>
      <c r="D91">
        <v>320.1077270569408</v>
      </c>
      <c r="E91">
        <v>244.80485181111479</v>
      </c>
      <c r="F91">
        <v>220.33685327120224</v>
      </c>
      <c r="G91">
        <v>220.75422447824067</v>
      </c>
    </row>
    <row r="92" spans="1:8" hidden="1" x14ac:dyDescent="0.25">
      <c r="A92" t="s">
        <v>204</v>
      </c>
      <c r="B92" t="s">
        <v>401</v>
      </c>
      <c r="C92" t="s">
        <v>180</v>
      </c>
      <c r="D92">
        <v>335.86377812636329</v>
      </c>
      <c r="E92">
        <v>340.56659716762073</v>
      </c>
      <c r="F92">
        <v>323.43684953209157</v>
      </c>
      <c r="G92">
        <v>324.09140993234615</v>
      </c>
    </row>
    <row r="93" spans="1:8" hidden="1" x14ac:dyDescent="0.25">
      <c r="A93" t="s">
        <v>204</v>
      </c>
      <c r="B93" t="s">
        <v>401</v>
      </c>
      <c r="C93" t="s">
        <v>152</v>
      </c>
      <c r="D93">
        <v>115.78798434113131</v>
      </c>
      <c r="E93">
        <v>119.2502009161847</v>
      </c>
      <c r="F93">
        <v>94.990748526294624</v>
      </c>
      <c r="G93">
        <v>94.790305196004454</v>
      </c>
    </row>
    <row r="94" spans="1:8" hidden="1" x14ac:dyDescent="0.25">
      <c r="A94" t="s">
        <v>204</v>
      </c>
      <c r="B94" t="s">
        <v>401</v>
      </c>
      <c r="C94" t="s">
        <v>181</v>
      </c>
      <c r="D94">
        <v>596269.85786386614</v>
      </c>
      <c r="E94">
        <v>604371.58074726735</v>
      </c>
      <c r="F94">
        <v>603747.76034154592</v>
      </c>
      <c r="G94">
        <v>604589.01681550371</v>
      </c>
    </row>
    <row r="95" spans="1:8" hidden="1" x14ac:dyDescent="0.25">
      <c r="A95" t="s">
        <v>204</v>
      </c>
      <c r="B95" t="s">
        <v>401</v>
      </c>
      <c r="C95" t="s">
        <v>150</v>
      </c>
      <c r="D95">
        <v>9.3184788925369002</v>
      </c>
      <c r="E95">
        <v>3.990788616587718</v>
      </c>
      <c r="F95">
        <v>3.5953527776972596</v>
      </c>
      <c r="G95">
        <v>3.6760907708578938</v>
      </c>
    </row>
    <row r="96" spans="1:8" hidden="1" x14ac:dyDescent="0.25">
      <c r="A96" t="s">
        <v>204</v>
      </c>
      <c r="B96" t="s">
        <v>401</v>
      </c>
      <c r="C96" t="s">
        <v>30</v>
      </c>
      <c r="D96">
        <v>5.3689583893874824</v>
      </c>
      <c r="E96">
        <v>2.3131049686156659</v>
      </c>
      <c r="F96">
        <v>2.0763808790965408</v>
      </c>
      <c r="G96">
        <v>2.1700626297529197</v>
      </c>
    </row>
    <row r="97" spans="1:8" hidden="1" x14ac:dyDescent="0.25">
      <c r="A97" t="s">
        <v>204</v>
      </c>
      <c r="B97" t="s">
        <v>401</v>
      </c>
      <c r="C97" t="s">
        <v>29</v>
      </c>
      <c r="D97">
        <v>23039.804914188844</v>
      </c>
      <c r="E97">
        <v>6946.7598345802835</v>
      </c>
      <c r="F97">
        <v>6253.2508946557173</v>
      </c>
      <c r="G97">
        <v>6285.7419813248598</v>
      </c>
    </row>
    <row r="98" spans="1:8" hidden="1" x14ac:dyDescent="0.25">
      <c r="A98" t="s">
        <v>204</v>
      </c>
      <c r="B98" t="s">
        <v>401</v>
      </c>
      <c r="C98" t="s">
        <v>178</v>
      </c>
      <c r="D98">
        <v>396.26122436395809</v>
      </c>
      <c r="E98">
        <v>401.2937207440757</v>
      </c>
      <c r="F98">
        <v>383.99744917336056</v>
      </c>
      <c r="G98">
        <v>378.84945738130426</v>
      </c>
    </row>
    <row r="99" spans="1:8" hidden="1" x14ac:dyDescent="0.25">
      <c r="A99" t="s">
        <v>204</v>
      </c>
      <c r="B99" t="s">
        <v>401</v>
      </c>
      <c r="C99" t="s">
        <v>32</v>
      </c>
      <c r="D99">
        <v>0.87602612144091485</v>
      </c>
      <c r="E99">
        <v>0.67436805290536439</v>
      </c>
      <c r="F99">
        <v>0.6697243711721218</v>
      </c>
      <c r="G99">
        <v>0.67001613815264782</v>
      </c>
    </row>
    <row r="100" spans="1:8" hidden="1" x14ac:dyDescent="0.25">
      <c r="A100" t="s">
        <v>204</v>
      </c>
      <c r="B100" t="s">
        <v>401</v>
      </c>
      <c r="C100" t="s">
        <v>179</v>
      </c>
      <c r="D100">
        <v>60.397446237594849</v>
      </c>
      <c r="E100">
        <v>60.727123576454957</v>
      </c>
      <c r="F100">
        <v>60.560599641269008</v>
      </c>
      <c r="G100">
        <v>54.758047448958116</v>
      </c>
    </row>
    <row r="101" spans="1:8" hidden="1" x14ac:dyDescent="0.25">
      <c r="A101" t="s">
        <v>200</v>
      </c>
      <c r="B101" t="s">
        <v>153</v>
      </c>
      <c r="C101" t="s">
        <v>33</v>
      </c>
      <c r="D101">
        <v>2.7572439335347823</v>
      </c>
      <c r="E101">
        <v>2.7010727932185992</v>
      </c>
      <c r="F101">
        <v>2.7010727932185992</v>
      </c>
      <c r="G101">
        <v>2.7010727932185992</v>
      </c>
      <c r="H101">
        <v>2.7010727932185992</v>
      </c>
    </row>
    <row r="102" spans="1:8" hidden="1" x14ac:dyDescent="0.25">
      <c r="A102" t="s">
        <v>200</v>
      </c>
      <c r="B102" t="s">
        <v>153</v>
      </c>
      <c r="C102" t="s">
        <v>31</v>
      </c>
      <c r="D102">
        <v>2.1160340151047995E-3</v>
      </c>
      <c r="E102">
        <v>2.0258045949139498E-2</v>
      </c>
      <c r="F102">
        <v>2.0258045949139498E-2</v>
      </c>
      <c r="G102">
        <v>2.0258045949139498E-2</v>
      </c>
      <c r="H102">
        <v>2.0258045949139498E-2</v>
      </c>
    </row>
    <row r="103" spans="1:8" hidden="1" x14ac:dyDescent="0.25">
      <c r="A103" t="s">
        <v>200</v>
      </c>
      <c r="B103" t="s">
        <v>153</v>
      </c>
      <c r="C103" t="s">
        <v>180</v>
      </c>
      <c r="D103">
        <v>9.4975133170409638</v>
      </c>
      <c r="E103">
        <v>8.7585118355337102</v>
      </c>
      <c r="F103">
        <v>8.7585118355337102</v>
      </c>
      <c r="G103">
        <v>8.7585118355337102</v>
      </c>
      <c r="H103">
        <v>8.7585118355337102</v>
      </c>
    </row>
    <row r="104" spans="1:8" hidden="1" x14ac:dyDescent="0.25">
      <c r="A104" t="s">
        <v>200</v>
      </c>
      <c r="B104" t="s">
        <v>153</v>
      </c>
      <c r="C104" t="s">
        <v>152</v>
      </c>
      <c r="D104">
        <v>1.4812238105733596E-4</v>
      </c>
      <c r="E104">
        <v>1.4180632164397646E-3</v>
      </c>
      <c r="F104">
        <v>1.4180632164397646E-3</v>
      </c>
      <c r="G104">
        <v>1.4180632164397646E-3</v>
      </c>
      <c r="H104">
        <v>1.4180632164397646E-3</v>
      </c>
    </row>
    <row r="105" spans="1:8" hidden="1" x14ac:dyDescent="0.25">
      <c r="A105" t="s">
        <v>200</v>
      </c>
      <c r="B105" t="s">
        <v>153</v>
      </c>
      <c r="C105" t="s">
        <v>181</v>
      </c>
      <c r="D105">
        <v>2757.2439335347817</v>
      </c>
      <c r="E105">
        <v>2701.0727932185991</v>
      </c>
      <c r="F105">
        <v>2701.0727932185991</v>
      </c>
      <c r="G105">
        <v>2701.0727932185991</v>
      </c>
      <c r="H105">
        <v>2701.0727932185991</v>
      </c>
    </row>
    <row r="106" spans="1:8" hidden="1" x14ac:dyDescent="0.25">
      <c r="A106" t="s">
        <v>200</v>
      </c>
      <c r="B106" t="s">
        <v>153</v>
      </c>
      <c r="C106" t="s">
        <v>150</v>
      </c>
      <c r="D106">
        <v>2.5392408181257591E-4</v>
      </c>
      <c r="E106">
        <v>1.1749666650500908E-4</v>
      </c>
      <c r="F106">
        <v>1.1749666650500908E-4</v>
      </c>
      <c r="G106">
        <v>1.1749666650500908E-4</v>
      </c>
      <c r="H106">
        <v>1.1749666650500908E-4</v>
      </c>
    </row>
    <row r="107" spans="1:8" hidden="1" x14ac:dyDescent="0.25">
      <c r="A107" t="s">
        <v>200</v>
      </c>
      <c r="B107" t="s">
        <v>153</v>
      </c>
      <c r="C107" t="s">
        <v>30</v>
      </c>
      <c r="D107">
        <v>0</v>
      </c>
      <c r="E107">
        <v>2.0258045949139499E-6</v>
      </c>
      <c r="F107">
        <v>2.0258045949139499E-6</v>
      </c>
      <c r="G107">
        <v>2.0258045949139499E-6</v>
      </c>
      <c r="H107">
        <v>2.0258045949139499E-6</v>
      </c>
    </row>
    <row r="108" spans="1:8" hidden="1" x14ac:dyDescent="0.25">
      <c r="A108" t="s">
        <v>200</v>
      </c>
      <c r="B108" t="s">
        <v>153</v>
      </c>
      <c r="C108" t="s">
        <v>29</v>
      </c>
      <c r="D108">
        <v>0.30987202117194684</v>
      </c>
      <c r="E108">
        <v>0.52063178089288509</v>
      </c>
      <c r="F108">
        <v>0.52063178089288509</v>
      </c>
      <c r="G108">
        <v>0.52063178089288509</v>
      </c>
      <c r="H108">
        <v>0.52063178089288509</v>
      </c>
    </row>
    <row r="109" spans="1:8" hidden="1" x14ac:dyDescent="0.25">
      <c r="A109" t="s">
        <v>200</v>
      </c>
      <c r="B109" t="s">
        <v>153</v>
      </c>
      <c r="C109" t="s">
        <v>178</v>
      </c>
      <c r="D109">
        <v>9.4975133170409638</v>
      </c>
      <c r="E109">
        <v>8.7585118355337102</v>
      </c>
      <c r="F109">
        <v>8.7585118355337102</v>
      </c>
      <c r="G109">
        <v>8.7585118355337102</v>
      </c>
      <c r="H109">
        <v>8.7585118355337102</v>
      </c>
    </row>
    <row r="110" spans="1:8" hidden="1" x14ac:dyDescent="0.25">
      <c r="A110" t="s">
        <v>200</v>
      </c>
      <c r="B110" t="s">
        <v>153</v>
      </c>
      <c r="C110" t="s">
        <v>32</v>
      </c>
      <c r="D110">
        <v>9.5905747605529275</v>
      </c>
      <c r="E110">
        <v>4.1436573896648996</v>
      </c>
      <c r="F110">
        <v>3.7292916506984093</v>
      </c>
      <c r="G110">
        <v>3.7292916506984093</v>
      </c>
      <c r="H110">
        <v>3.7292916506984093</v>
      </c>
    </row>
    <row r="111" spans="1:8" hidden="1" x14ac:dyDescent="0.25">
      <c r="A111" t="s">
        <v>200</v>
      </c>
      <c r="B111" t="s">
        <v>153</v>
      </c>
      <c r="C111" t="s">
        <v>179</v>
      </c>
      <c r="D111">
        <v>0</v>
      </c>
      <c r="E111">
        <v>0</v>
      </c>
      <c r="F111">
        <v>0</v>
      </c>
      <c r="G111">
        <v>0</v>
      </c>
      <c r="H111">
        <v>0</v>
      </c>
    </row>
    <row r="112" spans="1:8" hidden="1" x14ac:dyDescent="0.25">
      <c r="A112" t="s">
        <v>200</v>
      </c>
      <c r="B112" t="s">
        <v>69</v>
      </c>
      <c r="C112" t="s">
        <v>33</v>
      </c>
      <c r="D112">
        <v>0</v>
      </c>
      <c r="E112">
        <v>0</v>
      </c>
      <c r="F112">
        <v>0</v>
      </c>
      <c r="G112">
        <v>0</v>
      </c>
      <c r="H112">
        <v>0</v>
      </c>
    </row>
    <row r="113" spans="1:8" hidden="1" x14ac:dyDescent="0.25">
      <c r="A113" t="s">
        <v>200</v>
      </c>
      <c r="B113" t="s">
        <v>69</v>
      </c>
      <c r="C113" t="s">
        <v>31</v>
      </c>
      <c r="D113">
        <v>6.1370631739938322</v>
      </c>
      <c r="E113">
        <v>4.2679413528238399</v>
      </c>
      <c r="F113">
        <v>3.8313386719674929</v>
      </c>
      <c r="G113">
        <v>3.7415588110565139</v>
      </c>
      <c r="H113">
        <v>3.7415588110565139</v>
      </c>
    </row>
    <row r="114" spans="1:8" hidden="1" x14ac:dyDescent="0.25">
      <c r="A114" t="s">
        <v>200</v>
      </c>
      <c r="B114" t="s">
        <v>69</v>
      </c>
      <c r="C114" t="s">
        <v>180</v>
      </c>
      <c r="D114">
        <v>10.280555779556842</v>
      </c>
      <c r="E114">
        <v>11.90611313791276</v>
      </c>
      <c r="F114">
        <v>11.11388906292748</v>
      </c>
      <c r="G114">
        <v>11.11388906292748</v>
      </c>
      <c r="H114">
        <v>11.11388906292748</v>
      </c>
    </row>
    <row r="115" spans="1:8" hidden="1" x14ac:dyDescent="0.25">
      <c r="A115" t="s">
        <v>200</v>
      </c>
      <c r="B115" t="s">
        <v>69</v>
      </c>
      <c r="C115" t="s">
        <v>152</v>
      </c>
      <c r="D115">
        <v>0.96933297816607844</v>
      </c>
      <c r="E115">
        <v>1.2447873659960915</v>
      </c>
      <c r="F115">
        <v>1.2046300686271407</v>
      </c>
      <c r="G115">
        <v>1.1543480564578417</v>
      </c>
      <c r="H115">
        <v>1.1543480564578417</v>
      </c>
    </row>
    <row r="116" spans="1:8" hidden="1" x14ac:dyDescent="0.25">
      <c r="A116" t="s">
        <v>200</v>
      </c>
      <c r="B116" t="s">
        <v>69</v>
      </c>
      <c r="C116" t="s">
        <v>181</v>
      </c>
      <c r="D116">
        <v>3408.8971870531022</v>
      </c>
      <c r="E116">
        <v>3938.0595595406767</v>
      </c>
      <c r="F116">
        <v>3676.7496950603663</v>
      </c>
      <c r="G116">
        <v>3676.7496950603663</v>
      </c>
      <c r="H116">
        <v>3676.7496950603663</v>
      </c>
    </row>
    <row r="117" spans="1:8" hidden="1" x14ac:dyDescent="0.25">
      <c r="A117" t="s">
        <v>200</v>
      </c>
      <c r="B117" t="s">
        <v>69</v>
      </c>
      <c r="C117" t="s">
        <v>150</v>
      </c>
      <c r="D117">
        <v>1.0982113048199489</v>
      </c>
      <c r="E117">
        <v>0.81482295216911438</v>
      </c>
      <c r="F117">
        <v>0.73018976875808062</v>
      </c>
      <c r="G117">
        <v>0.71432752798308319</v>
      </c>
      <c r="H117">
        <v>0.71432752798308319</v>
      </c>
    </row>
    <row r="118" spans="1:8" hidden="1" x14ac:dyDescent="0.25">
      <c r="A118" t="s">
        <v>200</v>
      </c>
      <c r="B118" t="s">
        <v>69</v>
      </c>
      <c r="C118" t="s">
        <v>30</v>
      </c>
      <c r="D118">
        <v>1.2920132997881753</v>
      </c>
      <c r="E118">
        <v>0.95711270612525512</v>
      </c>
      <c r="F118">
        <v>0.85910044844429545</v>
      </c>
      <c r="G118">
        <v>0.83906810865798254</v>
      </c>
      <c r="H118">
        <v>0.83906810865798254</v>
      </c>
    </row>
    <row r="119" spans="1:8" hidden="1" x14ac:dyDescent="0.25">
      <c r="A119" t="s">
        <v>200</v>
      </c>
      <c r="B119" t="s">
        <v>69</v>
      </c>
      <c r="C119" t="s">
        <v>29</v>
      </c>
      <c r="D119">
        <v>448.97462167639094</v>
      </c>
      <c r="E119">
        <v>332.59666537852615</v>
      </c>
      <c r="F119">
        <v>298.61415037292011</v>
      </c>
      <c r="G119">
        <v>291.57616775864892</v>
      </c>
      <c r="H119">
        <v>291.57616775864892</v>
      </c>
    </row>
    <row r="120" spans="1:8" hidden="1" x14ac:dyDescent="0.25">
      <c r="A120" t="s">
        <v>200</v>
      </c>
      <c r="B120" t="s">
        <v>69</v>
      </c>
      <c r="C120" t="s">
        <v>178</v>
      </c>
      <c r="D120">
        <v>10.280555779556842</v>
      </c>
      <c r="E120">
        <v>11.90611313791276</v>
      </c>
      <c r="F120">
        <v>11.11388906292748</v>
      </c>
      <c r="G120">
        <v>11.11388906292748</v>
      </c>
      <c r="H120">
        <v>11.11388906292748</v>
      </c>
    </row>
    <row r="121" spans="1:8" hidden="1" x14ac:dyDescent="0.25">
      <c r="A121" t="s">
        <v>200</v>
      </c>
      <c r="B121" t="s">
        <v>69</v>
      </c>
      <c r="C121" t="s">
        <v>32</v>
      </c>
      <c r="D121">
        <v>2.8549014491365892</v>
      </c>
      <c r="E121">
        <v>1.2381692564030093</v>
      </c>
      <c r="F121">
        <v>1.1304941760851317</v>
      </c>
      <c r="G121">
        <v>1.1304941760851317</v>
      </c>
      <c r="H121">
        <v>1.1304941760851317</v>
      </c>
    </row>
    <row r="122" spans="1:8" hidden="1" x14ac:dyDescent="0.25">
      <c r="A122" t="s">
        <v>200</v>
      </c>
      <c r="B122" t="s">
        <v>69</v>
      </c>
      <c r="C122" t="s">
        <v>179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hidden="1" x14ac:dyDescent="0.25">
      <c r="A123" t="s">
        <v>200</v>
      </c>
      <c r="B123" t="s">
        <v>403</v>
      </c>
      <c r="C123" t="s">
        <v>33</v>
      </c>
      <c r="H123">
        <v>0</v>
      </c>
    </row>
    <row r="124" spans="1:8" hidden="1" x14ac:dyDescent="0.25">
      <c r="A124" t="s">
        <v>200</v>
      </c>
      <c r="B124" t="s">
        <v>403</v>
      </c>
      <c r="C124" t="s">
        <v>31</v>
      </c>
      <c r="H124">
        <v>1.5556836378069063</v>
      </c>
    </row>
    <row r="125" spans="1:8" hidden="1" x14ac:dyDescent="0.25">
      <c r="A125" t="s">
        <v>200</v>
      </c>
      <c r="B125" t="s">
        <v>403</v>
      </c>
      <c r="C125" t="s">
        <v>180</v>
      </c>
      <c r="H125">
        <v>16.957689453308063</v>
      </c>
    </row>
    <row r="126" spans="1:8" hidden="1" x14ac:dyDescent="0.25">
      <c r="A126" t="s">
        <v>200</v>
      </c>
      <c r="B126" t="s">
        <v>403</v>
      </c>
      <c r="C126" t="s">
        <v>152</v>
      </c>
      <c r="H126">
        <v>0</v>
      </c>
    </row>
    <row r="127" spans="1:8" hidden="1" x14ac:dyDescent="0.25">
      <c r="A127" t="s">
        <v>200</v>
      </c>
      <c r="B127" t="s">
        <v>403</v>
      </c>
      <c r="C127" t="s">
        <v>181</v>
      </c>
      <c r="H127">
        <v>3761.2799205148749</v>
      </c>
    </row>
    <row r="128" spans="1:8" hidden="1" x14ac:dyDescent="0.25">
      <c r="A128" t="s">
        <v>200</v>
      </c>
      <c r="B128" t="s">
        <v>403</v>
      </c>
      <c r="C128" t="s">
        <v>150</v>
      </c>
      <c r="H128">
        <v>0.34983266219563625</v>
      </c>
    </row>
    <row r="129" spans="1:8" hidden="1" x14ac:dyDescent="0.25">
      <c r="A129" t="s">
        <v>200</v>
      </c>
      <c r="B129" t="s">
        <v>403</v>
      </c>
      <c r="C129" t="s">
        <v>30</v>
      </c>
      <c r="H129">
        <v>2.6797887065262871E-2</v>
      </c>
    </row>
    <row r="130" spans="1:8" hidden="1" x14ac:dyDescent="0.25">
      <c r="A130" t="s">
        <v>200</v>
      </c>
      <c r="B130" t="s">
        <v>403</v>
      </c>
      <c r="C130" t="s">
        <v>29</v>
      </c>
      <c r="H130">
        <v>100.14442490372474</v>
      </c>
    </row>
    <row r="131" spans="1:8" hidden="1" x14ac:dyDescent="0.25">
      <c r="A131" t="s">
        <v>200</v>
      </c>
      <c r="B131" t="s">
        <v>403</v>
      </c>
      <c r="C131" t="s">
        <v>178</v>
      </c>
      <c r="H131">
        <v>19.846597720805505</v>
      </c>
    </row>
    <row r="132" spans="1:8" hidden="1" x14ac:dyDescent="0.25">
      <c r="A132" t="s">
        <v>200</v>
      </c>
      <c r="B132" t="s">
        <v>403</v>
      </c>
      <c r="C132" t="s">
        <v>32</v>
      </c>
      <c r="H132">
        <v>7.3826495589633758</v>
      </c>
    </row>
    <row r="133" spans="1:8" hidden="1" x14ac:dyDescent="0.25">
      <c r="A133" t="s">
        <v>200</v>
      </c>
      <c r="B133" t="s">
        <v>403</v>
      </c>
      <c r="C133" t="s">
        <v>179</v>
      </c>
      <c r="H133">
        <v>2.888908267497444</v>
      </c>
    </row>
    <row r="134" spans="1:8" hidden="1" x14ac:dyDescent="0.25">
      <c r="A134" t="s">
        <v>200</v>
      </c>
      <c r="B134" t="s">
        <v>404</v>
      </c>
      <c r="C134" t="s">
        <v>33</v>
      </c>
      <c r="H134">
        <v>0</v>
      </c>
    </row>
    <row r="135" spans="1:8" hidden="1" x14ac:dyDescent="0.25">
      <c r="A135" t="s">
        <v>200</v>
      </c>
      <c r="B135" t="s">
        <v>404</v>
      </c>
      <c r="C135" t="s">
        <v>31</v>
      </c>
      <c r="H135">
        <v>2.9846643668982029</v>
      </c>
    </row>
    <row r="136" spans="1:8" hidden="1" x14ac:dyDescent="0.25">
      <c r="A136" t="s">
        <v>200</v>
      </c>
      <c r="B136" t="s">
        <v>404</v>
      </c>
      <c r="C136" t="s">
        <v>180</v>
      </c>
      <c r="H136">
        <v>13.925206627128697</v>
      </c>
    </row>
    <row r="137" spans="1:8" hidden="1" x14ac:dyDescent="0.25">
      <c r="A137" t="s">
        <v>200</v>
      </c>
      <c r="B137" t="s">
        <v>404</v>
      </c>
      <c r="C137" t="s">
        <v>152</v>
      </c>
      <c r="H137">
        <v>0</v>
      </c>
    </row>
    <row r="138" spans="1:8" hidden="1" x14ac:dyDescent="0.25">
      <c r="A138" t="s">
        <v>200</v>
      </c>
      <c r="B138" t="s">
        <v>404</v>
      </c>
      <c r="C138" t="s">
        <v>181</v>
      </c>
      <c r="H138">
        <v>3761.2799205148749</v>
      </c>
    </row>
    <row r="139" spans="1:8" hidden="1" x14ac:dyDescent="0.25">
      <c r="A139" t="s">
        <v>200</v>
      </c>
      <c r="B139" t="s">
        <v>404</v>
      </c>
      <c r="C139" t="s">
        <v>150</v>
      </c>
      <c r="H139">
        <v>0.32902671744414558</v>
      </c>
    </row>
    <row r="140" spans="1:8" hidden="1" x14ac:dyDescent="0.25">
      <c r="A140" t="s">
        <v>200</v>
      </c>
      <c r="B140" t="s">
        <v>404</v>
      </c>
      <c r="C140" t="s">
        <v>30</v>
      </c>
      <c r="H140">
        <v>0.37485135339336206</v>
      </c>
    </row>
    <row r="141" spans="1:8" hidden="1" x14ac:dyDescent="0.25">
      <c r="A141" t="s">
        <v>200</v>
      </c>
      <c r="B141" t="s">
        <v>404</v>
      </c>
      <c r="C141" t="s">
        <v>29</v>
      </c>
      <c r="H141">
        <v>161.31945882944015</v>
      </c>
    </row>
    <row r="142" spans="1:8" hidden="1" x14ac:dyDescent="0.25">
      <c r="A142" t="s">
        <v>200</v>
      </c>
      <c r="B142" t="s">
        <v>404</v>
      </c>
      <c r="C142" t="s">
        <v>178</v>
      </c>
      <c r="H142">
        <v>16.451026117086087</v>
      </c>
    </row>
    <row r="143" spans="1:8" hidden="1" x14ac:dyDescent="0.25">
      <c r="A143" t="s">
        <v>200</v>
      </c>
      <c r="B143" t="s">
        <v>404</v>
      </c>
      <c r="C143" t="s">
        <v>32</v>
      </c>
      <c r="H143">
        <v>7.845874001801711</v>
      </c>
    </row>
    <row r="144" spans="1:8" hidden="1" x14ac:dyDescent="0.25">
      <c r="A144" t="s">
        <v>200</v>
      </c>
      <c r="B144" t="s">
        <v>404</v>
      </c>
      <c r="C144" t="s">
        <v>179</v>
      </c>
      <c r="H144">
        <v>2.5258194899573914</v>
      </c>
    </row>
    <row r="145" spans="1:8" hidden="1" x14ac:dyDescent="0.25">
      <c r="A145" t="s">
        <v>200</v>
      </c>
      <c r="B145" t="s">
        <v>149</v>
      </c>
      <c r="C145" t="s">
        <v>33</v>
      </c>
      <c r="D145">
        <v>0</v>
      </c>
      <c r="E145">
        <v>0</v>
      </c>
      <c r="F145">
        <v>0</v>
      </c>
      <c r="G145">
        <v>0</v>
      </c>
      <c r="H145">
        <v>0</v>
      </c>
    </row>
    <row r="146" spans="1:8" hidden="1" x14ac:dyDescent="0.25">
      <c r="A146" t="s">
        <v>200</v>
      </c>
      <c r="B146" t="s">
        <v>149</v>
      </c>
      <c r="C146" t="s">
        <v>31</v>
      </c>
      <c r="D146">
        <v>0</v>
      </c>
      <c r="E146">
        <v>0</v>
      </c>
      <c r="F146">
        <v>0</v>
      </c>
      <c r="G146">
        <v>0</v>
      </c>
      <c r="H146">
        <v>0</v>
      </c>
    </row>
    <row r="147" spans="1:8" hidden="1" x14ac:dyDescent="0.25">
      <c r="A147" t="s">
        <v>200</v>
      </c>
      <c r="B147" t="s">
        <v>149</v>
      </c>
      <c r="C147" t="s">
        <v>180</v>
      </c>
      <c r="D147">
        <v>31.460886999584382</v>
      </c>
      <c r="E147">
        <v>31.788590252563644</v>
      </c>
      <c r="F147">
        <v>31.788590252563644</v>
      </c>
      <c r="G147">
        <v>31.788590252563644</v>
      </c>
      <c r="H147">
        <v>31.788590252563644</v>
      </c>
    </row>
    <row r="148" spans="1:8" hidden="1" x14ac:dyDescent="0.25">
      <c r="A148" t="s">
        <v>200</v>
      </c>
      <c r="B148" t="s">
        <v>149</v>
      </c>
      <c r="C148" t="s">
        <v>152</v>
      </c>
      <c r="D148">
        <v>0</v>
      </c>
      <c r="E148">
        <v>0</v>
      </c>
      <c r="F148">
        <v>0</v>
      </c>
      <c r="G148">
        <v>0</v>
      </c>
      <c r="H148">
        <v>0</v>
      </c>
    </row>
    <row r="149" spans="1:8" hidden="1" x14ac:dyDescent="0.25">
      <c r="A149" t="s">
        <v>200</v>
      </c>
      <c r="B149" t="s">
        <v>149</v>
      </c>
      <c r="C149" t="s">
        <v>181</v>
      </c>
      <c r="D149">
        <v>2553.1615969094755</v>
      </c>
      <c r="E149">
        <v>2579.7277400360563</v>
      </c>
      <c r="F149">
        <v>2579.7277400360563</v>
      </c>
      <c r="G149">
        <v>2579.7277400360563</v>
      </c>
      <c r="H149">
        <v>2579.7277400360563</v>
      </c>
    </row>
    <row r="150" spans="1:8" hidden="1" x14ac:dyDescent="0.25">
      <c r="A150" t="s">
        <v>200</v>
      </c>
      <c r="B150" t="s">
        <v>149</v>
      </c>
      <c r="C150" t="s">
        <v>150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 hidden="1" x14ac:dyDescent="0.25">
      <c r="A151" t="s">
        <v>200</v>
      </c>
      <c r="B151" t="s">
        <v>149</v>
      </c>
      <c r="C151" t="s">
        <v>30</v>
      </c>
      <c r="D151">
        <v>0</v>
      </c>
      <c r="E151">
        <v>0</v>
      </c>
      <c r="F151">
        <v>0</v>
      </c>
      <c r="G151">
        <v>0</v>
      </c>
      <c r="H151">
        <v>0</v>
      </c>
    </row>
    <row r="152" spans="1:8" hidden="1" x14ac:dyDescent="0.25">
      <c r="A152" t="s">
        <v>200</v>
      </c>
      <c r="B152" t="s">
        <v>149</v>
      </c>
      <c r="C152" t="s">
        <v>29</v>
      </c>
      <c r="D152">
        <v>0</v>
      </c>
      <c r="E152">
        <v>0</v>
      </c>
      <c r="F152">
        <v>0</v>
      </c>
      <c r="G152">
        <v>0</v>
      </c>
      <c r="H152">
        <v>0</v>
      </c>
    </row>
    <row r="153" spans="1:8" hidden="1" x14ac:dyDescent="0.25">
      <c r="A153" t="s">
        <v>200</v>
      </c>
      <c r="B153" t="s">
        <v>149</v>
      </c>
      <c r="C153" t="s">
        <v>178</v>
      </c>
      <c r="D153">
        <v>31.460886999584382</v>
      </c>
      <c r="E153">
        <v>31.788590252563644</v>
      </c>
      <c r="F153">
        <v>31.788590252563644</v>
      </c>
      <c r="G153">
        <v>31.788590252563644</v>
      </c>
      <c r="H153">
        <v>31.788590252563644</v>
      </c>
    </row>
    <row r="154" spans="1:8" hidden="1" x14ac:dyDescent="0.25">
      <c r="A154" t="s">
        <v>200</v>
      </c>
      <c r="B154" t="s">
        <v>149</v>
      </c>
      <c r="C154" t="s">
        <v>32</v>
      </c>
      <c r="D154">
        <v>14.194144535719488</v>
      </c>
      <c r="E154">
        <v>6.3268747240044698</v>
      </c>
      <c r="F154">
        <v>5.6941872516040224</v>
      </c>
      <c r="G154">
        <v>5.6941872516040224</v>
      </c>
      <c r="H154">
        <v>63.268747240044689</v>
      </c>
    </row>
    <row r="155" spans="1:8" hidden="1" x14ac:dyDescent="0.25">
      <c r="A155" t="s">
        <v>200</v>
      </c>
      <c r="B155" t="s">
        <v>149</v>
      </c>
      <c r="C155" t="s">
        <v>179</v>
      </c>
      <c r="D155">
        <v>0</v>
      </c>
      <c r="E155">
        <v>0</v>
      </c>
      <c r="F155">
        <v>0</v>
      </c>
      <c r="G155">
        <v>0</v>
      </c>
      <c r="H155">
        <v>0</v>
      </c>
    </row>
    <row r="156" spans="1:8" hidden="1" x14ac:dyDescent="0.25">
      <c r="A156" t="s">
        <v>200</v>
      </c>
      <c r="B156" t="s">
        <v>401</v>
      </c>
      <c r="C156" t="s">
        <v>33</v>
      </c>
      <c r="D156">
        <v>0</v>
      </c>
      <c r="E156">
        <v>0</v>
      </c>
      <c r="F156">
        <v>0</v>
      </c>
      <c r="G156">
        <v>0</v>
      </c>
    </row>
    <row r="157" spans="1:8" hidden="1" x14ac:dyDescent="0.25">
      <c r="A157" t="s">
        <v>200</v>
      </c>
      <c r="B157" t="s">
        <v>401</v>
      </c>
      <c r="C157" t="s">
        <v>31</v>
      </c>
      <c r="D157">
        <v>1.5068257796662017</v>
      </c>
      <c r="E157">
        <v>1.1464812791441419</v>
      </c>
      <c r="F157">
        <v>1.0585235098075561</v>
      </c>
      <c r="G157">
        <v>1.0585235098075561</v>
      </c>
    </row>
    <row r="158" spans="1:8" hidden="1" x14ac:dyDescent="0.25">
      <c r="A158" t="s">
        <v>200</v>
      </c>
      <c r="B158" t="s">
        <v>401</v>
      </c>
      <c r="C158" t="s">
        <v>180</v>
      </c>
      <c r="D158">
        <v>19.430013239452148</v>
      </c>
      <c r="E158">
        <v>20.302877126256156</v>
      </c>
      <c r="F158">
        <v>19.625360862092325</v>
      </c>
      <c r="G158">
        <v>19.625360862092325</v>
      </c>
    </row>
    <row r="159" spans="1:8" hidden="1" x14ac:dyDescent="0.25">
      <c r="A159" t="s">
        <v>200</v>
      </c>
      <c r="B159" t="s">
        <v>401</v>
      </c>
      <c r="C159" t="s">
        <v>152</v>
      </c>
      <c r="D159">
        <v>1.3645733784590592</v>
      </c>
      <c r="E159">
        <v>1.4667273368508065</v>
      </c>
      <c r="F159">
        <v>1.2338978784673527</v>
      </c>
      <c r="G159">
        <v>1.2247353347259056</v>
      </c>
    </row>
    <row r="160" spans="1:8" hidden="1" x14ac:dyDescent="0.25">
      <c r="A160" t="s">
        <v>200</v>
      </c>
      <c r="B160" t="s">
        <v>401</v>
      </c>
      <c r="C160" t="s">
        <v>181</v>
      </c>
      <c r="D160">
        <v>2838.6112431247975</v>
      </c>
      <c r="E160">
        <v>2874.6771494213526</v>
      </c>
      <c r="F160">
        <v>2874.6771494213526</v>
      </c>
      <c r="G160">
        <v>2874.6771494213526</v>
      </c>
    </row>
    <row r="161" spans="1:8" hidden="1" x14ac:dyDescent="0.25">
      <c r="A161" t="s">
        <v>200</v>
      </c>
      <c r="B161" t="s">
        <v>401</v>
      </c>
      <c r="C161" t="s">
        <v>150</v>
      </c>
      <c r="D161">
        <v>0.29859952724135991</v>
      </c>
      <c r="E161">
        <v>0.11903099573763432</v>
      </c>
      <c r="F161">
        <v>0.10908080271271987</v>
      </c>
      <c r="G161">
        <v>0.10908080271271987</v>
      </c>
    </row>
    <row r="162" spans="1:8" hidden="1" x14ac:dyDescent="0.25">
      <c r="A162" t="s">
        <v>200</v>
      </c>
      <c r="B162" t="s">
        <v>401</v>
      </c>
      <c r="C162" t="s">
        <v>30</v>
      </c>
      <c r="D162">
        <v>2.402694062003362E-3</v>
      </c>
      <c r="E162">
        <v>8.9336683034087943E-4</v>
      </c>
      <c r="F162">
        <v>8.1915868240339785E-4</v>
      </c>
      <c r="G162">
        <v>8.1915868240339785E-4</v>
      </c>
    </row>
    <row r="163" spans="1:8" hidden="1" x14ac:dyDescent="0.25">
      <c r="A163" t="s">
        <v>200</v>
      </c>
      <c r="B163" t="s">
        <v>401</v>
      </c>
      <c r="C163" t="s">
        <v>29</v>
      </c>
      <c r="D163">
        <v>109.02448801700672</v>
      </c>
      <c r="E163">
        <v>49.670269942227989</v>
      </c>
      <c r="F163">
        <v>45.71247638054696</v>
      </c>
      <c r="G163">
        <v>45.71247638054696</v>
      </c>
    </row>
    <row r="164" spans="1:8" hidden="1" x14ac:dyDescent="0.25">
      <c r="A164" t="s">
        <v>200</v>
      </c>
      <c r="B164" t="s">
        <v>401</v>
      </c>
      <c r="C164" t="s">
        <v>178</v>
      </c>
      <c r="D164">
        <v>24.842727820981658</v>
      </c>
      <c r="E164">
        <v>25.74953813368532</v>
      </c>
      <c r="F164">
        <v>24.850603028506804</v>
      </c>
      <c r="G164">
        <v>24.657964994572275</v>
      </c>
    </row>
    <row r="165" spans="1:8" hidden="1" x14ac:dyDescent="0.25">
      <c r="A165" t="s">
        <v>200</v>
      </c>
      <c r="B165" t="s">
        <v>401</v>
      </c>
      <c r="C165" t="s">
        <v>32</v>
      </c>
      <c r="D165">
        <v>6.4644866428711651</v>
      </c>
      <c r="E165">
        <v>3.0288865720217402</v>
      </c>
      <c r="F165">
        <v>2.7424536609104333</v>
      </c>
      <c r="G165">
        <v>2.7424536609104333</v>
      </c>
    </row>
    <row r="166" spans="1:8" hidden="1" x14ac:dyDescent="0.25">
      <c r="A166" t="s">
        <v>200</v>
      </c>
      <c r="B166" t="s">
        <v>401</v>
      </c>
      <c r="C166" t="s">
        <v>179</v>
      </c>
      <c r="D166">
        <v>5.4127145815295137</v>
      </c>
      <c r="E166">
        <v>5.4466610074291646</v>
      </c>
      <c r="F166">
        <v>5.2252421664144748</v>
      </c>
      <c r="G166">
        <v>5.0326041324799498</v>
      </c>
    </row>
    <row r="167" spans="1:8" hidden="1" x14ac:dyDescent="0.25">
      <c r="A167" t="s">
        <v>203</v>
      </c>
      <c r="B167" t="s">
        <v>153</v>
      </c>
      <c r="C167" t="s">
        <v>33</v>
      </c>
      <c r="D167">
        <v>17.650647800983691</v>
      </c>
      <c r="E167">
        <v>15.742667292822965</v>
      </c>
      <c r="F167">
        <v>15.742667292822965</v>
      </c>
      <c r="G167">
        <v>15.742667292822965</v>
      </c>
      <c r="H167">
        <v>15.742667292822965</v>
      </c>
    </row>
    <row r="168" spans="1:8" hidden="1" x14ac:dyDescent="0.25">
      <c r="A168" t="s">
        <v>203</v>
      </c>
      <c r="B168" t="s">
        <v>153</v>
      </c>
      <c r="C168" t="s">
        <v>31</v>
      </c>
      <c r="D168">
        <v>1.1045320025575942E-2</v>
      </c>
      <c r="E168">
        <v>0.10579629642689897</v>
      </c>
      <c r="F168">
        <v>0.10579629642689897</v>
      </c>
      <c r="G168">
        <v>0.10579629642689897</v>
      </c>
      <c r="H168">
        <v>0.10579629642689897</v>
      </c>
    </row>
    <row r="169" spans="1:8" hidden="1" x14ac:dyDescent="0.25">
      <c r="A169" t="s">
        <v>203</v>
      </c>
      <c r="B169" t="s">
        <v>153</v>
      </c>
      <c r="C169" t="s">
        <v>180</v>
      </c>
      <c r="D169">
        <v>59.968608197579748</v>
      </c>
      <c r="E169">
        <v>50.77979585730526</v>
      </c>
      <c r="F169">
        <v>50.77979585730526</v>
      </c>
      <c r="G169">
        <v>50.77979585730526</v>
      </c>
      <c r="H169">
        <v>50.77979585730526</v>
      </c>
    </row>
    <row r="170" spans="1:8" hidden="1" x14ac:dyDescent="0.25">
      <c r="A170" t="s">
        <v>203</v>
      </c>
      <c r="B170" t="s">
        <v>153</v>
      </c>
      <c r="C170" t="s">
        <v>152</v>
      </c>
      <c r="D170">
        <v>7.7317240179031578E-4</v>
      </c>
      <c r="E170">
        <v>7.4057407498829267E-3</v>
      </c>
      <c r="F170">
        <v>7.4057407498829267E-3</v>
      </c>
      <c r="G170">
        <v>7.4057407498829267E-3</v>
      </c>
      <c r="H170">
        <v>7.4057407498829267E-3</v>
      </c>
    </row>
    <row r="171" spans="1:8" hidden="1" x14ac:dyDescent="0.25">
      <c r="A171" t="s">
        <v>203</v>
      </c>
      <c r="B171" t="s">
        <v>153</v>
      </c>
      <c r="C171" t="s">
        <v>181</v>
      </c>
      <c r="D171">
        <v>17650.64780098369</v>
      </c>
      <c r="E171">
        <v>15742.667292822964</v>
      </c>
      <c r="F171">
        <v>15742.667292822964</v>
      </c>
      <c r="G171">
        <v>15742.667292822964</v>
      </c>
      <c r="H171">
        <v>15742.667292822964</v>
      </c>
    </row>
    <row r="172" spans="1:8" hidden="1" x14ac:dyDescent="0.25">
      <c r="A172" t="s">
        <v>203</v>
      </c>
      <c r="B172" t="s">
        <v>153</v>
      </c>
      <c r="C172" t="s">
        <v>150</v>
      </c>
      <c r="D172">
        <v>1.3254384030691128E-3</v>
      </c>
      <c r="E172">
        <v>6.1361851927601392E-4</v>
      </c>
      <c r="F172">
        <v>6.1361851927601392E-4</v>
      </c>
      <c r="G172">
        <v>6.1361851927601392E-4</v>
      </c>
      <c r="H172">
        <v>6.1361851927601392E-4</v>
      </c>
    </row>
    <row r="173" spans="1:8" hidden="1" x14ac:dyDescent="0.25">
      <c r="A173" t="s">
        <v>203</v>
      </c>
      <c r="B173" t="s">
        <v>153</v>
      </c>
      <c r="C173" t="s">
        <v>30</v>
      </c>
      <c r="D173">
        <v>0</v>
      </c>
      <c r="E173">
        <v>1.0579629642689895E-5</v>
      </c>
      <c r="F173">
        <v>1.0579629642689895E-5</v>
      </c>
      <c r="G173">
        <v>1.0579629642689895E-5</v>
      </c>
      <c r="H173">
        <v>1.0579629642689895E-5</v>
      </c>
    </row>
    <row r="174" spans="1:8" x14ac:dyDescent="0.25">
      <c r="A174" t="s">
        <v>203</v>
      </c>
      <c r="B174" t="s">
        <v>153</v>
      </c>
      <c r="C174" t="s">
        <v>29</v>
      </c>
      <c r="D174">
        <v>1.6174766645453404</v>
      </c>
      <c r="E174">
        <v>2.7189648181713038</v>
      </c>
      <c r="F174">
        <v>2.7189648181713038</v>
      </c>
      <c r="G174">
        <v>2.7189648181713038</v>
      </c>
      <c r="H174">
        <v>2.7189648181713038</v>
      </c>
    </row>
    <row r="175" spans="1:8" hidden="1" x14ac:dyDescent="0.25">
      <c r="A175" t="s">
        <v>203</v>
      </c>
      <c r="B175" t="s">
        <v>153</v>
      </c>
      <c r="C175" t="s">
        <v>178</v>
      </c>
      <c r="D175">
        <v>59.968608197579748</v>
      </c>
      <c r="E175">
        <v>50.77979585730526</v>
      </c>
      <c r="F175">
        <v>50.77979585730526</v>
      </c>
      <c r="G175">
        <v>50.77979585730526</v>
      </c>
      <c r="H175">
        <v>50.77979585730526</v>
      </c>
    </row>
    <row r="176" spans="1:8" hidden="1" x14ac:dyDescent="0.25">
      <c r="A176" t="s">
        <v>203</v>
      </c>
      <c r="B176" t="s">
        <v>153</v>
      </c>
      <c r="C176" t="s">
        <v>32</v>
      </c>
      <c r="D176">
        <v>11.616226796602596</v>
      </c>
      <c r="E176">
        <v>4.5923236168466213</v>
      </c>
      <c r="F176">
        <v>4.1330912551619594</v>
      </c>
      <c r="G176">
        <v>4.1330912551619594</v>
      </c>
      <c r="H176">
        <v>4.1330912551619594</v>
      </c>
    </row>
    <row r="177" spans="1:8" hidden="1" x14ac:dyDescent="0.25">
      <c r="A177" t="s">
        <v>203</v>
      </c>
      <c r="B177" t="s">
        <v>153</v>
      </c>
      <c r="C177" t="s">
        <v>179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hidden="1" x14ac:dyDescent="0.25">
      <c r="A178" t="s">
        <v>203</v>
      </c>
      <c r="B178" t="s">
        <v>69</v>
      </c>
      <c r="C178" t="s">
        <v>33</v>
      </c>
      <c r="D178">
        <v>0</v>
      </c>
      <c r="E178">
        <v>0</v>
      </c>
      <c r="F178">
        <v>0</v>
      </c>
      <c r="G178">
        <v>0</v>
      </c>
      <c r="H178">
        <v>0</v>
      </c>
    </row>
    <row r="179" spans="1:8" hidden="1" x14ac:dyDescent="0.25">
      <c r="A179" t="s">
        <v>203</v>
      </c>
      <c r="B179" t="s">
        <v>69</v>
      </c>
      <c r="C179" t="s">
        <v>31</v>
      </c>
      <c r="D179">
        <v>37.286216041585391</v>
      </c>
      <c r="E179">
        <v>26.006899167521848</v>
      </c>
      <c r="F179">
        <v>23.346440422045404</v>
      </c>
      <c r="G179">
        <v>22.799362663246981</v>
      </c>
      <c r="H179">
        <v>22.799362663246981</v>
      </c>
    </row>
    <row r="180" spans="1:8" hidden="1" x14ac:dyDescent="0.25">
      <c r="A180" t="s">
        <v>203</v>
      </c>
      <c r="B180" t="s">
        <v>69</v>
      </c>
      <c r="C180" t="s">
        <v>180</v>
      </c>
      <c r="D180">
        <v>36.784329803598965</v>
      </c>
      <c r="E180">
        <v>42.859470563853172</v>
      </c>
      <c r="F180">
        <v>39.912083945356514</v>
      </c>
      <c r="G180">
        <v>39.912083945356514</v>
      </c>
      <c r="H180">
        <v>39.912083945356514</v>
      </c>
    </row>
    <row r="181" spans="1:8" hidden="1" x14ac:dyDescent="0.25">
      <c r="A181" t="s">
        <v>203</v>
      </c>
      <c r="B181" t="s">
        <v>69</v>
      </c>
      <c r="C181" t="s">
        <v>152</v>
      </c>
      <c r="D181">
        <v>5.8892597021472497</v>
      </c>
      <c r="E181">
        <v>7.5856598842592078</v>
      </c>
      <c r="F181">
        <v>7.3404693595947981</v>
      </c>
      <c r="G181">
        <v>7.0340735794461668</v>
      </c>
      <c r="H181">
        <v>7.0340735794461668</v>
      </c>
    </row>
    <row r="182" spans="1:8" hidden="1" x14ac:dyDescent="0.25">
      <c r="A182" t="s">
        <v>203</v>
      </c>
      <c r="B182" t="s">
        <v>69</v>
      </c>
      <c r="C182" t="s">
        <v>181</v>
      </c>
      <c r="D182">
        <v>19936.83730102616</v>
      </c>
      <c r="E182">
        <v>23206.769641005369</v>
      </c>
      <c r="F182">
        <v>21614.46582630515</v>
      </c>
      <c r="G182">
        <v>21614.46582630515</v>
      </c>
      <c r="H182">
        <v>21614.46582630515</v>
      </c>
    </row>
    <row r="183" spans="1:8" hidden="1" x14ac:dyDescent="0.25">
      <c r="A183" t="s">
        <v>203</v>
      </c>
      <c r="B183" t="s">
        <v>69</v>
      </c>
      <c r="C183" t="s">
        <v>150</v>
      </c>
      <c r="D183">
        <v>6.6722702390205439</v>
      </c>
      <c r="E183">
        <v>4.9651615625935932</v>
      </c>
      <c r="F183">
        <v>4.4494453225518136</v>
      </c>
      <c r="G183">
        <v>4.3527880205171066</v>
      </c>
      <c r="H183">
        <v>4.3527880205171066</v>
      </c>
    </row>
    <row r="184" spans="1:8" hidden="1" x14ac:dyDescent="0.25">
      <c r="A184" t="s">
        <v>203</v>
      </c>
      <c r="B184" t="s">
        <v>69</v>
      </c>
      <c r="C184" t="s">
        <v>30</v>
      </c>
      <c r="D184">
        <v>7.8497296929653455</v>
      </c>
      <c r="E184">
        <v>5.8322107972932304</v>
      </c>
      <c r="F184">
        <v>5.2349685458261686</v>
      </c>
      <c r="G184">
        <v>5.112900551483305</v>
      </c>
      <c r="H184">
        <v>5.112900551483305</v>
      </c>
    </row>
    <row r="185" spans="1:8" x14ac:dyDescent="0.25">
      <c r="A185" t="s">
        <v>203</v>
      </c>
      <c r="B185" t="s">
        <v>69</v>
      </c>
      <c r="C185" t="s">
        <v>29</v>
      </c>
      <c r="D185">
        <v>2727.7810683054577</v>
      </c>
      <c r="E185">
        <v>2026.6932520593975</v>
      </c>
      <c r="F185">
        <v>1819.6192160900771</v>
      </c>
      <c r="G185">
        <v>1776.7329416404484</v>
      </c>
      <c r="H185">
        <v>1776.7329416404484</v>
      </c>
    </row>
    <row r="186" spans="1:8" hidden="1" x14ac:dyDescent="0.25">
      <c r="A186" t="s">
        <v>203</v>
      </c>
      <c r="B186" t="s">
        <v>69</v>
      </c>
      <c r="C186" t="s">
        <v>178</v>
      </c>
      <c r="D186">
        <v>36.784329803598965</v>
      </c>
      <c r="E186">
        <v>42.859470563853172</v>
      </c>
      <c r="F186">
        <v>39.912083945356514</v>
      </c>
      <c r="G186">
        <v>39.912083945356514</v>
      </c>
      <c r="H186">
        <v>39.912083945356514</v>
      </c>
    </row>
    <row r="187" spans="1:8" hidden="1" x14ac:dyDescent="0.25">
      <c r="A187" t="s">
        <v>203</v>
      </c>
      <c r="B187" t="s">
        <v>69</v>
      </c>
      <c r="C187" t="s">
        <v>32</v>
      </c>
      <c r="D187">
        <v>2.9076433016838585</v>
      </c>
      <c r="E187">
        <v>1.2862615739499157</v>
      </c>
      <c r="F187">
        <v>1.1635570701573947</v>
      </c>
      <c r="G187">
        <v>1.1635570701573947</v>
      </c>
      <c r="H187">
        <v>1.1635570701573947</v>
      </c>
    </row>
    <row r="188" spans="1:8" hidden="1" x14ac:dyDescent="0.25">
      <c r="A188" t="s">
        <v>203</v>
      </c>
      <c r="B188" t="s">
        <v>69</v>
      </c>
      <c r="C188" t="s">
        <v>179</v>
      </c>
      <c r="D188">
        <v>0</v>
      </c>
      <c r="E188">
        <v>0</v>
      </c>
      <c r="F188">
        <v>0</v>
      </c>
      <c r="G188">
        <v>0</v>
      </c>
      <c r="H188">
        <v>0</v>
      </c>
    </row>
    <row r="189" spans="1:8" hidden="1" x14ac:dyDescent="0.25">
      <c r="A189" t="s">
        <v>203</v>
      </c>
      <c r="B189" t="s">
        <v>403</v>
      </c>
      <c r="C189" t="s">
        <v>33</v>
      </c>
      <c r="H189">
        <v>0</v>
      </c>
    </row>
    <row r="190" spans="1:8" hidden="1" x14ac:dyDescent="0.25">
      <c r="A190" t="s">
        <v>203</v>
      </c>
      <c r="B190" t="s">
        <v>403</v>
      </c>
      <c r="C190" t="s">
        <v>31</v>
      </c>
      <c r="H190">
        <v>10.221006019902795</v>
      </c>
    </row>
    <row r="191" spans="1:8" hidden="1" x14ac:dyDescent="0.25">
      <c r="A191" t="s">
        <v>203</v>
      </c>
      <c r="B191" t="s">
        <v>403</v>
      </c>
      <c r="C191" t="s">
        <v>180</v>
      </c>
      <c r="H191">
        <v>47.040487815872098</v>
      </c>
    </row>
    <row r="192" spans="1:8" hidden="1" x14ac:dyDescent="0.25">
      <c r="A192" t="s">
        <v>203</v>
      </c>
      <c r="B192" t="s">
        <v>403</v>
      </c>
      <c r="C192" t="s">
        <v>152</v>
      </c>
      <c r="H192">
        <v>0</v>
      </c>
    </row>
    <row r="193" spans="1:8" hidden="1" x14ac:dyDescent="0.25">
      <c r="A193" t="s">
        <v>203</v>
      </c>
      <c r="B193" t="s">
        <v>403</v>
      </c>
      <c r="C193" t="s">
        <v>181</v>
      </c>
      <c r="H193">
        <v>22027.835693013192</v>
      </c>
    </row>
    <row r="194" spans="1:8" hidden="1" x14ac:dyDescent="0.25">
      <c r="A194" t="s">
        <v>203</v>
      </c>
      <c r="B194" t="s">
        <v>403</v>
      </c>
      <c r="C194" t="s">
        <v>150</v>
      </c>
      <c r="H194">
        <v>0.99900312329013485</v>
      </c>
    </row>
    <row r="195" spans="1:8" hidden="1" x14ac:dyDescent="0.25">
      <c r="A195" t="s">
        <v>203</v>
      </c>
      <c r="B195" t="s">
        <v>403</v>
      </c>
      <c r="C195" t="s">
        <v>30</v>
      </c>
      <c r="H195">
        <v>7.4483490547029629E-2</v>
      </c>
    </row>
    <row r="196" spans="1:8" x14ac:dyDescent="0.25">
      <c r="A196" t="s">
        <v>203</v>
      </c>
      <c r="B196" t="s">
        <v>403</v>
      </c>
      <c r="C196" t="s">
        <v>29</v>
      </c>
      <c r="H196">
        <v>428.56945921065739</v>
      </c>
    </row>
    <row r="197" spans="1:8" hidden="1" x14ac:dyDescent="0.25">
      <c r="A197" t="s">
        <v>203</v>
      </c>
      <c r="B197" t="s">
        <v>403</v>
      </c>
      <c r="C197" t="s">
        <v>178</v>
      </c>
      <c r="H197">
        <v>53.664602690098341</v>
      </c>
    </row>
    <row r="198" spans="1:8" hidden="1" x14ac:dyDescent="0.25">
      <c r="A198" t="s">
        <v>203</v>
      </c>
      <c r="B198" t="s">
        <v>403</v>
      </c>
      <c r="C198" t="s">
        <v>32</v>
      </c>
      <c r="H198">
        <v>2.6146094857010032</v>
      </c>
    </row>
    <row r="199" spans="1:8" hidden="1" x14ac:dyDescent="0.25">
      <c r="A199" t="s">
        <v>203</v>
      </c>
      <c r="B199" t="s">
        <v>403</v>
      </c>
      <c r="C199" t="s">
        <v>179</v>
      </c>
      <c r="H199">
        <v>6.6241148742262448</v>
      </c>
    </row>
    <row r="200" spans="1:8" hidden="1" x14ac:dyDescent="0.25">
      <c r="A200" t="s">
        <v>203</v>
      </c>
      <c r="B200" t="s">
        <v>404</v>
      </c>
      <c r="C200" t="s">
        <v>33</v>
      </c>
      <c r="H200">
        <v>0</v>
      </c>
    </row>
    <row r="201" spans="1:8" hidden="1" x14ac:dyDescent="0.25">
      <c r="A201" t="s">
        <v>203</v>
      </c>
      <c r="B201" t="s">
        <v>404</v>
      </c>
      <c r="C201" t="s">
        <v>31</v>
      </c>
      <c r="H201">
        <v>32.944210884798444</v>
      </c>
    </row>
    <row r="202" spans="1:8" hidden="1" x14ac:dyDescent="0.25">
      <c r="A202" t="s">
        <v>203</v>
      </c>
      <c r="B202" t="s">
        <v>404</v>
      </c>
      <c r="C202" t="s">
        <v>180</v>
      </c>
      <c r="H202">
        <v>42.070095190942624</v>
      </c>
    </row>
    <row r="203" spans="1:8" hidden="1" x14ac:dyDescent="0.25">
      <c r="A203" t="s">
        <v>203</v>
      </c>
      <c r="B203" t="s">
        <v>404</v>
      </c>
      <c r="C203" t="s">
        <v>152</v>
      </c>
      <c r="H203">
        <v>0</v>
      </c>
    </row>
    <row r="204" spans="1:8" hidden="1" x14ac:dyDescent="0.25">
      <c r="A204" t="s">
        <v>203</v>
      </c>
      <c r="B204" t="s">
        <v>404</v>
      </c>
      <c r="C204" t="s">
        <v>181</v>
      </c>
      <c r="H204">
        <v>22027.835693013192</v>
      </c>
    </row>
    <row r="205" spans="1:8" hidden="1" x14ac:dyDescent="0.25">
      <c r="A205" t="s">
        <v>203</v>
      </c>
      <c r="B205" t="s">
        <v>404</v>
      </c>
      <c r="C205" t="s">
        <v>150</v>
      </c>
      <c r="H205">
        <v>1.0505761615062705</v>
      </c>
    </row>
    <row r="206" spans="1:8" hidden="1" x14ac:dyDescent="0.25">
      <c r="A206" t="s">
        <v>203</v>
      </c>
      <c r="B206" t="s">
        <v>404</v>
      </c>
      <c r="C206" t="s">
        <v>30</v>
      </c>
      <c r="H206">
        <v>1.0360564712712068</v>
      </c>
    </row>
    <row r="207" spans="1:8" x14ac:dyDescent="0.25">
      <c r="A207" t="s">
        <v>203</v>
      </c>
      <c r="B207" t="s">
        <v>404</v>
      </c>
      <c r="C207" t="s">
        <v>29</v>
      </c>
      <c r="H207">
        <v>1079.9729226057589</v>
      </c>
    </row>
    <row r="208" spans="1:8" hidden="1" x14ac:dyDescent="0.25">
      <c r="A208" t="s">
        <v>203</v>
      </c>
      <c r="B208" t="s">
        <v>404</v>
      </c>
      <c r="C208" t="s">
        <v>178</v>
      </c>
      <c r="H208">
        <v>48.238020911153598</v>
      </c>
    </row>
    <row r="209" spans="1:8" hidden="1" x14ac:dyDescent="0.25">
      <c r="A209" t="s">
        <v>203</v>
      </c>
      <c r="B209" t="s">
        <v>404</v>
      </c>
      <c r="C209" t="s">
        <v>32</v>
      </c>
      <c r="H209">
        <v>2.9072199347152581</v>
      </c>
    </row>
    <row r="210" spans="1:8" hidden="1" x14ac:dyDescent="0.25">
      <c r="A210" t="s">
        <v>203</v>
      </c>
      <c r="B210" t="s">
        <v>404</v>
      </c>
      <c r="C210" t="s">
        <v>179</v>
      </c>
      <c r="H210">
        <v>6.1679257202109694</v>
      </c>
    </row>
    <row r="211" spans="1:8" hidden="1" x14ac:dyDescent="0.25">
      <c r="A211" t="s">
        <v>203</v>
      </c>
      <c r="B211" t="s">
        <v>401</v>
      </c>
      <c r="C211" t="s">
        <v>33</v>
      </c>
      <c r="D211">
        <v>0</v>
      </c>
      <c r="E211">
        <v>0</v>
      </c>
      <c r="F211">
        <v>0</v>
      </c>
      <c r="G211">
        <v>0</v>
      </c>
    </row>
    <row r="212" spans="1:8" hidden="1" x14ac:dyDescent="0.25">
      <c r="A212" t="s">
        <v>203</v>
      </c>
      <c r="B212" t="s">
        <v>401</v>
      </c>
      <c r="C212" t="s">
        <v>31</v>
      </c>
      <c r="D212">
        <v>15.673058030079792</v>
      </c>
      <c r="E212">
        <v>11.988189401243812</v>
      </c>
      <c r="F212">
        <v>10.894033583430897</v>
      </c>
      <c r="G212">
        <v>10.894033583430897</v>
      </c>
    </row>
    <row r="213" spans="1:8" hidden="1" x14ac:dyDescent="0.25">
      <c r="A213" t="s">
        <v>203</v>
      </c>
      <c r="B213" t="s">
        <v>401</v>
      </c>
      <c r="C213" t="s">
        <v>180</v>
      </c>
      <c r="D213">
        <v>62.249688914027594</v>
      </c>
      <c r="E213">
        <v>65.304302979034205</v>
      </c>
      <c r="F213">
        <v>62.000349514300936</v>
      </c>
      <c r="G213">
        <v>62.000349514300936</v>
      </c>
    </row>
    <row r="214" spans="1:8" hidden="1" x14ac:dyDescent="0.25">
      <c r="A214" t="s">
        <v>203</v>
      </c>
      <c r="B214" t="s">
        <v>401</v>
      </c>
      <c r="C214" t="s">
        <v>152</v>
      </c>
      <c r="D214">
        <v>4.7394790119550576</v>
      </c>
      <c r="E214">
        <v>4.9977841444308622</v>
      </c>
      <c r="F214">
        <v>4.2387033664711851</v>
      </c>
      <c r="G214">
        <v>4.2189063672247338</v>
      </c>
    </row>
    <row r="215" spans="1:8" hidden="1" x14ac:dyDescent="0.25">
      <c r="A215" t="s">
        <v>203</v>
      </c>
      <c r="B215" t="s">
        <v>401</v>
      </c>
      <c r="C215" t="s">
        <v>181</v>
      </c>
      <c r="D215">
        <v>19070.352475115462</v>
      </c>
      <c r="E215">
        <v>19369.556325345486</v>
      </c>
      <c r="F215">
        <v>19369.556325345486</v>
      </c>
      <c r="G215">
        <v>19369.556325345486</v>
      </c>
    </row>
    <row r="216" spans="1:8" hidden="1" x14ac:dyDescent="0.25">
      <c r="A216" t="s">
        <v>203</v>
      </c>
      <c r="B216" t="s">
        <v>401</v>
      </c>
      <c r="C216" t="s">
        <v>150</v>
      </c>
      <c r="D216">
        <v>3.1634155308289276</v>
      </c>
      <c r="E216">
        <v>0.89086728099376222</v>
      </c>
      <c r="F216">
        <v>0.81552897152325732</v>
      </c>
      <c r="G216">
        <v>0.81552897152325732</v>
      </c>
    </row>
    <row r="217" spans="1:8" hidden="1" x14ac:dyDescent="0.25">
      <c r="A217" t="s">
        <v>203</v>
      </c>
      <c r="B217" t="s">
        <v>401</v>
      </c>
      <c r="C217" t="s">
        <v>30</v>
      </c>
      <c r="D217">
        <v>2.8478116531606937E-2</v>
      </c>
      <c r="E217">
        <v>6.8900588623944086E-3</v>
      </c>
      <c r="F217">
        <v>6.3025791271424355E-3</v>
      </c>
      <c r="G217">
        <v>6.3025791271424355E-3</v>
      </c>
    </row>
    <row r="218" spans="1:8" x14ac:dyDescent="0.25">
      <c r="A218" t="s">
        <v>203</v>
      </c>
      <c r="B218" t="s">
        <v>401</v>
      </c>
      <c r="C218" t="s">
        <v>29</v>
      </c>
      <c r="D218">
        <v>1125.6487236080404</v>
      </c>
      <c r="E218">
        <v>455.76916664770931</v>
      </c>
      <c r="F218">
        <v>415.24485541091497</v>
      </c>
      <c r="G218">
        <v>415.24485541091497</v>
      </c>
    </row>
    <row r="219" spans="1:8" hidden="1" x14ac:dyDescent="0.25">
      <c r="A219" t="s">
        <v>203</v>
      </c>
      <c r="B219" t="s">
        <v>401</v>
      </c>
      <c r="C219" t="s">
        <v>178</v>
      </c>
      <c r="D219">
        <v>85.233063708721403</v>
      </c>
      <c r="E219">
        <v>88.542273759104589</v>
      </c>
      <c r="F219">
        <v>84.609234802710418</v>
      </c>
      <c r="G219">
        <v>82.74194967902018</v>
      </c>
    </row>
    <row r="220" spans="1:8" hidden="1" x14ac:dyDescent="0.25">
      <c r="A220" t="s">
        <v>203</v>
      </c>
      <c r="B220" t="s">
        <v>401</v>
      </c>
      <c r="C220" t="s">
        <v>32</v>
      </c>
      <c r="D220">
        <v>2.3507915965331749</v>
      </c>
      <c r="E220">
        <v>1.3193455037738802</v>
      </c>
      <c r="F220">
        <v>1.2311410164053675</v>
      </c>
      <c r="G220">
        <v>1.2311410164053675</v>
      </c>
    </row>
    <row r="221" spans="1:8" hidden="1" x14ac:dyDescent="0.25">
      <c r="A221" t="s">
        <v>203</v>
      </c>
      <c r="B221" t="s">
        <v>401</v>
      </c>
      <c r="C221" t="s">
        <v>179</v>
      </c>
      <c r="D221">
        <v>22.983374794693809</v>
      </c>
      <c r="E221">
        <v>23.237970780070391</v>
      </c>
      <c r="F221">
        <v>22.608885288409482</v>
      </c>
      <c r="G221">
        <v>20.741600164719237</v>
      </c>
    </row>
  </sheetData>
  <autoFilter ref="A1:I221" xr:uid="{4703BBEB-C8C3-422C-BA5A-1349246FB141}">
    <filterColumn colId="0">
      <filters>
        <filter val="UL"/>
      </filters>
    </filterColumn>
    <filterColumn colId="2">
      <filters>
        <filter val="THG"/>
      </filters>
    </filterColumn>
  </autoFilter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0610F-FCD2-486B-9468-2AFE498453AA}">
  <dimension ref="A1:F11"/>
  <sheetViews>
    <sheetView workbookViewId="0">
      <selection activeCell="M16" sqref="M16"/>
    </sheetView>
  </sheetViews>
  <sheetFormatPr baseColWidth="10" defaultRowHeight="15.75" x14ac:dyDescent="0.25"/>
  <cols>
    <col min="1" max="1" width="20.625" bestFit="1" customWidth="1"/>
    <col min="2" max="2" width="18.75" bestFit="1" customWidth="1"/>
    <col min="3" max="3" width="23.25" bestFit="1" customWidth="1"/>
    <col min="4" max="4" width="19.25" bestFit="1" customWidth="1"/>
    <col min="5" max="5" width="19.5" bestFit="1" customWidth="1"/>
    <col min="6" max="6" width="14.5" bestFit="1" customWidth="1"/>
    <col min="7" max="12" width="11.875" bestFit="1" customWidth="1"/>
    <col min="13" max="13" width="14.375" bestFit="1" customWidth="1"/>
  </cols>
  <sheetData>
    <row r="1" spans="1:6" x14ac:dyDescent="0.25">
      <c r="A1" s="114" t="s">
        <v>144</v>
      </c>
      <c r="B1" t="s">
        <v>150</v>
      </c>
    </row>
    <row r="3" spans="1:6" x14ac:dyDescent="0.25">
      <c r="A3" s="114" t="s">
        <v>405</v>
      </c>
      <c r="B3" t="s">
        <v>407</v>
      </c>
      <c r="C3" t="s">
        <v>408</v>
      </c>
      <c r="D3" t="s">
        <v>409</v>
      </c>
      <c r="E3" t="s">
        <v>410</v>
      </c>
      <c r="F3" t="s">
        <v>411</v>
      </c>
    </row>
    <row r="4" spans="1:6" x14ac:dyDescent="0.25">
      <c r="A4" s="66" t="s">
        <v>200</v>
      </c>
      <c r="B4" s="116">
        <v>1.3970647561431215</v>
      </c>
      <c r="C4" s="116">
        <v>0.93397144457325365</v>
      </c>
      <c r="D4" s="116">
        <v>0.83938806813730549</v>
      </c>
      <c r="E4" s="116">
        <v>0.82352582736230806</v>
      </c>
      <c r="F4" s="116">
        <v>1.3933044042893701</v>
      </c>
    </row>
    <row r="5" spans="1:6" x14ac:dyDescent="0.25">
      <c r="A5" s="115" t="s">
        <v>153</v>
      </c>
      <c r="B5" s="116">
        <v>2.5392408181257591E-4</v>
      </c>
      <c r="C5" s="116">
        <v>1.1749666650500908E-4</v>
      </c>
      <c r="D5" s="116">
        <v>1.1749666650500908E-4</v>
      </c>
      <c r="E5" s="116">
        <v>1.1749666650500908E-4</v>
      </c>
      <c r="F5" s="116">
        <v>1.1749666650500908E-4</v>
      </c>
    </row>
    <row r="6" spans="1:6" x14ac:dyDescent="0.25">
      <c r="A6" s="115" t="s">
        <v>69</v>
      </c>
      <c r="B6" s="116">
        <v>1.0982113048199489</v>
      </c>
      <c r="C6" s="116">
        <v>0.81482295216911438</v>
      </c>
      <c r="D6" s="116">
        <v>0.73018976875808062</v>
      </c>
      <c r="E6" s="116">
        <v>0.71432752798308319</v>
      </c>
      <c r="F6" s="116">
        <v>0.71432752798308319</v>
      </c>
    </row>
    <row r="7" spans="1:6" x14ac:dyDescent="0.25">
      <c r="A7" s="115" t="s">
        <v>401</v>
      </c>
      <c r="B7" s="116">
        <v>0.29859952724135991</v>
      </c>
      <c r="C7" s="116">
        <v>0.11903099573763432</v>
      </c>
      <c r="D7" s="116">
        <v>0.10908080271271987</v>
      </c>
      <c r="E7" s="116">
        <v>0.10908080271271987</v>
      </c>
      <c r="F7" s="116"/>
    </row>
    <row r="8" spans="1:6" x14ac:dyDescent="0.25">
      <c r="A8" s="115" t="s">
        <v>403</v>
      </c>
      <c r="B8" s="116"/>
      <c r="C8" s="116"/>
      <c r="D8" s="116"/>
      <c r="E8" s="116"/>
      <c r="F8" s="116">
        <v>0.34983266219563625</v>
      </c>
    </row>
    <row r="9" spans="1:6" x14ac:dyDescent="0.25">
      <c r="A9" s="115" t="s">
        <v>404</v>
      </c>
      <c r="B9" s="116"/>
      <c r="C9" s="116"/>
      <c r="D9" s="116"/>
      <c r="E9" s="116"/>
      <c r="F9" s="116">
        <v>0.32902671744414558</v>
      </c>
    </row>
    <row r="10" spans="1:6" x14ac:dyDescent="0.25">
      <c r="A10" s="115" t="s">
        <v>149</v>
      </c>
      <c r="B10" s="116">
        <v>0</v>
      </c>
      <c r="C10" s="116">
        <v>0</v>
      </c>
      <c r="D10" s="116">
        <v>0</v>
      </c>
      <c r="E10" s="116">
        <v>0</v>
      </c>
      <c r="F10" s="116">
        <v>0</v>
      </c>
    </row>
    <row r="11" spans="1:6" x14ac:dyDescent="0.25">
      <c r="A11" s="66" t="s">
        <v>406</v>
      </c>
      <c r="B11" s="116">
        <v>1.3970647561431215</v>
      </c>
      <c r="C11" s="116">
        <v>0.93397144457325365</v>
      </c>
      <c r="D11" s="116">
        <v>0.83938806813730549</v>
      </c>
      <c r="E11" s="116">
        <v>0.82352582736230806</v>
      </c>
      <c r="F11" s="116">
        <v>1.3933044042893701</v>
      </c>
    </row>
  </sheetData>
  <pageMargins left="0.7" right="0.7" top="0.78740157499999996" bottom="0.78740157499999996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45D2F-2A93-4572-8DB2-E6A577B585E1}">
  <sheetPr codeName="Tabelle3"/>
  <dimension ref="A1:Y8"/>
  <sheetViews>
    <sheetView workbookViewId="0">
      <selection activeCell="D44" sqref="D44"/>
    </sheetView>
  </sheetViews>
  <sheetFormatPr baseColWidth="10" defaultColWidth="10.625" defaultRowHeight="15" x14ac:dyDescent="0.25"/>
  <cols>
    <col min="1" max="1" width="4.75" style="33" bestFit="1" customWidth="1"/>
    <col min="2" max="2" width="10.75" style="33" bestFit="1" customWidth="1"/>
    <col min="3" max="3" width="14.375" style="33" bestFit="1" customWidth="1"/>
    <col min="4" max="4" width="9.625" style="33" bestFit="1" customWidth="1"/>
    <col min="5" max="5" width="7.25" style="33" bestFit="1" customWidth="1"/>
    <col min="6" max="6" width="8.125" style="33" bestFit="1" customWidth="1"/>
    <col min="7" max="7" width="7.25" style="33" bestFit="1" customWidth="1"/>
    <col min="8" max="8" width="11.875" style="33" bestFit="1" customWidth="1"/>
    <col min="9" max="9" width="12.25" style="33" bestFit="1" customWidth="1"/>
    <col min="10" max="10" width="11.625" style="33" bestFit="1" customWidth="1"/>
    <col min="11" max="11" width="7.375" style="33" bestFit="1" customWidth="1"/>
    <col min="12" max="12" width="12.25" style="33" bestFit="1" customWidth="1"/>
    <col min="13" max="13" width="11.625" style="33" bestFit="1" customWidth="1"/>
    <col min="14" max="14" width="11.875" style="33" bestFit="1" customWidth="1"/>
    <col min="15" max="15" width="12.25" style="33" bestFit="1" customWidth="1"/>
    <col min="16" max="16" width="11.625" style="33" bestFit="1" customWidth="1"/>
    <col min="17" max="17" width="11.875" style="33" bestFit="1" customWidth="1"/>
    <col min="18" max="18" width="12.25" style="33" bestFit="1" customWidth="1"/>
    <col min="19" max="19" width="11.625" style="33" bestFit="1" customWidth="1"/>
    <col min="20" max="20" width="7.25" style="33" bestFit="1" customWidth="1"/>
    <col min="21" max="21" width="12.25" style="33" bestFit="1" customWidth="1"/>
    <col min="22" max="22" width="11.625" style="33" bestFit="1" customWidth="1"/>
    <col min="23" max="23" width="7.25" style="33" bestFit="1" customWidth="1"/>
    <col min="24" max="24" width="12.25" style="33" bestFit="1" customWidth="1"/>
    <col min="25" max="25" width="11.625" style="33" bestFit="1" customWidth="1"/>
    <col min="26" max="16384" width="10.625" style="33"/>
  </cols>
  <sheetData>
    <row r="1" spans="1:25" x14ac:dyDescent="0.25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</row>
    <row r="2" spans="1:25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3" t="s">
        <v>179</v>
      </c>
      <c r="G2" s="122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</row>
    <row r="3" spans="1:25" x14ac:dyDescent="0.25">
      <c r="A3" s="33">
        <v>1</v>
      </c>
      <c r="B3" s="33" t="s">
        <v>335</v>
      </c>
      <c r="C3" s="33">
        <v>1</v>
      </c>
      <c r="D3" s="33">
        <v>137</v>
      </c>
      <c r="E3" s="33">
        <v>137</v>
      </c>
      <c r="F3" s="33">
        <v>0</v>
      </c>
      <c r="G3" s="33">
        <v>107100</v>
      </c>
      <c r="H3" s="34" t="s">
        <v>164</v>
      </c>
      <c r="I3" s="33">
        <v>14600</v>
      </c>
      <c r="K3" s="33" t="s">
        <v>165</v>
      </c>
      <c r="L3" s="33">
        <v>76400</v>
      </c>
      <c r="N3" s="34" t="s">
        <v>164</v>
      </c>
      <c r="O3" s="33">
        <v>16100</v>
      </c>
    </row>
    <row r="4" spans="1:25" x14ac:dyDescent="0.25">
      <c r="A4" s="33">
        <v>2</v>
      </c>
      <c r="B4" s="33" t="s">
        <v>335</v>
      </c>
      <c r="C4" s="33">
        <v>1</v>
      </c>
      <c r="D4" s="33">
        <v>171</v>
      </c>
      <c r="E4" s="33">
        <v>171</v>
      </c>
      <c r="F4" s="33">
        <v>0</v>
      </c>
      <c r="G4" s="33">
        <v>124400</v>
      </c>
      <c r="H4" s="34" t="s">
        <v>164</v>
      </c>
      <c r="I4" s="33">
        <v>14600</v>
      </c>
      <c r="K4" s="34" t="s">
        <v>166</v>
      </c>
      <c r="L4" s="33">
        <v>85000</v>
      </c>
      <c r="N4" s="33" t="s">
        <v>165</v>
      </c>
      <c r="O4" s="33">
        <v>8700</v>
      </c>
      <c r="Q4" s="34" t="s">
        <v>164</v>
      </c>
      <c r="R4" s="33">
        <v>16100</v>
      </c>
    </row>
    <row r="5" spans="1:25" x14ac:dyDescent="0.25">
      <c r="A5" s="33">
        <v>3</v>
      </c>
      <c r="B5" s="122" t="s">
        <v>335</v>
      </c>
      <c r="C5" s="33">
        <v>1</v>
      </c>
      <c r="D5" s="33">
        <v>82</v>
      </c>
      <c r="E5" s="33">
        <v>82</v>
      </c>
      <c r="F5" s="33">
        <v>0</v>
      </c>
      <c r="G5" s="33">
        <v>84400</v>
      </c>
      <c r="H5" s="123" t="s">
        <v>165</v>
      </c>
      <c r="I5" s="33">
        <v>84400</v>
      </c>
      <c r="K5" s="34"/>
      <c r="Q5" s="34"/>
    </row>
    <row r="6" spans="1:25" x14ac:dyDescent="0.25">
      <c r="A6" s="33">
        <v>4</v>
      </c>
      <c r="B6" s="33" t="s">
        <v>336</v>
      </c>
      <c r="C6" s="33">
        <v>2</v>
      </c>
      <c r="D6" s="33">
        <v>626</v>
      </c>
      <c r="E6" s="33">
        <v>626</v>
      </c>
      <c r="F6" s="33">
        <v>0</v>
      </c>
      <c r="G6" s="33">
        <v>809700</v>
      </c>
      <c r="H6" s="34" t="s">
        <v>164</v>
      </c>
      <c r="I6" s="33">
        <v>20700</v>
      </c>
      <c r="K6" s="33" t="s">
        <v>165</v>
      </c>
      <c r="L6" s="33">
        <v>675000</v>
      </c>
      <c r="N6" s="34" t="s">
        <v>164</v>
      </c>
      <c r="O6" s="33">
        <v>114000</v>
      </c>
    </row>
    <row r="7" spans="1:25" x14ac:dyDescent="0.25">
      <c r="A7" s="33">
        <v>5</v>
      </c>
      <c r="B7" s="33" t="s">
        <v>336</v>
      </c>
      <c r="C7" s="33">
        <v>2</v>
      </c>
      <c r="D7" s="33">
        <v>823</v>
      </c>
      <c r="E7" s="33">
        <v>823</v>
      </c>
      <c r="F7" s="33">
        <v>0</v>
      </c>
      <c r="G7" s="33">
        <v>811700</v>
      </c>
      <c r="H7" s="34" t="s">
        <v>164</v>
      </c>
      <c r="I7" s="33">
        <v>20700</v>
      </c>
      <c r="K7" s="33" t="s">
        <v>165</v>
      </c>
      <c r="L7" s="33">
        <v>16000</v>
      </c>
      <c r="N7" s="34" t="s">
        <v>166</v>
      </c>
      <c r="O7" s="33">
        <v>661000</v>
      </c>
      <c r="Q7" s="34" t="s">
        <v>164</v>
      </c>
      <c r="R7" s="33">
        <v>114000</v>
      </c>
    </row>
    <row r="8" spans="1:25" x14ac:dyDescent="0.25">
      <c r="A8" s="33">
        <v>6</v>
      </c>
      <c r="B8" s="122" t="s">
        <v>336</v>
      </c>
      <c r="C8" s="33">
        <v>2</v>
      </c>
      <c r="D8" s="33">
        <v>587</v>
      </c>
      <c r="E8" s="33">
        <v>587</v>
      </c>
      <c r="F8" s="33">
        <v>0</v>
      </c>
      <c r="G8" s="33">
        <v>796000</v>
      </c>
      <c r="H8" s="123" t="s">
        <v>165</v>
      </c>
      <c r="I8" s="33">
        <v>796000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A5655-F635-499A-AD76-2B3B520BEB6A}">
  <dimension ref="A1:Z8"/>
  <sheetViews>
    <sheetView workbookViewId="0"/>
  </sheetViews>
  <sheetFormatPr baseColWidth="10" defaultColWidth="10.625" defaultRowHeight="15" x14ac:dyDescent="0.25"/>
  <cols>
    <col min="1" max="1" width="4.75" style="33" bestFit="1" customWidth="1"/>
    <col min="2" max="2" width="10.75" style="33" bestFit="1" customWidth="1"/>
    <col min="3" max="3" width="14.375" style="33" bestFit="1" customWidth="1"/>
    <col min="4" max="4" width="9.625" style="33" bestFit="1" customWidth="1"/>
    <col min="5" max="5" width="7.25" style="33" bestFit="1" customWidth="1"/>
    <col min="6" max="6" width="8.125" style="33" bestFit="1" customWidth="1"/>
    <col min="7" max="7" width="7.25" style="33" bestFit="1" customWidth="1"/>
    <col min="8" max="8" width="11.875" style="33" bestFit="1" customWidth="1"/>
    <col min="9" max="9" width="12.25" style="33" bestFit="1" customWidth="1"/>
    <col min="10" max="10" width="11.625" style="33" bestFit="1" customWidth="1"/>
    <col min="11" max="11" width="7.375" style="33" bestFit="1" customWidth="1"/>
    <col min="12" max="12" width="12.25" style="33" bestFit="1" customWidth="1"/>
    <col min="13" max="13" width="11.625" style="33" bestFit="1" customWidth="1"/>
    <col min="14" max="14" width="11.875" style="33" bestFit="1" customWidth="1"/>
    <col min="15" max="15" width="12.25" style="33" bestFit="1" customWidth="1"/>
    <col min="16" max="16" width="11.625" style="33" bestFit="1" customWidth="1"/>
    <col min="17" max="17" width="11.875" style="33" bestFit="1" customWidth="1"/>
    <col min="18" max="18" width="12.25" style="33" bestFit="1" customWidth="1"/>
    <col min="19" max="19" width="11.625" style="33" bestFit="1" customWidth="1"/>
    <col min="20" max="20" width="7.25" style="33" bestFit="1" customWidth="1"/>
    <col min="21" max="21" width="12.25" style="33" bestFit="1" customWidth="1"/>
    <col min="22" max="22" width="11.625" style="33" bestFit="1" customWidth="1"/>
    <col min="23" max="23" width="7.25" style="33" bestFit="1" customWidth="1"/>
    <col min="24" max="24" width="12.25" style="33" bestFit="1" customWidth="1"/>
    <col min="25" max="25" width="11.625" style="33" bestFit="1" customWidth="1"/>
    <col min="26" max="26" width="7.25" style="33" bestFit="1" customWidth="1"/>
    <col min="27" max="16384" width="10.625" style="33"/>
  </cols>
  <sheetData>
    <row r="1" spans="1:26" x14ac:dyDescent="0.25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  <c r="Z1" s="33" t="s">
        <v>145</v>
      </c>
    </row>
    <row r="2" spans="1:26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25">
      <c r="A3" s="33">
        <v>1</v>
      </c>
      <c r="B3" s="33" t="s">
        <v>335</v>
      </c>
      <c r="C3" s="33">
        <v>1</v>
      </c>
      <c r="D3" s="33">
        <v>137</v>
      </c>
      <c r="E3" s="33">
        <v>137</v>
      </c>
      <c r="F3" s="33">
        <v>0</v>
      </c>
      <c r="G3" s="33">
        <v>107100</v>
      </c>
      <c r="H3" s="33" t="s">
        <v>164</v>
      </c>
      <c r="I3" s="33">
        <v>14600</v>
      </c>
      <c r="J3" s="33">
        <v>12.0596</v>
      </c>
      <c r="K3" s="33" t="s">
        <v>165</v>
      </c>
      <c r="L3" s="33">
        <v>76400</v>
      </c>
      <c r="M3" s="33">
        <v>9.168000000000001</v>
      </c>
      <c r="N3" s="33" t="s">
        <v>164</v>
      </c>
      <c r="O3" s="33">
        <v>16100</v>
      </c>
      <c r="P3" s="33">
        <v>13.2986</v>
      </c>
      <c r="Z3" s="33">
        <v>107100</v>
      </c>
    </row>
    <row r="4" spans="1:26" x14ac:dyDescent="0.25">
      <c r="A4" s="33">
        <v>2</v>
      </c>
      <c r="B4" s="33" t="s">
        <v>335</v>
      </c>
      <c r="C4" s="33">
        <v>1</v>
      </c>
      <c r="D4" s="33">
        <v>171</v>
      </c>
      <c r="E4" s="33">
        <v>171</v>
      </c>
      <c r="F4" s="33">
        <v>0</v>
      </c>
      <c r="G4" s="33">
        <v>124400</v>
      </c>
      <c r="H4" s="33" t="s">
        <v>164</v>
      </c>
      <c r="I4" s="33">
        <v>14600</v>
      </c>
      <c r="J4" s="33">
        <v>12.0596</v>
      </c>
      <c r="K4" s="33" t="s">
        <v>166</v>
      </c>
      <c r="L4" s="33">
        <v>85000</v>
      </c>
      <c r="M4" s="33">
        <v>5.0999999999999996</v>
      </c>
      <c r="N4" s="33" t="s">
        <v>165</v>
      </c>
      <c r="O4" s="33">
        <v>8700</v>
      </c>
      <c r="P4" s="33">
        <v>1.0439999999999998</v>
      </c>
      <c r="Q4" s="33" t="s">
        <v>164</v>
      </c>
      <c r="R4" s="33">
        <v>16100</v>
      </c>
      <c r="S4" s="33">
        <v>13.2986</v>
      </c>
      <c r="Z4" s="33">
        <v>124400</v>
      </c>
    </row>
    <row r="5" spans="1:26" x14ac:dyDescent="0.25">
      <c r="A5" s="33">
        <v>3</v>
      </c>
      <c r="B5" s="33" t="s">
        <v>335</v>
      </c>
      <c r="C5" s="33">
        <v>1</v>
      </c>
      <c r="D5" s="33">
        <v>82</v>
      </c>
      <c r="E5" s="33">
        <v>82</v>
      </c>
      <c r="F5" s="33">
        <v>0</v>
      </c>
      <c r="G5" s="33">
        <v>84400</v>
      </c>
      <c r="H5" s="33" t="s">
        <v>165</v>
      </c>
      <c r="I5" s="33">
        <v>84400</v>
      </c>
      <c r="J5" s="33">
        <v>10.128</v>
      </c>
      <c r="Z5" s="33">
        <v>809700</v>
      </c>
    </row>
    <row r="6" spans="1:26" x14ac:dyDescent="0.25">
      <c r="A6" s="33">
        <v>4</v>
      </c>
      <c r="B6" s="33" t="s">
        <v>336</v>
      </c>
      <c r="C6" s="33">
        <v>2</v>
      </c>
      <c r="D6" s="33">
        <v>625.99999999999989</v>
      </c>
      <c r="E6" s="33">
        <v>625.99999999999989</v>
      </c>
      <c r="F6" s="33">
        <v>0</v>
      </c>
      <c r="G6" s="33">
        <v>809700</v>
      </c>
      <c r="H6" s="33" t="s">
        <v>164</v>
      </c>
      <c r="I6" s="33">
        <v>20700</v>
      </c>
      <c r="J6" s="33">
        <v>17.098199999999999</v>
      </c>
      <c r="K6" s="33" t="s">
        <v>165</v>
      </c>
      <c r="L6" s="33">
        <v>675000</v>
      </c>
      <c r="M6" s="33">
        <v>81</v>
      </c>
      <c r="N6" s="33" t="s">
        <v>164</v>
      </c>
      <c r="O6" s="33">
        <v>114000</v>
      </c>
      <c r="P6" s="33">
        <v>94.164000000000001</v>
      </c>
      <c r="Z6" s="33">
        <v>811700</v>
      </c>
    </row>
    <row r="7" spans="1:26" x14ac:dyDescent="0.25">
      <c r="A7" s="33">
        <v>5</v>
      </c>
      <c r="B7" s="33" t="s">
        <v>336</v>
      </c>
      <c r="C7" s="33">
        <v>2</v>
      </c>
      <c r="D7" s="33">
        <v>822.99999999999989</v>
      </c>
      <c r="E7" s="33">
        <v>822.99999999999989</v>
      </c>
      <c r="F7" s="33">
        <v>0</v>
      </c>
      <c r="G7" s="33">
        <v>811700</v>
      </c>
      <c r="H7" s="33" t="s">
        <v>164</v>
      </c>
      <c r="I7" s="33">
        <v>20700</v>
      </c>
      <c r="J7" s="33">
        <v>17.098199999999999</v>
      </c>
      <c r="K7" s="33" t="s">
        <v>165</v>
      </c>
      <c r="L7" s="33">
        <v>16000</v>
      </c>
      <c r="M7" s="33">
        <v>1.92</v>
      </c>
      <c r="N7" s="33" t="s">
        <v>166</v>
      </c>
      <c r="O7" s="33">
        <v>661000</v>
      </c>
      <c r="P7" s="33">
        <v>39.659999999999997</v>
      </c>
      <c r="Q7" s="33" t="s">
        <v>164</v>
      </c>
      <c r="R7" s="33">
        <v>114000</v>
      </c>
      <c r="S7" s="33">
        <v>94.164000000000001</v>
      </c>
    </row>
    <row r="8" spans="1:26" x14ac:dyDescent="0.25">
      <c r="A8" s="33">
        <v>6</v>
      </c>
      <c r="B8" s="33" t="s">
        <v>336</v>
      </c>
      <c r="C8" s="33">
        <v>2</v>
      </c>
      <c r="D8" s="33">
        <v>587</v>
      </c>
      <c r="E8" s="33">
        <v>587</v>
      </c>
      <c r="F8" s="33">
        <v>0</v>
      </c>
      <c r="G8" s="33">
        <v>796000</v>
      </c>
      <c r="H8" s="33" t="s">
        <v>165</v>
      </c>
      <c r="I8" s="33">
        <v>796000</v>
      </c>
      <c r="J8" s="33">
        <v>95.52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3D7-9D1F-40B1-950D-164893F0A57A}">
  <dimension ref="A1:Z8"/>
  <sheetViews>
    <sheetView workbookViewId="0"/>
  </sheetViews>
  <sheetFormatPr baseColWidth="10" defaultColWidth="10.625" defaultRowHeight="15" x14ac:dyDescent="0.25"/>
  <cols>
    <col min="1" max="1" width="4.75" style="33" bestFit="1" customWidth="1"/>
    <col min="2" max="2" width="10.75" style="33" bestFit="1" customWidth="1"/>
    <col min="3" max="3" width="14.375" style="33" bestFit="1" customWidth="1"/>
    <col min="4" max="7" width="11.25" style="33" bestFit="1" customWidth="1"/>
    <col min="8" max="8" width="11.875" style="33" bestFit="1" customWidth="1"/>
    <col min="9" max="9" width="12.25" style="33" bestFit="1" customWidth="1"/>
    <col min="10" max="10" width="11.625" style="33" bestFit="1" customWidth="1"/>
    <col min="11" max="11" width="11.25" style="33" bestFit="1" customWidth="1"/>
    <col min="12" max="12" width="12.25" style="33" bestFit="1" customWidth="1"/>
    <col min="13" max="13" width="11.625" style="33" bestFit="1" customWidth="1"/>
    <col min="14" max="14" width="11.875" style="33" bestFit="1" customWidth="1"/>
    <col min="15" max="15" width="12.25" style="33" bestFit="1" customWidth="1"/>
    <col min="16" max="16" width="11.625" style="33" bestFit="1" customWidth="1"/>
    <col min="17" max="17" width="11.875" style="33" bestFit="1" customWidth="1"/>
    <col min="18" max="18" width="12.25" style="33" bestFit="1" customWidth="1"/>
    <col min="19" max="19" width="11.625" style="33" bestFit="1" customWidth="1"/>
    <col min="20" max="20" width="11.25" style="33" bestFit="1" customWidth="1"/>
    <col min="21" max="21" width="12.25" style="33" bestFit="1" customWidth="1"/>
    <col min="22" max="22" width="11.625" style="33" bestFit="1" customWidth="1"/>
    <col min="23" max="23" width="11.25" style="33" bestFit="1" customWidth="1"/>
    <col min="24" max="24" width="12.25" style="33" bestFit="1" customWidth="1"/>
    <col min="25" max="25" width="11.625" style="33" bestFit="1" customWidth="1"/>
    <col min="26" max="26" width="11.25" style="33" bestFit="1" customWidth="1"/>
    <col min="27" max="16384" width="10.625" style="33"/>
  </cols>
  <sheetData>
    <row r="1" spans="1:26" x14ac:dyDescent="0.25">
      <c r="B1" s="33" t="s">
        <v>174</v>
      </c>
      <c r="C1" s="33" t="s">
        <v>174</v>
      </c>
      <c r="D1" s="33" t="s">
        <v>146</v>
      </c>
      <c r="E1" s="33" t="s">
        <v>146</v>
      </c>
      <c r="F1" s="33" t="s">
        <v>146</v>
      </c>
      <c r="G1" s="33" t="s">
        <v>146</v>
      </c>
      <c r="H1" s="33" t="s">
        <v>146</v>
      </c>
      <c r="I1" s="33" t="s">
        <v>146</v>
      </c>
      <c r="J1" s="33" t="s">
        <v>146</v>
      </c>
      <c r="K1" s="33" t="s">
        <v>146</v>
      </c>
      <c r="L1" s="33" t="s">
        <v>146</v>
      </c>
      <c r="M1" s="33" t="s">
        <v>146</v>
      </c>
      <c r="N1" s="33" t="s">
        <v>146</v>
      </c>
      <c r="O1" s="33" t="s">
        <v>146</v>
      </c>
      <c r="P1" s="33" t="s">
        <v>146</v>
      </c>
      <c r="Q1" s="33" t="s">
        <v>146</v>
      </c>
      <c r="R1" s="33" t="s">
        <v>146</v>
      </c>
      <c r="S1" s="33" t="s">
        <v>146</v>
      </c>
      <c r="T1" s="33" t="s">
        <v>146</v>
      </c>
      <c r="U1" s="33" t="s">
        <v>146</v>
      </c>
      <c r="V1" s="33" t="s">
        <v>146</v>
      </c>
      <c r="W1" s="33" t="s">
        <v>146</v>
      </c>
      <c r="X1" s="33" t="s">
        <v>146</v>
      </c>
      <c r="Y1" s="33" t="s">
        <v>146</v>
      </c>
      <c r="Z1" s="33" t="s">
        <v>146</v>
      </c>
    </row>
    <row r="2" spans="1:26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25">
      <c r="A3" s="33">
        <v>1</v>
      </c>
      <c r="B3" s="33" t="s">
        <v>335</v>
      </c>
      <c r="C3" s="33">
        <v>1</v>
      </c>
      <c r="D3" s="33">
        <v>157.54999999999998</v>
      </c>
      <c r="E3" s="33">
        <v>157.54999999999998</v>
      </c>
      <c r="F3" s="33">
        <v>0</v>
      </c>
      <c r="G3" s="33">
        <v>123165</v>
      </c>
      <c r="H3" s="33" t="s">
        <v>164</v>
      </c>
      <c r="I3" s="33">
        <v>16790</v>
      </c>
      <c r="J3" s="33">
        <v>14.561966999999999</v>
      </c>
      <c r="K3" s="33" t="s">
        <v>165</v>
      </c>
      <c r="L3" s="33">
        <v>87860</v>
      </c>
      <c r="M3" s="33">
        <v>13.179</v>
      </c>
      <c r="N3" s="33" t="s">
        <v>164</v>
      </c>
      <c r="O3" s="33">
        <v>18515</v>
      </c>
      <c r="P3" s="33">
        <v>16.058059499999999</v>
      </c>
      <c r="Z3" s="33">
        <v>123165</v>
      </c>
    </row>
    <row r="4" spans="1:26" x14ac:dyDescent="0.25">
      <c r="A4" s="33">
        <v>2</v>
      </c>
      <c r="B4" s="33" t="s">
        <v>335</v>
      </c>
      <c r="C4" s="33">
        <v>1</v>
      </c>
      <c r="D4" s="33">
        <v>179.9187437648684</v>
      </c>
      <c r="E4" s="33">
        <v>179.9187437648684</v>
      </c>
      <c r="F4" s="33">
        <v>0</v>
      </c>
      <c r="G4" s="33">
        <v>130310</v>
      </c>
      <c r="H4" s="33" t="s">
        <v>164</v>
      </c>
      <c r="I4" s="33">
        <v>16790</v>
      </c>
      <c r="J4" s="33">
        <v>14.561966999999999</v>
      </c>
      <c r="K4" s="33" t="s">
        <v>166</v>
      </c>
      <c r="L4" s="33">
        <v>85000</v>
      </c>
      <c r="M4" s="33">
        <v>5.0999999999999996</v>
      </c>
      <c r="N4" s="33" t="s">
        <v>165</v>
      </c>
      <c r="O4" s="33">
        <v>10005</v>
      </c>
      <c r="P4" s="33">
        <v>1.50075</v>
      </c>
      <c r="Q4" s="33" t="s">
        <v>164</v>
      </c>
      <c r="R4" s="33">
        <v>18515</v>
      </c>
      <c r="S4" s="33">
        <v>16.058059499999999</v>
      </c>
      <c r="Z4" s="33">
        <v>130310</v>
      </c>
    </row>
    <row r="5" spans="1:26" x14ac:dyDescent="0.25">
      <c r="A5" s="33">
        <v>3</v>
      </c>
      <c r="B5" s="33" t="s">
        <v>335</v>
      </c>
      <c r="C5" s="33">
        <v>1</v>
      </c>
      <c r="D5" s="33">
        <v>94.3</v>
      </c>
      <c r="E5" s="33">
        <v>94.3</v>
      </c>
      <c r="F5" s="33">
        <v>0</v>
      </c>
      <c r="G5" s="33">
        <v>97059.999999999985</v>
      </c>
      <c r="H5" s="33" t="s">
        <v>165</v>
      </c>
      <c r="I5" s="33">
        <v>97059.999999999985</v>
      </c>
      <c r="J5" s="33">
        <v>14.55885</v>
      </c>
      <c r="Z5" s="33">
        <v>931154.99999999988</v>
      </c>
    </row>
    <row r="6" spans="1:26" x14ac:dyDescent="0.25">
      <c r="A6" s="33">
        <v>4</v>
      </c>
      <c r="B6" s="33" t="s">
        <v>336</v>
      </c>
      <c r="C6" s="33">
        <v>2</v>
      </c>
      <c r="D6" s="33">
        <v>719.9</v>
      </c>
      <c r="E6" s="33">
        <v>719.9</v>
      </c>
      <c r="F6" s="33">
        <v>0</v>
      </c>
      <c r="G6" s="33">
        <v>931154.99999999988</v>
      </c>
      <c r="H6" s="33" t="s">
        <v>164</v>
      </c>
      <c r="I6" s="33">
        <v>23804.999999999996</v>
      </c>
      <c r="J6" s="33">
        <v>20.645209199999996</v>
      </c>
      <c r="K6" s="33" t="s">
        <v>165</v>
      </c>
      <c r="L6" s="33">
        <v>776249.99999999988</v>
      </c>
      <c r="M6" s="33">
        <v>116.43735</v>
      </c>
      <c r="N6" s="33" t="s">
        <v>164</v>
      </c>
      <c r="O6" s="33">
        <v>131100</v>
      </c>
      <c r="P6" s="33">
        <v>113.70302999999998</v>
      </c>
      <c r="Z6" s="33">
        <v>834305</v>
      </c>
    </row>
    <row r="7" spans="1:26" x14ac:dyDescent="0.25">
      <c r="A7" s="33">
        <v>5</v>
      </c>
      <c r="B7" s="33" t="s">
        <v>336</v>
      </c>
      <c r="C7" s="33">
        <v>2</v>
      </c>
      <c r="D7" s="33">
        <v>848.64350237622932</v>
      </c>
      <c r="E7" s="33">
        <v>848.64350237622932</v>
      </c>
      <c r="F7" s="33">
        <v>0</v>
      </c>
      <c r="G7" s="33">
        <v>834305</v>
      </c>
      <c r="H7" s="33" t="s">
        <v>164</v>
      </c>
      <c r="I7" s="33">
        <v>23804.999999999996</v>
      </c>
      <c r="J7" s="33">
        <v>20.645209199999996</v>
      </c>
      <c r="K7" s="33" t="s">
        <v>165</v>
      </c>
      <c r="L7" s="33">
        <v>18400</v>
      </c>
      <c r="M7" s="33">
        <v>2.76</v>
      </c>
      <c r="N7" s="33" t="s">
        <v>166</v>
      </c>
      <c r="O7" s="33">
        <v>661000</v>
      </c>
      <c r="P7" s="33">
        <v>39.659999999999997</v>
      </c>
      <c r="Q7" s="33" t="s">
        <v>164</v>
      </c>
      <c r="R7" s="33">
        <v>131100</v>
      </c>
      <c r="S7" s="33">
        <v>113.70302999999998</v>
      </c>
    </row>
    <row r="8" spans="1:26" x14ac:dyDescent="0.25">
      <c r="A8" s="33">
        <v>6</v>
      </c>
      <c r="B8" s="33" t="s">
        <v>336</v>
      </c>
      <c r="C8" s="33">
        <v>2</v>
      </c>
      <c r="D8" s="33">
        <v>675.05</v>
      </c>
      <c r="E8" s="33">
        <v>675.05</v>
      </c>
      <c r="F8" s="33">
        <v>0</v>
      </c>
      <c r="G8" s="33">
        <v>915399.99999999988</v>
      </c>
      <c r="H8" s="33" t="s">
        <v>165</v>
      </c>
      <c r="I8" s="33">
        <v>915399.99999999988</v>
      </c>
      <c r="J8" s="33">
        <v>137.30984999999998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E2B53-D7AF-4B4B-ABED-E8AEB6EBE1E1}">
  <dimension ref="A1:Z8"/>
  <sheetViews>
    <sheetView workbookViewId="0"/>
  </sheetViews>
  <sheetFormatPr baseColWidth="10" defaultRowHeight="15.75" x14ac:dyDescent="0.25"/>
  <cols>
    <col min="1" max="1" width="4.75" bestFit="1" customWidth="1"/>
    <col min="2" max="2" width="10.75" bestFit="1" customWidth="1"/>
    <col min="3" max="3" width="14.375" bestFit="1" customWidth="1"/>
    <col min="4" max="5" width="11.875" bestFit="1" customWidth="1"/>
    <col min="6" max="6" width="8.125" bestFit="1" customWidth="1"/>
    <col min="7" max="7" width="7.75" bestFit="1" customWidth="1"/>
    <col min="8" max="8" width="13.5" bestFit="1" customWidth="1"/>
    <col min="9" max="9" width="12.25" bestFit="1" customWidth="1"/>
    <col min="10" max="10" width="11.875" bestFit="1" customWidth="1"/>
    <col min="11" max="11" width="8.5" bestFit="1" customWidth="1"/>
    <col min="12" max="12" width="12.25" bestFit="1" customWidth="1"/>
    <col min="13" max="13" width="11.625" bestFit="1" customWidth="1"/>
    <col min="14" max="14" width="13.5" bestFit="1" customWidth="1"/>
    <col min="15" max="15" width="12.25" bestFit="1" customWidth="1"/>
    <col min="16" max="16" width="11.875" bestFit="1" customWidth="1"/>
    <col min="17" max="17" width="13.5" bestFit="1" customWidth="1"/>
    <col min="18" max="18" width="12.25" bestFit="1" customWidth="1"/>
    <col min="19" max="19" width="11.875" bestFit="1" customWidth="1"/>
    <col min="20" max="20" width="7.75" bestFit="1" customWidth="1"/>
    <col min="21" max="21" width="12.25" bestFit="1" customWidth="1"/>
    <col min="22" max="22" width="11.625" bestFit="1" customWidth="1"/>
    <col min="23" max="23" width="7.75" bestFit="1" customWidth="1"/>
    <col min="24" max="24" width="12.25" bestFit="1" customWidth="1"/>
    <col min="25" max="25" width="11.625" bestFit="1" customWidth="1"/>
    <col min="26" max="26" width="7.75" bestFit="1" customWidth="1"/>
  </cols>
  <sheetData>
    <row r="1" spans="1:26" s="33" customFormat="1" ht="15" x14ac:dyDescent="0.25">
      <c r="B1" s="33" t="s">
        <v>174</v>
      </c>
      <c r="C1" s="33" t="s">
        <v>174</v>
      </c>
      <c r="D1" s="33" t="s">
        <v>147</v>
      </c>
      <c r="E1" s="33" t="s">
        <v>147</v>
      </c>
      <c r="F1" s="33" t="s">
        <v>147</v>
      </c>
      <c r="G1" s="33" t="s">
        <v>147</v>
      </c>
      <c r="H1" s="33" t="s">
        <v>147</v>
      </c>
      <c r="I1" s="33" t="s">
        <v>147</v>
      </c>
      <c r="J1" s="33" t="s">
        <v>147</v>
      </c>
      <c r="K1" s="33" t="s">
        <v>147</v>
      </c>
      <c r="L1" s="33" t="s">
        <v>147</v>
      </c>
      <c r="M1" s="33" t="s">
        <v>147</v>
      </c>
      <c r="N1" s="33" t="s">
        <v>147</v>
      </c>
      <c r="O1" s="33" t="s">
        <v>147</v>
      </c>
      <c r="P1" s="33" t="s">
        <v>147</v>
      </c>
      <c r="Q1" s="33" t="s">
        <v>147</v>
      </c>
      <c r="R1" s="33" t="s">
        <v>147</v>
      </c>
      <c r="S1" s="33" t="s">
        <v>147</v>
      </c>
      <c r="T1" s="33" t="s">
        <v>147</v>
      </c>
      <c r="U1" s="33" t="s">
        <v>147</v>
      </c>
      <c r="V1" s="33" t="s">
        <v>147</v>
      </c>
      <c r="W1" s="33" t="s">
        <v>147</v>
      </c>
      <c r="X1" s="33" t="s">
        <v>147</v>
      </c>
      <c r="Y1" s="33" t="s">
        <v>147</v>
      </c>
      <c r="Z1" s="33" t="s">
        <v>147</v>
      </c>
    </row>
    <row r="2" spans="1:26" s="33" customFormat="1" ht="15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25">
      <c r="A3">
        <v>1</v>
      </c>
      <c r="B3" t="s">
        <v>335</v>
      </c>
      <c r="C3">
        <v>1</v>
      </c>
      <c r="D3">
        <v>146.59</v>
      </c>
      <c r="E3">
        <v>146.59</v>
      </c>
      <c r="F3">
        <v>0</v>
      </c>
      <c r="G3">
        <v>114597</v>
      </c>
      <c r="H3" t="s">
        <v>164</v>
      </c>
      <c r="I3">
        <v>15622</v>
      </c>
      <c r="J3">
        <v>11.245637297999998</v>
      </c>
      <c r="K3" t="s">
        <v>165</v>
      </c>
      <c r="L3">
        <v>81748</v>
      </c>
      <c r="M3">
        <v>10.116315</v>
      </c>
      <c r="N3" t="s">
        <v>164</v>
      </c>
      <c r="O3">
        <v>17227</v>
      </c>
      <c r="P3">
        <v>12.401010992999998</v>
      </c>
      <c r="Z3">
        <v>114597</v>
      </c>
    </row>
    <row r="4" spans="1:26" x14ac:dyDescent="0.25">
      <c r="A4">
        <v>2</v>
      </c>
      <c r="B4" t="s">
        <v>335</v>
      </c>
      <c r="C4">
        <v>1</v>
      </c>
      <c r="D4">
        <v>157.82254565186616</v>
      </c>
      <c r="E4">
        <v>157.82254565186616</v>
      </c>
      <c r="F4">
        <v>0</v>
      </c>
      <c r="G4">
        <v>127158</v>
      </c>
      <c r="H4" t="s">
        <v>164</v>
      </c>
      <c r="I4">
        <v>15622</v>
      </c>
      <c r="J4">
        <v>11.245637297999998</v>
      </c>
      <c r="K4" t="s">
        <v>166</v>
      </c>
      <c r="L4">
        <v>85000</v>
      </c>
      <c r="M4">
        <v>4.3860000000000001</v>
      </c>
      <c r="N4" t="s">
        <v>165</v>
      </c>
      <c r="O4">
        <v>9309</v>
      </c>
      <c r="P4">
        <v>1.1519887499999997</v>
      </c>
      <c r="Q4" t="s">
        <v>164</v>
      </c>
      <c r="R4">
        <v>17227</v>
      </c>
      <c r="S4">
        <v>12.401010992999998</v>
      </c>
      <c r="Z4">
        <v>127158</v>
      </c>
    </row>
    <row r="5" spans="1:26" x14ac:dyDescent="0.25">
      <c r="A5">
        <v>3</v>
      </c>
      <c r="B5" t="s">
        <v>335</v>
      </c>
      <c r="C5">
        <v>1</v>
      </c>
      <c r="D5">
        <v>87.740000000000009</v>
      </c>
      <c r="E5">
        <v>87.740000000000009</v>
      </c>
      <c r="F5">
        <v>0</v>
      </c>
      <c r="G5">
        <v>90308</v>
      </c>
      <c r="H5" t="s">
        <v>165</v>
      </c>
      <c r="I5">
        <v>90308</v>
      </c>
      <c r="J5">
        <v>11.175614999999999</v>
      </c>
      <c r="Z5">
        <v>866379</v>
      </c>
    </row>
    <row r="6" spans="1:26" x14ac:dyDescent="0.25">
      <c r="A6">
        <v>4</v>
      </c>
      <c r="B6" t="s">
        <v>336</v>
      </c>
      <c r="C6">
        <v>2</v>
      </c>
      <c r="D6">
        <v>669.82</v>
      </c>
      <c r="E6">
        <v>669.82</v>
      </c>
      <c r="F6">
        <v>0</v>
      </c>
      <c r="G6">
        <v>866379</v>
      </c>
      <c r="H6" t="s">
        <v>164</v>
      </c>
      <c r="I6">
        <v>22149</v>
      </c>
      <c r="J6">
        <v>15.944156990999998</v>
      </c>
      <c r="K6" t="s">
        <v>165</v>
      </c>
      <c r="L6">
        <v>722250</v>
      </c>
      <c r="M6">
        <v>89.37843749999999</v>
      </c>
      <c r="N6" t="s">
        <v>164</v>
      </c>
      <c r="O6">
        <v>121980</v>
      </c>
      <c r="P6">
        <v>87.808400819999989</v>
      </c>
      <c r="Z6">
        <v>822249</v>
      </c>
    </row>
    <row r="7" spans="1:26" x14ac:dyDescent="0.25">
      <c r="A7">
        <v>5</v>
      </c>
      <c r="B7" t="s">
        <v>336</v>
      </c>
      <c r="C7">
        <v>2</v>
      </c>
      <c r="D7">
        <v>735.05718084181308</v>
      </c>
      <c r="E7">
        <v>735.05718084181308</v>
      </c>
      <c r="F7">
        <v>0</v>
      </c>
      <c r="G7">
        <v>822249</v>
      </c>
      <c r="H7" t="s">
        <v>164</v>
      </c>
      <c r="I7">
        <v>22149</v>
      </c>
      <c r="J7">
        <v>15.944156990999998</v>
      </c>
      <c r="K7" t="s">
        <v>165</v>
      </c>
      <c r="L7">
        <v>17120</v>
      </c>
      <c r="M7">
        <v>2.1185999999999998</v>
      </c>
      <c r="N7" t="s">
        <v>166</v>
      </c>
      <c r="O7">
        <v>661000</v>
      </c>
      <c r="P7">
        <v>34.107599999999998</v>
      </c>
      <c r="Q7" t="s">
        <v>164</v>
      </c>
      <c r="R7">
        <v>121980</v>
      </c>
      <c r="S7">
        <v>87.808400819999989</v>
      </c>
    </row>
    <row r="8" spans="1:26" x14ac:dyDescent="0.25">
      <c r="A8">
        <v>6</v>
      </c>
      <c r="B8" t="s">
        <v>336</v>
      </c>
      <c r="C8">
        <v>2</v>
      </c>
      <c r="D8">
        <v>628.09</v>
      </c>
      <c r="E8">
        <v>628.09</v>
      </c>
      <c r="F8">
        <v>0</v>
      </c>
      <c r="G8">
        <v>851720</v>
      </c>
      <c r="H8" t="s">
        <v>165</v>
      </c>
      <c r="I8">
        <v>851720</v>
      </c>
      <c r="J8">
        <v>105.40034999999999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7A3EE-BB7D-4822-A01A-D2C471B99D50}">
  <dimension ref="A1:Z8"/>
  <sheetViews>
    <sheetView workbookViewId="0"/>
  </sheetViews>
  <sheetFormatPr baseColWidth="10" defaultColWidth="10.625" defaultRowHeight="15" x14ac:dyDescent="0.25"/>
  <cols>
    <col min="1" max="1" width="4.75" style="33" bestFit="1" customWidth="1"/>
    <col min="2" max="2" width="10.75" style="33" bestFit="1" customWidth="1"/>
    <col min="3" max="3" width="14.375" style="33" bestFit="1" customWidth="1"/>
    <col min="4" max="5" width="10.75" style="33" bestFit="1" customWidth="1"/>
    <col min="6" max="6" width="8.125" style="33" bestFit="1" customWidth="1"/>
    <col min="7" max="7" width="7.875" style="33" bestFit="1" customWidth="1"/>
    <col min="8" max="8" width="11.875" style="33" bestFit="1" customWidth="1"/>
    <col min="9" max="9" width="12.25" style="33" bestFit="1" customWidth="1"/>
    <col min="10" max="10" width="11.625" style="33" bestFit="1" customWidth="1"/>
    <col min="11" max="11" width="7.875" style="33" bestFit="1" customWidth="1"/>
    <col min="12" max="12" width="12.25" style="33" bestFit="1" customWidth="1"/>
    <col min="13" max="13" width="11.625" style="33" bestFit="1" customWidth="1"/>
    <col min="14" max="14" width="11.875" style="33" bestFit="1" customWidth="1"/>
    <col min="15" max="15" width="12.25" style="33" bestFit="1" customWidth="1"/>
    <col min="16" max="16" width="11.625" style="33" bestFit="1" customWidth="1"/>
    <col min="17" max="17" width="11.875" style="33" bestFit="1" customWidth="1"/>
    <col min="18" max="18" width="12.25" style="33" bestFit="1" customWidth="1"/>
    <col min="19" max="19" width="11.625" style="33" bestFit="1" customWidth="1"/>
    <col min="20" max="20" width="7.875" style="33" bestFit="1" customWidth="1"/>
    <col min="21" max="21" width="12.25" style="33" bestFit="1" customWidth="1"/>
    <col min="22" max="22" width="11.625" style="33" bestFit="1" customWidth="1"/>
    <col min="23" max="23" width="7.875" style="33" bestFit="1" customWidth="1"/>
    <col min="24" max="24" width="12.25" style="33" bestFit="1" customWidth="1"/>
    <col min="25" max="25" width="11.625" style="33" bestFit="1" customWidth="1"/>
    <col min="26" max="26" width="7.875" style="33" bestFit="1" customWidth="1"/>
    <col min="27" max="16384" width="10.625" style="33"/>
  </cols>
  <sheetData>
    <row r="1" spans="1:26" x14ac:dyDescent="0.25">
      <c r="B1" s="33" t="s">
        <v>174</v>
      </c>
      <c r="C1" s="33" t="s">
        <v>174</v>
      </c>
      <c r="D1" s="33" t="s">
        <v>148</v>
      </c>
      <c r="E1" s="33" t="s">
        <v>148</v>
      </c>
      <c r="F1" s="33" t="s">
        <v>148</v>
      </c>
      <c r="G1" s="33" t="s">
        <v>148</v>
      </c>
      <c r="H1" s="33" t="s">
        <v>148</v>
      </c>
      <c r="I1" s="33" t="s">
        <v>148</v>
      </c>
      <c r="J1" s="33" t="s">
        <v>148</v>
      </c>
      <c r="K1" s="33" t="s">
        <v>148</v>
      </c>
      <c r="L1" s="33" t="s">
        <v>148</v>
      </c>
      <c r="M1" s="33" t="s">
        <v>148</v>
      </c>
      <c r="N1" s="33" t="s">
        <v>148</v>
      </c>
      <c r="O1" s="33" t="s">
        <v>148</v>
      </c>
      <c r="P1" s="33" t="s">
        <v>148</v>
      </c>
      <c r="Q1" s="33" t="s">
        <v>148</v>
      </c>
      <c r="R1" s="33" t="s">
        <v>148</v>
      </c>
      <c r="S1" s="33" t="s">
        <v>148</v>
      </c>
      <c r="T1" s="33" t="s">
        <v>148</v>
      </c>
      <c r="U1" s="33" t="s">
        <v>148</v>
      </c>
      <c r="V1" s="33" t="s">
        <v>148</v>
      </c>
      <c r="W1" s="33" t="s">
        <v>148</v>
      </c>
      <c r="X1" s="33" t="s">
        <v>148</v>
      </c>
      <c r="Y1" s="33" t="s">
        <v>148</v>
      </c>
      <c r="Z1" s="33" t="s">
        <v>148</v>
      </c>
    </row>
    <row r="2" spans="1:26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25">
      <c r="A3" s="33">
        <v>1</v>
      </c>
      <c r="B3" s="33" t="s">
        <v>335</v>
      </c>
      <c r="C3" s="33">
        <v>1</v>
      </c>
      <c r="D3" s="33">
        <v>146.59</v>
      </c>
      <c r="E3" s="33">
        <v>146.59</v>
      </c>
      <c r="F3" s="33">
        <v>0</v>
      </c>
      <c r="G3" s="33">
        <v>114597</v>
      </c>
      <c r="H3" s="33" t="s">
        <v>164</v>
      </c>
      <c r="I3" s="33">
        <v>15622</v>
      </c>
      <c r="J3" s="33">
        <v>10.8385436</v>
      </c>
      <c r="K3" s="33" t="s">
        <v>165</v>
      </c>
      <c r="L3" s="33">
        <v>81748</v>
      </c>
      <c r="M3" s="33">
        <v>10.055003999999998</v>
      </c>
      <c r="N3" s="33" t="s">
        <v>164</v>
      </c>
      <c r="O3" s="33">
        <v>17227</v>
      </c>
      <c r="P3" s="33">
        <v>11.9520926</v>
      </c>
      <c r="Z3" s="33">
        <v>114597</v>
      </c>
    </row>
    <row r="4" spans="1:26" x14ac:dyDescent="0.25">
      <c r="A4" s="33">
        <v>2</v>
      </c>
      <c r="B4" s="33" t="s">
        <v>335</v>
      </c>
      <c r="C4" s="33">
        <v>1</v>
      </c>
      <c r="D4" s="33">
        <v>157.82254565186616</v>
      </c>
      <c r="E4" s="33">
        <v>157.82254565186616</v>
      </c>
      <c r="F4" s="33">
        <v>0</v>
      </c>
      <c r="G4" s="33">
        <v>127158</v>
      </c>
      <c r="H4" s="33" t="s">
        <v>164</v>
      </c>
      <c r="I4" s="33">
        <v>15622</v>
      </c>
      <c r="J4" s="33">
        <v>10.8385436</v>
      </c>
      <c r="K4" s="33" t="s">
        <v>166</v>
      </c>
      <c r="L4" s="33">
        <v>85000</v>
      </c>
      <c r="M4" s="33">
        <v>4.3860000000000001</v>
      </c>
      <c r="N4" s="33" t="s">
        <v>165</v>
      </c>
      <c r="O4" s="33">
        <v>9309</v>
      </c>
      <c r="P4" s="33">
        <v>1.1450069999999997</v>
      </c>
      <c r="Q4" s="33" t="s">
        <v>164</v>
      </c>
      <c r="R4" s="33">
        <v>17227</v>
      </c>
      <c r="S4" s="33">
        <v>11.9520926</v>
      </c>
      <c r="Z4" s="33">
        <v>127158</v>
      </c>
    </row>
    <row r="5" spans="1:26" x14ac:dyDescent="0.25">
      <c r="A5" s="33">
        <v>3</v>
      </c>
      <c r="B5" s="33" t="s">
        <v>335</v>
      </c>
      <c r="C5" s="33">
        <v>1</v>
      </c>
      <c r="D5" s="33">
        <v>87.740000000000009</v>
      </c>
      <c r="E5" s="33">
        <v>87.740000000000009</v>
      </c>
      <c r="F5" s="33">
        <v>0</v>
      </c>
      <c r="G5" s="33">
        <v>90308</v>
      </c>
      <c r="H5" s="33" t="s">
        <v>165</v>
      </c>
      <c r="I5" s="33">
        <v>90308</v>
      </c>
      <c r="J5" s="33">
        <v>11.107884</v>
      </c>
      <c r="Z5" s="33">
        <v>866379</v>
      </c>
    </row>
    <row r="6" spans="1:26" x14ac:dyDescent="0.25">
      <c r="A6" s="33">
        <v>4</v>
      </c>
      <c r="B6" s="33" t="s">
        <v>336</v>
      </c>
      <c r="C6" s="33">
        <v>2</v>
      </c>
      <c r="D6" s="33">
        <v>669.82</v>
      </c>
      <c r="E6" s="33">
        <v>669.82</v>
      </c>
      <c r="F6" s="33">
        <v>0</v>
      </c>
      <c r="G6" s="33">
        <v>866379</v>
      </c>
      <c r="H6" s="33" t="s">
        <v>164</v>
      </c>
      <c r="I6" s="33">
        <v>22149</v>
      </c>
      <c r="J6" s="33">
        <v>15.3669762</v>
      </c>
      <c r="K6" s="33" t="s">
        <v>165</v>
      </c>
      <c r="L6" s="33">
        <v>722250</v>
      </c>
      <c r="M6" s="33">
        <v>88.836749999999995</v>
      </c>
      <c r="N6" s="33" t="s">
        <v>164</v>
      </c>
      <c r="O6" s="33">
        <v>121980</v>
      </c>
      <c r="P6" s="33">
        <v>84.629723999999996</v>
      </c>
      <c r="Z6" s="33">
        <v>822249</v>
      </c>
    </row>
    <row r="7" spans="1:26" x14ac:dyDescent="0.25">
      <c r="A7" s="33">
        <v>5</v>
      </c>
      <c r="B7" s="33" t="s">
        <v>336</v>
      </c>
      <c r="C7" s="33">
        <v>2</v>
      </c>
      <c r="D7" s="33">
        <v>735.05718084181308</v>
      </c>
      <c r="E7" s="33">
        <v>735.05718084181308</v>
      </c>
      <c r="F7" s="33">
        <v>0</v>
      </c>
      <c r="G7" s="33">
        <v>822249</v>
      </c>
      <c r="H7" s="33" t="s">
        <v>164</v>
      </c>
      <c r="I7" s="33">
        <v>22149</v>
      </c>
      <c r="J7" s="33">
        <v>15.3669762</v>
      </c>
      <c r="K7" s="33" t="s">
        <v>165</v>
      </c>
      <c r="L7" s="33">
        <v>17120</v>
      </c>
      <c r="M7" s="33">
        <v>2.1057600000000001</v>
      </c>
      <c r="N7" s="33" t="s">
        <v>166</v>
      </c>
      <c r="O7" s="33">
        <v>661000</v>
      </c>
      <c r="P7" s="33">
        <v>34.107599999999998</v>
      </c>
      <c r="Q7" s="33" t="s">
        <v>164</v>
      </c>
      <c r="R7" s="33">
        <v>121980</v>
      </c>
      <c r="S7" s="33">
        <v>84.629723999999996</v>
      </c>
    </row>
    <row r="8" spans="1:26" x14ac:dyDescent="0.25">
      <c r="A8" s="33">
        <v>6</v>
      </c>
      <c r="B8" s="33" t="s">
        <v>336</v>
      </c>
      <c r="C8" s="33">
        <v>2</v>
      </c>
      <c r="D8" s="33">
        <v>628.09</v>
      </c>
      <c r="E8" s="33">
        <v>628.09</v>
      </c>
      <c r="F8" s="33">
        <v>0</v>
      </c>
      <c r="G8" s="33">
        <v>851720</v>
      </c>
      <c r="H8" s="33" t="s">
        <v>165</v>
      </c>
      <c r="I8" s="33">
        <v>851720</v>
      </c>
      <c r="J8" s="33">
        <v>104.76155999999999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309E-542F-474D-904D-1794C13D9E65}">
  <dimension ref="A1:Y7"/>
  <sheetViews>
    <sheetView topLeftCell="C1" workbookViewId="0">
      <selection activeCell="L6" sqref="L6"/>
    </sheetView>
  </sheetViews>
  <sheetFormatPr baseColWidth="10" defaultColWidth="10.625" defaultRowHeight="15" x14ac:dyDescent="0.25"/>
  <cols>
    <col min="1" max="1" width="4.75" style="33" bestFit="1" customWidth="1"/>
    <col min="2" max="2" width="10.75" style="33" bestFit="1" customWidth="1"/>
    <col min="3" max="3" width="14.375" style="33" bestFit="1" customWidth="1"/>
    <col min="4" max="4" width="9.625" style="33" bestFit="1" customWidth="1"/>
    <col min="5" max="5" width="7.25" style="33" bestFit="1" customWidth="1"/>
    <col min="6" max="6" width="8.125" style="33" bestFit="1" customWidth="1"/>
    <col min="7" max="7" width="6.25" style="33" bestFit="1" customWidth="1"/>
    <col min="8" max="8" width="24.25" style="33" bestFit="1" customWidth="1"/>
    <col min="9" max="9" width="12.25" style="33" bestFit="1" customWidth="1"/>
    <col min="10" max="10" width="11.625" style="33" bestFit="1" customWidth="1"/>
    <col min="11" max="11" width="24.25" style="33" bestFit="1" customWidth="1"/>
    <col min="12" max="12" width="12.25" style="33" bestFit="1" customWidth="1"/>
    <col min="13" max="13" width="11.625" style="33" bestFit="1" customWidth="1"/>
    <col min="14" max="14" width="22.75" style="33" bestFit="1" customWidth="1"/>
    <col min="15" max="15" width="12.25" style="33" bestFit="1" customWidth="1"/>
    <col min="16" max="16" width="11.625" style="33" bestFit="1" customWidth="1"/>
    <col min="17" max="17" width="24.5" style="33" bestFit="1" customWidth="1"/>
    <col min="18" max="18" width="12.25" style="33" bestFit="1" customWidth="1"/>
    <col min="19" max="19" width="11.625" style="33" bestFit="1" customWidth="1"/>
    <col min="20" max="20" width="19.5" style="33" bestFit="1" customWidth="1"/>
    <col min="21" max="21" width="12.25" style="33" bestFit="1" customWidth="1"/>
    <col min="22" max="22" width="11.625" style="33" bestFit="1" customWidth="1"/>
    <col min="23" max="23" width="6.875" style="33" bestFit="1" customWidth="1"/>
    <col min="24" max="24" width="12.25" style="33" bestFit="1" customWidth="1"/>
    <col min="25" max="25" width="11.625" style="33" bestFit="1" customWidth="1"/>
    <col min="26" max="26" width="6.25" style="33" bestFit="1" customWidth="1"/>
    <col min="27" max="16384" width="10.625" style="33"/>
  </cols>
  <sheetData>
    <row r="1" spans="1:25" x14ac:dyDescent="0.25">
      <c r="B1" s="33" t="s">
        <v>174</v>
      </c>
      <c r="C1" s="33" t="s">
        <v>174</v>
      </c>
      <c r="D1" s="33" t="s">
        <v>68</v>
      </c>
      <c r="E1" s="33" t="s">
        <v>68</v>
      </c>
      <c r="F1" s="33" t="s">
        <v>68</v>
      </c>
      <c r="G1" s="33" t="s">
        <v>68</v>
      </c>
      <c r="H1" s="33" t="s">
        <v>68</v>
      </c>
      <c r="I1" s="33" t="s">
        <v>68</v>
      </c>
      <c r="J1" s="33" t="s">
        <v>68</v>
      </c>
      <c r="K1" s="33" t="s">
        <v>68</v>
      </c>
      <c r="L1" s="33" t="s">
        <v>68</v>
      </c>
      <c r="M1" s="33" t="s">
        <v>68</v>
      </c>
      <c r="N1" s="33" t="s">
        <v>68</v>
      </c>
      <c r="O1" s="33" t="s">
        <v>68</v>
      </c>
      <c r="P1" s="33" t="s">
        <v>68</v>
      </c>
      <c r="Q1" s="33" t="s">
        <v>68</v>
      </c>
      <c r="R1" s="33" t="s">
        <v>68</v>
      </c>
      <c r="S1" s="33" t="s">
        <v>68</v>
      </c>
      <c r="T1" s="33" t="s">
        <v>68</v>
      </c>
      <c r="U1" s="33" t="s">
        <v>68</v>
      </c>
      <c r="V1" s="33" t="s">
        <v>68</v>
      </c>
      <c r="W1" s="33" t="s">
        <v>68</v>
      </c>
      <c r="X1" s="33" t="s">
        <v>68</v>
      </c>
      <c r="Y1" s="33" t="s">
        <v>68</v>
      </c>
    </row>
    <row r="2" spans="1:25" x14ac:dyDescent="0.25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122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</row>
    <row r="3" spans="1:25" x14ac:dyDescent="0.25">
      <c r="A3" s="33">
        <v>10</v>
      </c>
      <c r="B3" s="33" t="s">
        <v>335</v>
      </c>
      <c r="C3" s="33">
        <v>1</v>
      </c>
      <c r="D3" s="92">
        <v>119.55714285714285</v>
      </c>
      <c r="E3" s="92">
        <v>119.55714285714285</v>
      </c>
      <c r="F3" s="33">
        <v>0</v>
      </c>
      <c r="G3" s="33">
        <v>108080</v>
      </c>
      <c r="H3" s="124" t="s">
        <v>437</v>
      </c>
      <c r="I3" s="122">
        <v>3300</v>
      </c>
      <c r="J3" s="122"/>
      <c r="K3" s="122" t="s">
        <v>424</v>
      </c>
      <c r="L3" s="122">
        <v>18780</v>
      </c>
      <c r="M3" s="122"/>
      <c r="N3" s="122" t="s">
        <v>427</v>
      </c>
      <c r="O3" s="122">
        <v>82000</v>
      </c>
      <c r="P3" s="122"/>
      <c r="Q3" s="124" t="s">
        <v>438</v>
      </c>
      <c r="R3" s="122">
        <v>4000</v>
      </c>
      <c r="S3" s="122"/>
      <c r="T3" s="122"/>
    </row>
    <row r="4" spans="1:25" x14ac:dyDescent="0.25">
      <c r="A4" s="33">
        <v>11</v>
      </c>
      <c r="B4" s="122" t="s">
        <v>335</v>
      </c>
      <c r="C4" s="33">
        <v>1</v>
      </c>
      <c r="D4" s="33">
        <v>79.25</v>
      </c>
      <c r="E4" s="33">
        <v>79.25</v>
      </c>
      <c r="F4" s="33">
        <v>0</v>
      </c>
      <c r="G4" s="33">
        <v>90300</v>
      </c>
      <c r="H4" s="124" t="s">
        <v>438</v>
      </c>
      <c r="I4" s="122">
        <v>700</v>
      </c>
      <c r="J4" s="122"/>
      <c r="K4" s="122" t="s">
        <v>427</v>
      </c>
      <c r="L4" s="122">
        <v>87000</v>
      </c>
      <c r="M4" s="122"/>
      <c r="N4" s="124" t="s">
        <v>438</v>
      </c>
      <c r="O4" s="122">
        <v>2600</v>
      </c>
      <c r="P4" s="122"/>
      <c r="Q4" s="122"/>
      <c r="R4" s="122"/>
      <c r="S4" s="122"/>
    </row>
    <row r="5" spans="1:25" x14ac:dyDescent="0.25">
      <c r="A5" s="33">
        <v>12</v>
      </c>
      <c r="B5" s="122" t="s">
        <v>336</v>
      </c>
      <c r="C5" s="33">
        <v>2</v>
      </c>
      <c r="D5" s="33">
        <v>632</v>
      </c>
      <c r="E5" s="33">
        <v>632</v>
      </c>
      <c r="F5" s="33">
        <v>0</v>
      </c>
      <c r="G5" s="33">
        <v>792640</v>
      </c>
      <c r="H5" s="122" t="s">
        <v>424</v>
      </c>
      <c r="I5" s="122">
        <v>11110</v>
      </c>
      <c r="J5" s="122"/>
      <c r="K5" s="124" t="s">
        <v>437</v>
      </c>
      <c r="L5" s="122">
        <v>6400</v>
      </c>
      <c r="M5" s="122"/>
      <c r="N5" s="122" t="s">
        <v>427</v>
      </c>
      <c r="O5" s="122">
        <v>655000</v>
      </c>
      <c r="P5" s="122"/>
      <c r="Q5" s="122" t="s">
        <v>426</v>
      </c>
      <c r="R5" s="122">
        <v>117900</v>
      </c>
      <c r="S5" s="122"/>
      <c r="T5" s="124" t="s">
        <v>437</v>
      </c>
      <c r="U5" s="33">
        <v>2230</v>
      </c>
    </row>
    <row r="6" spans="1:25" x14ac:dyDescent="0.25">
      <c r="A6" s="33">
        <v>13</v>
      </c>
      <c r="B6" s="122" t="s">
        <v>336</v>
      </c>
      <c r="C6" s="33">
        <v>2</v>
      </c>
      <c r="D6" s="33">
        <v>569.99999999999636</v>
      </c>
      <c r="E6" s="33">
        <v>569.99999999999636</v>
      </c>
      <c r="F6" s="33">
        <v>0</v>
      </c>
      <c r="G6" s="33">
        <v>667930</v>
      </c>
      <c r="H6" s="122" t="s">
        <v>425</v>
      </c>
      <c r="I6" s="122">
        <v>4700</v>
      </c>
      <c r="J6" s="122"/>
      <c r="K6" s="122" t="s">
        <v>427</v>
      </c>
      <c r="L6" s="122">
        <v>661000</v>
      </c>
      <c r="M6" s="122"/>
      <c r="N6" s="124" t="s">
        <v>438</v>
      </c>
      <c r="O6" s="122">
        <v>2230</v>
      </c>
      <c r="P6" s="122"/>
      <c r="Q6" s="122"/>
      <c r="R6" s="122"/>
      <c r="S6" s="122"/>
    </row>
    <row r="7" spans="1:25" x14ac:dyDescent="0.25">
      <c r="H7" s="122"/>
      <c r="I7" s="122"/>
      <c r="J7" s="122"/>
      <c r="L7" s="122"/>
      <c r="M7" s="122"/>
      <c r="N7" s="124"/>
      <c r="O7" s="122"/>
      <c r="P7" s="122"/>
      <c r="Q7" s="122"/>
      <c r="R7" s="122"/>
      <c r="S7" s="122"/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9CB0-A041-4C25-8E8B-07E211971D7A}">
  <dimension ref="A1:F7"/>
  <sheetViews>
    <sheetView workbookViewId="0"/>
  </sheetViews>
  <sheetFormatPr baseColWidth="10" defaultRowHeight="15.75" x14ac:dyDescent="0.25"/>
  <cols>
    <col min="1" max="1" width="21.75" bestFit="1" customWidth="1"/>
    <col min="2" max="2" width="18.75" bestFit="1" customWidth="1"/>
    <col min="3" max="3" width="23.25" bestFit="1" customWidth="1"/>
    <col min="4" max="4" width="19.25" bestFit="1" customWidth="1"/>
    <col min="5" max="5" width="19.5" bestFit="1" customWidth="1"/>
    <col min="6" max="6" width="14.5" bestFit="1" customWidth="1"/>
  </cols>
  <sheetData>
    <row r="1" spans="1:6" x14ac:dyDescent="0.25">
      <c r="A1" s="114" t="s">
        <v>405</v>
      </c>
      <c r="B1" t="s">
        <v>407</v>
      </c>
      <c r="C1" t="s">
        <v>408</v>
      </c>
      <c r="D1" t="s">
        <v>409</v>
      </c>
      <c r="E1" t="s">
        <v>410</v>
      </c>
      <c r="F1" t="s">
        <v>411</v>
      </c>
    </row>
    <row r="2" spans="1:6" x14ac:dyDescent="0.25">
      <c r="A2" s="66" t="s">
        <v>336</v>
      </c>
      <c r="B2" s="116">
        <v>2909.8193999999999</v>
      </c>
      <c r="C2" s="116">
        <v>1853.1023955000001</v>
      </c>
      <c r="D2" s="116">
        <v>1548.9131098050002</v>
      </c>
      <c r="E2" s="116">
        <v>1495.8587369654269</v>
      </c>
      <c r="F2" s="116">
        <v>1251.0616364318962</v>
      </c>
    </row>
    <row r="3" spans="1:6" x14ac:dyDescent="0.25">
      <c r="A3" s="115" t="s">
        <v>440</v>
      </c>
      <c r="B3" s="116">
        <v>1114.3999999999999</v>
      </c>
      <c r="C3" s="116">
        <v>704.85799999999995</v>
      </c>
      <c r="D3" s="116">
        <v>557.45074</v>
      </c>
      <c r="E3" s="116">
        <v>543.51447150000001</v>
      </c>
      <c r="F3" s="116">
        <v>434.66763648582696</v>
      </c>
    </row>
    <row r="4" spans="1:6" x14ac:dyDescent="0.25">
      <c r="A4" s="125" t="s">
        <v>31</v>
      </c>
      <c r="B4" s="116">
        <v>1114.3999999999999</v>
      </c>
      <c r="C4" s="116">
        <v>704.85799999999995</v>
      </c>
      <c r="D4" s="116">
        <v>557.45074</v>
      </c>
      <c r="E4" s="116">
        <v>543.51447150000001</v>
      </c>
      <c r="F4" s="116">
        <v>434.66763648582696</v>
      </c>
    </row>
    <row r="5" spans="1:6" x14ac:dyDescent="0.25">
      <c r="A5" s="115" t="s">
        <v>439</v>
      </c>
      <c r="B5" s="116">
        <v>1795.4194</v>
      </c>
      <c r="C5" s="116">
        <v>1148.2443955000001</v>
      </c>
      <c r="D5" s="116">
        <v>991.46236980500021</v>
      </c>
      <c r="E5" s="116">
        <v>952.34426546542704</v>
      </c>
      <c r="F5" s="116">
        <v>816.39399994606913</v>
      </c>
    </row>
    <row r="6" spans="1:6" x14ac:dyDescent="0.25">
      <c r="A6" s="125" t="s">
        <v>31</v>
      </c>
      <c r="B6" s="116">
        <v>1795.4194</v>
      </c>
      <c r="C6" s="116">
        <v>1148.2443955000001</v>
      </c>
      <c r="D6" s="116">
        <v>991.46236980500021</v>
      </c>
      <c r="E6" s="116">
        <v>952.34426546542704</v>
      </c>
      <c r="F6" s="116">
        <v>816.39399994606913</v>
      </c>
    </row>
    <row r="7" spans="1:6" x14ac:dyDescent="0.25">
      <c r="A7" s="66" t="s">
        <v>406</v>
      </c>
      <c r="B7" s="116">
        <v>2909.8193999999999</v>
      </c>
      <c r="C7" s="116">
        <v>1853.1023955000001</v>
      </c>
      <c r="D7" s="116">
        <v>1548.9131098050002</v>
      </c>
      <c r="E7" s="116">
        <v>1495.8587369654269</v>
      </c>
      <c r="F7" s="116">
        <v>1251.0616364318962</v>
      </c>
    </row>
  </sheetData>
  <pageMargins left="0.7" right="0.7" top="0.78740157499999996" bottom="0.78740157499999996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5F786-3F01-421D-9C55-F936702B2915}">
  <sheetPr filterMode="1"/>
  <dimension ref="A1:I45"/>
  <sheetViews>
    <sheetView workbookViewId="0">
      <selection activeCell="D50" sqref="D50"/>
    </sheetView>
  </sheetViews>
  <sheetFormatPr baseColWidth="10" defaultColWidth="10.625" defaultRowHeight="15.75" x14ac:dyDescent="0.25"/>
  <cols>
    <col min="1" max="1" width="10.75" bestFit="1" customWidth="1"/>
    <col min="2" max="2" width="12.875" bestFit="1" customWidth="1"/>
    <col min="3" max="3" width="15.5" bestFit="1" customWidth="1"/>
    <col min="4" max="4" width="11.875" bestFit="1" customWidth="1"/>
    <col min="5" max="5" width="12.75" bestFit="1" customWidth="1"/>
    <col min="6" max="8" width="11.875" bestFit="1" customWidth="1"/>
    <col min="9" max="9" width="44.125" bestFit="1" customWidth="1"/>
    <col min="10" max="10" width="8.875" bestFit="1" customWidth="1"/>
    <col min="11" max="11" width="8.25" bestFit="1" customWidth="1"/>
    <col min="12" max="12" width="15.5" bestFit="1" customWidth="1"/>
    <col min="13" max="13" width="10.875" bestFit="1" customWidth="1"/>
    <col min="14" max="14" width="8.875" bestFit="1" customWidth="1"/>
    <col min="15" max="15" width="10.125" bestFit="1" customWidth="1"/>
    <col min="16" max="22" width="12.75" bestFit="1" customWidth="1"/>
    <col min="23" max="23" width="15.5" bestFit="1" customWidth="1"/>
    <col min="24" max="26" width="12.75" bestFit="1" customWidth="1"/>
    <col min="27" max="28" width="11.875" bestFit="1" customWidth="1"/>
    <col min="29" max="29" width="9.125" bestFit="1" customWidth="1"/>
    <col min="30" max="30" width="8.875" bestFit="1" customWidth="1"/>
    <col min="31" max="33" width="11.875" bestFit="1" customWidth="1"/>
    <col min="34" max="34" width="15.5" bestFit="1" customWidth="1"/>
    <col min="35" max="36" width="11.875" bestFit="1" customWidth="1"/>
    <col min="37" max="37" width="10.125" bestFit="1" customWidth="1"/>
    <col min="38" max="39" width="11.875" bestFit="1" customWidth="1"/>
    <col min="40" max="40" width="9.125" bestFit="1" customWidth="1"/>
    <col min="41" max="41" width="9" bestFit="1" customWidth="1"/>
    <col min="42" max="44" width="11.875" bestFit="1" customWidth="1"/>
    <col min="45" max="45" width="15.5" bestFit="1" customWidth="1"/>
    <col min="46" max="47" width="11.875" bestFit="1" customWidth="1"/>
    <col min="48" max="48" width="10.125" bestFit="1" customWidth="1"/>
    <col min="49" max="50" width="11.875" bestFit="1" customWidth="1"/>
    <col min="51" max="51" width="9.125" bestFit="1" customWidth="1"/>
    <col min="52" max="52" width="6.875" bestFit="1" customWidth="1"/>
    <col min="53" max="55" width="11.875" bestFit="1" customWidth="1"/>
    <col min="56" max="56" width="15.5" bestFit="1" customWidth="1"/>
    <col min="57" max="58" width="11.875" bestFit="1" customWidth="1"/>
    <col min="59" max="59" width="10.125" bestFit="1" customWidth="1"/>
    <col min="60" max="61" width="11.875" bestFit="1" customWidth="1"/>
    <col min="62" max="62" width="9.125" bestFit="1" customWidth="1"/>
    <col min="63" max="63" width="6.875" bestFit="1" customWidth="1"/>
    <col min="64" max="66" width="11.875" bestFit="1" customWidth="1"/>
    <col min="67" max="67" width="15.5" bestFit="1" customWidth="1"/>
    <col min="68" max="69" width="11.875" bestFit="1" customWidth="1"/>
    <col min="70" max="70" width="10.125" bestFit="1" customWidth="1"/>
    <col min="71" max="72" width="11.875" bestFit="1" customWidth="1"/>
    <col min="73" max="73" width="15" bestFit="1" customWidth="1"/>
    <col min="74" max="75" width="11.875" bestFit="1" customWidth="1"/>
    <col min="76" max="76" width="9.875" bestFit="1" customWidth="1"/>
  </cols>
  <sheetData>
    <row r="1" spans="1:9" x14ac:dyDescent="0.25">
      <c r="A1" t="s">
        <v>402</v>
      </c>
      <c r="B1" t="s">
        <v>400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68</v>
      </c>
      <c r="I1" t="s">
        <v>457</v>
      </c>
    </row>
    <row r="2" spans="1:9" hidden="1" x14ac:dyDescent="0.25">
      <c r="A2" t="s">
        <v>335</v>
      </c>
      <c r="B2" t="s">
        <v>439</v>
      </c>
      <c r="C2" t="s">
        <v>33</v>
      </c>
      <c r="D2">
        <v>95.181000000000012</v>
      </c>
      <c r="H2">
        <v>0</v>
      </c>
      <c r="I2" t="s">
        <v>445</v>
      </c>
    </row>
    <row r="3" spans="1:9" hidden="1" x14ac:dyDescent="0.25">
      <c r="A3" t="s">
        <v>335</v>
      </c>
      <c r="B3" t="s">
        <v>439</v>
      </c>
      <c r="C3" t="s">
        <v>31</v>
      </c>
      <c r="D3">
        <v>348.68140000000005</v>
      </c>
      <c r="E3">
        <v>222.16661050000005</v>
      </c>
      <c r="F3">
        <v>193.51065295500004</v>
      </c>
      <c r="G3">
        <v>185.22877825399394</v>
      </c>
      <c r="H3">
        <v>134.31144280051123</v>
      </c>
      <c r="I3" t="s">
        <v>451</v>
      </c>
    </row>
    <row r="4" spans="1:9" hidden="1" x14ac:dyDescent="0.25">
      <c r="A4" t="s">
        <v>335</v>
      </c>
      <c r="B4" t="s">
        <v>439</v>
      </c>
      <c r="C4" t="s">
        <v>180</v>
      </c>
      <c r="D4">
        <v>154</v>
      </c>
      <c r="E4">
        <v>168.73437188243417</v>
      </c>
      <c r="F4">
        <v>152.20627282593307</v>
      </c>
      <c r="G4">
        <v>152.20627282593307</v>
      </c>
      <c r="H4">
        <v>119.55714285714285</v>
      </c>
      <c r="I4" t="s">
        <v>452</v>
      </c>
    </row>
    <row r="5" spans="1:9" hidden="1" x14ac:dyDescent="0.25">
      <c r="A5" t="s">
        <v>335</v>
      </c>
      <c r="B5" t="s">
        <v>439</v>
      </c>
      <c r="C5" t="s">
        <v>152</v>
      </c>
      <c r="D5">
        <v>33.014200000000002</v>
      </c>
      <c r="E5">
        <v>40.509901499999998</v>
      </c>
      <c r="F5">
        <v>31.473800165999997</v>
      </c>
      <c r="G5">
        <v>30.583641700000001</v>
      </c>
      <c r="H5">
        <v>27.780182417582417</v>
      </c>
      <c r="I5" t="s">
        <v>444</v>
      </c>
    </row>
    <row r="6" spans="1:9" hidden="1" x14ac:dyDescent="0.25">
      <c r="A6" t="s">
        <v>335</v>
      </c>
      <c r="B6" t="s">
        <v>439</v>
      </c>
      <c r="C6" t="s">
        <v>181</v>
      </c>
      <c r="D6">
        <v>115750</v>
      </c>
      <c r="E6">
        <v>126737.5</v>
      </c>
      <c r="F6">
        <v>120877.5</v>
      </c>
      <c r="G6">
        <v>120877.5</v>
      </c>
      <c r="H6">
        <v>108080</v>
      </c>
      <c r="I6" t="s">
        <v>453</v>
      </c>
    </row>
    <row r="7" spans="1:9" hidden="1" x14ac:dyDescent="0.25">
      <c r="A7" t="s">
        <v>335</v>
      </c>
      <c r="B7" t="s">
        <v>439</v>
      </c>
      <c r="C7" t="s">
        <v>150</v>
      </c>
      <c r="D7">
        <v>54.75385</v>
      </c>
      <c r="E7">
        <v>32.886968375000002</v>
      </c>
      <c r="F7">
        <v>28.529551878749999</v>
      </c>
      <c r="G7">
        <v>27.81764787928125</v>
      </c>
      <c r="H7">
        <v>1.5247807641490385</v>
      </c>
      <c r="I7" t="s">
        <v>454</v>
      </c>
    </row>
    <row r="8" spans="1:9" hidden="1" x14ac:dyDescent="0.25">
      <c r="A8" t="s">
        <v>335</v>
      </c>
      <c r="B8" t="s">
        <v>439</v>
      </c>
      <c r="C8" t="s">
        <v>30</v>
      </c>
      <c r="D8">
        <v>0.78415000000000001</v>
      </c>
      <c r="E8">
        <v>0.47006262500000001</v>
      </c>
      <c r="F8">
        <v>0.40804632125000001</v>
      </c>
      <c r="G8">
        <v>0.39786817696874999</v>
      </c>
      <c r="H8">
        <v>2.3979817701923083E-2</v>
      </c>
      <c r="I8" t="s">
        <v>454</v>
      </c>
    </row>
    <row r="9" spans="1:9" hidden="1" x14ac:dyDescent="0.25">
      <c r="A9" t="s">
        <v>335</v>
      </c>
      <c r="B9" t="s">
        <v>439</v>
      </c>
      <c r="C9" t="s">
        <v>29</v>
      </c>
      <c r="D9">
        <v>25571.4</v>
      </c>
      <c r="E9">
        <v>15885.318500000001</v>
      </c>
      <c r="F9">
        <v>13799.779102500002</v>
      </c>
      <c r="G9">
        <v>13460.699158687501</v>
      </c>
      <c r="H9">
        <v>3694.1530645348562</v>
      </c>
      <c r="I9" t="s">
        <v>455</v>
      </c>
    </row>
    <row r="10" spans="1:9" hidden="1" x14ac:dyDescent="0.25">
      <c r="A10" t="s">
        <v>335</v>
      </c>
      <c r="B10" t="s">
        <v>439</v>
      </c>
      <c r="C10" t="s">
        <v>178</v>
      </c>
      <c r="D10">
        <v>154</v>
      </c>
      <c r="E10">
        <v>168.73437188243417</v>
      </c>
      <c r="F10">
        <v>152.20627282593307</v>
      </c>
      <c r="G10">
        <v>152.20627282593307</v>
      </c>
      <c r="H10">
        <v>119.55714285714285</v>
      </c>
      <c r="I10" t="s">
        <v>452</v>
      </c>
    </row>
    <row r="11" spans="1:9" x14ac:dyDescent="0.25">
      <c r="A11" t="s">
        <v>335</v>
      </c>
      <c r="B11" t="s">
        <v>439</v>
      </c>
      <c r="C11" t="s">
        <v>32</v>
      </c>
      <c r="D11">
        <v>0.97758086621572526</v>
      </c>
      <c r="E11">
        <v>0.53148165110799139</v>
      </c>
      <c r="F11">
        <v>0.49866784780259482</v>
      </c>
      <c r="G11">
        <v>0.49866784780259482</v>
      </c>
      <c r="H11">
        <v>0.62441278682457457</v>
      </c>
      <c r="I11" t="s">
        <v>458</v>
      </c>
    </row>
    <row r="12" spans="1:9" hidden="1" x14ac:dyDescent="0.25">
      <c r="A12" t="s">
        <v>335</v>
      </c>
      <c r="B12" t="s">
        <v>439</v>
      </c>
      <c r="C12" t="s">
        <v>179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452</v>
      </c>
    </row>
    <row r="13" spans="1:9" hidden="1" x14ac:dyDescent="0.25">
      <c r="A13" t="s">
        <v>335</v>
      </c>
      <c r="B13" t="s">
        <v>440</v>
      </c>
      <c r="C13" t="s">
        <v>33</v>
      </c>
      <c r="D13">
        <v>84.4</v>
      </c>
      <c r="H13">
        <v>0</v>
      </c>
    </row>
    <row r="14" spans="1:9" hidden="1" x14ac:dyDescent="0.25">
      <c r="A14" t="s">
        <v>335</v>
      </c>
      <c r="B14" t="s">
        <v>440</v>
      </c>
      <c r="C14" t="s">
        <v>31</v>
      </c>
      <c r="D14">
        <v>118.16</v>
      </c>
      <c r="E14">
        <v>74.736199999999997</v>
      </c>
      <c r="F14">
        <v>59.106586</v>
      </c>
      <c r="G14">
        <v>57.628921350000006</v>
      </c>
      <c r="H14">
        <v>57.787347283269234</v>
      </c>
    </row>
    <row r="15" spans="1:9" hidden="1" x14ac:dyDescent="0.25">
      <c r="A15" t="s">
        <v>335</v>
      </c>
      <c r="B15" t="s">
        <v>440</v>
      </c>
      <c r="C15" t="s">
        <v>180</v>
      </c>
      <c r="D15">
        <v>82</v>
      </c>
      <c r="E15">
        <v>94.3</v>
      </c>
      <c r="F15">
        <v>87.740000000000009</v>
      </c>
      <c r="G15">
        <v>87.740000000000009</v>
      </c>
      <c r="H15">
        <v>79.25</v>
      </c>
    </row>
    <row r="16" spans="1:9" hidden="1" x14ac:dyDescent="0.25">
      <c r="A16" t="s">
        <v>335</v>
      </c>
      <c r="B16" t="s">
        <v>440</v>
      </c>
      <c r="C16" t="s">
        <v>152</v>
      </c>
      <c r="D16">
        <v>10.128</v>
      </c>
      <c r="E16">
        <v>14.55885</v>
      </c>
      <c r="F16">
        <v>11.175614999999999</v>
      </c>
      <c r="G16">
        <v>11.107884</v>
      </c>
      <c r="H16">
        <v>10.48956043956044</v>
      </c>
    </row>
    <row r="17" spans="1:8" hidden="1" x14ac:dyDescent="0.25">
      <c r="A17" t="s">
        <v>335</v>
      </c>
      <c r="B17" t="s">
        <v>440</v>
      </c>
      <c r="C17" t="s">
        <v>181</v>
      </c>
      <c r="D17">
        <v>84400</v>
      </c>
      <c r="E17">
        <v>97059.999999999985</v>
      </c>
      <c r="F17">
        <v>90308</v>
      </c>
      <c r="G17">
        <v>90308</v>
      </c>
      <c r="H17">
        <v>90300</v>
      </c>
    </row>
    <row r="18" spans="1:8" hidden="1" x14ac:dyDescent="0.25">
      <c r="A18" t="s">
        <v>335</v>
      </c>
      <c r="B18" t="s">
        <v>440</v>
      </c>
      <c r="C18" t="s">
        <v>150</v>
      </c>
      <c r="D18">
        <v>18.314800000000002</v>
      </c>
      <c r="E18">
        <v>11.584111</v>
      </c>
      <c r="F18">
        <v>9.1615208300000024</v>
      </c>
      <c r="G18">
        <v>8.9324828092500024</v>
      </c>
      <c r="H18">
        <v>0.4768436596759616</v>
      </c>
    </row>
    <row r="19" spans="1:8" hidden="1" x14ac:dyDescent="0.25">
      <c r="A19" t="s">
        <v>335</v>
      </c>
      <c r="B19" t="s">
        <v>440</v>
      </c>
      <c r="C19" t="s">
        <v>30</v>
      </c>
      <c r="D19">
        <v>0.25320000000000004</v>
      </c>
      <c r="E19">
        <v>0.16014900000000001</v>
      </c>
      <c r="F19">
        <v>0.12665697000000001</v>
      </c>
      <c r="G19">
        <v>0.12349054575000003</v>
      </c>
      <c r="H19">
        <v>7.7185870355769241E-3</v>
      </c>
    </row>
    <row r="20" spans="1:8" hidden="1" x14ac:dyDescent="0.25">
      <c r="A20" t="s">
        <v>335</v>
      </c>
      <c r="B20" t="s">
        <v>440</v>
      </c>
      <c r="C20" t="s">
        <v>29</v>
      </c>
      <c r="D20">
        <v>8693.2000000000007</v>
      </c>
      <c r="E20">
        <v>5498.4489999999996</v>
      </c>
      <c r="F20">
        <v>4348.5559700000003</v>
      </c>
      <c r="G20">
        <v>4239.8420707500009</v>
      </c>
      <c r="H20">
        <v>1530.5924830932695</v>
      </c>
    </row>
    <row r="21" spans="1:8" hidden="1" x14ac:dyDescent="0.25">
      <c r="A21" t="s">
        <v>335</v>
      </c>
      <c r="B21" t="s">
        <v>440</v>
      </c>
      <c r="C21" t="s">
        <v>178</v>
      </c>
      <c r="D21">
        <v>82</v>
      </c>
      <c r="E21">
        <v>94.3</v>
      </c>
      <c r="F21">
        <v>87.740000000000009</v>
      </c>
      <c r="G21">
        <v>87.740000000000009</v>
      </c>
      <c r="H21">
        <v>79.25</v>
      </c>
    </row>
    <row r="22" spans="1:8" x14ac:dyDescent="0.25">
      <c r="A22" t="s">
        <v>335</v>
      </c>
      <c r="B22" t="s">
        <v>440</v>
      </c>
      <c r="C22" t="s">
        <v>32</v>
      </c>
      <c r="D22">
        <v>0.3</v>
      </c>
      <c r="E22">
        <v>0.1323</v>
      </c>
      <c r="F22">
        <v>0.11907000000000001</v>
      </c>
      <c r="G22">
        <v>0.11907000000000001</v>
      </c>
      <c r="H22">
        <v>0.6175782724252491</v>
      </c>
    </row>
    <row r="23" spans="1:8" hidden="1" x14ac:dyDescent="0.25">
      <c r="A23" t="s">
        <v>335</v>
      </c>
      <c r="B23" t="s">
        <v>440</v>
      </c>
      <c r="C23" t="s">
        <v>179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hidden="1" x14ac:dyDescent="0.25">
      <c r="A24" t="s">
        <v>336</v>
      </c>
      <c r="B24" t="s">
        <v>439</v>
      </c>
      <c r="C24" t="s">
        <v>33</v>
      </c>
      <c r="D24">
        <v>720.45100000000002</v>
      </c>
      <c r="H24">
        <v>0</v>
      </c>
    </row>
    <row r="25" spans="1:8" hidden="1" x14ac:dyDescent="0.25">
      <c r="A25" t="s">
        <v>336</v>
      </c>
      <c r="B25" t="s">
        <v>439</v>
      </c>
      <c r="C25" t="s">
        <v>31</v>
      </c>
      <c r="D25">
        <v>1795.4194</v>
      </c>
      <c r="E25">
        <v>1148.2443955000001</v>
      </c>
      <c r="F25">
        <v>991.46236980500021</v>
      </c>
      <c r="G25">
        <v>952.34426546542704</v>
      </c>
      <c r="H25">
        <v>816.39399994606913</v>
      </c>
    </row>
    <row r="26" spans="1:8" hidden="1" x14ac:dyDescent="0.25">
      <c r="A26" t="s">
        <v>336</v>
      </c>
      <c r="B26" t="s">
        <v>439</v>
      </c>
      <c r="C26" t="s">
        <v>180</v>
      </c>
      <c r="D26">
        <v>724.49999999999989</v>
      </c>
      <c r="E26">
        <v>784.27175118811465</v>
      </c>
      <c r="F26">
        <v>702.43859042090662</v>
      </c>
      <c r="G26">
        <v>702.43859042090662</v>
      </c>
      <c r="H26">
        <v>632</v>
      </c>
    </row>
    <row r="27" spans="1:8" hidden="1" x14ac:dyDescent="0.25">
      <c r="A27" t="s">
        <v>336</v>
      </c>
      <c r="B27" t="s">
        <v>439</v>
      </c>
      <c r="C27" t="s">
        <v>152</v>
      </c>
      <c r="D27">
        <v>172.5522</v>
      </c>
      <c r="E27">
        <v>213.77691419999996</v>
      </c>
      <c r="F27">
        <v>166.55487656099999</v>
      </c>
      <c r="G27">
        <v>162.52175519999997</v>
      </c>
      <c r="H27">
        <v>147.60356691086693</v>
      </c>
    </row>
    <row r="28" spans="1:8" hidden="1" x14ac:dyDescent="0.25">
      <c r="A28" t="s">
        <v>336</v>
      </c>
      <c r="B28" t="s">
        <v>439</v>
      </c>
      <c r="C28" t="s">
        <v>181</v>
      </c>
      <c r="D28">
        <v>810700</v>
      </c>
      <c r="E28">
        <v>882730</v>
      </c>
      <c r="F28">
        <v>844314</v>
      </c>
      <c r="G28">
        <v>844314</v>
      </c>
      <c r="H28">
        <v>792640</v>
      </c>
    </row>
    <row r="29" spans="1:8" hidden="1" x14ac:dyDescent="0.25">
      <c r="A29" t="s">
        <v>336</v>
      </c>
      <c r="B29" t="s">
        <v>439</v>
      </c>
      <c r="C29" t="s">
        <v>150</v>
      </c>
      <c r="D29">
        <v>284.34999999999997</v>
      </c>
      <c r="E29">
        <v>166.28266444999997</v>
      </c>
      <c r="F29">
        <v>142.5961090525</v>
      </c>
      <c r="G29">
        <v>139.04158633968751</v>
      </c>
      <c r="H29">
        <v>6.2362989198581724</v>
      </c>
    </row>
    <row r="30" spans="1:8" hidden="1" x14ac:dyDescent="0.25">
      <c r="A30" t="s">
        <v>336</v>
      </c>
      <c r="B30" t="s">
        <v>439</v>
      </c>
      <c r="C30" t="s">
        <v>30</v>
      </c>
      <c r="D30">
        <v>4.0609999999999999</v>
      </c>
      <c r="E30">
        <v>2.3670766500000004</v>
      </c>
      <c r="F30">
        <v>2.0317898925</v>
      </c>
      <c r="G30">
        <v>1.9811741109375001</v>
      </c>
      <c r="H30">
        <v>0.10307667903365386</v>
      </c>
    </row>
    <row r="31" spans="1:8" hidden="1" x14ac:dyDescent="0.25">
      <c r="A31" t="s">
        <v>336</v>
      </c>
      <c r="B31" t="s">
        <v>439</v>
      </c>
      <c r="C31" t="s">
        <v>29</v>
      </c>
      <c r="D31">
        <v>131435.25</v>
      </c>
      <c r="E31">
        <v>80888.568425000005</v>
      </c>
      <c r="F31">
        <v>69532.179028750004</v>
      </c>
      <c r="G31">
        <v>67839.868750781257</v>
      </c>
      <c r="H31">
        <v>21471.009763734979</v>
      </c>
    </row>
    <row r="32" spans="1:8" hidden="1" x14ac:dyDescent="0.25">
      <c r="A32" t="s">
        <v>336</v>
      </c>
      <c r="B32" t="s">
        <v>439</v>
      </c>
      <c r="C32" t="s">
        <v>178</v>
      </c>
      <c r="D32">
        <v>724.49999999999989</v>
      </c>
      <c r="E32">
        <v>784.27175118811465</v>
      </c>
      <c r="F32">
        <v>702.43859042090662</v>
      </c>
      <c r="G32">
        <v>702.43859042090662</v>
      </c>
      <c r="H32">
        <v>632</v>
      </c>
    </row>
    <row r="33" spans="1:8" x14ac:dyDescent="0.25">
      <c r="A33" t="s">
        <v>336</v>
      </c>
      <c r="B33" t="s">
        <v>439</v>
      </c>
      <c r="C33" t="s">
        <v>32</v>
      </c>
      <c r="D33">
        <v>0.81927569302653769</v>
      </c>
      <c r="E33">
        <v>0.4809012023576657</v>
      </c>
      <c r="F33">
        <v>0.45727458668425197</v>
      </c>
      <c r="G33">
        <v>0.45727458668425197</v>
      </c>
      <c r="H33">
        <v>0.64253878608195392</v>
      </c>
    </row>
    <row r="34" spans="1:8" hidden="1" x14ac:dyDescent="0.25">
      <c r="A34" t="s">
        <v>336</v>
      </c>
      <c r="B34" t="s">
        <v>439</v>
      </c>
      <c r="C34" t="s">
        <v>179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hidden="1" x14ac:dyDescent="0.25">
      <c r="A35" t="s">
        <v>336</v>
      </c>
      <c r="B35" t="s">
        <v>440</v>
      </c>
      <c r="C35" t="s">
        <v>33</v>
      </c>
      <c r="D35">
        <v>796</v>
      </c>
      <c r="H35">
        <v>0</v>
      </c>
    </row>
    <row r="36" spans="1:8" hidden="1" x14ac:dyDescent="0.25">
      <c r="A36" t="s">
        <v>336</v>
      </c>
      <c r="B36" t="s">
        <v>440</v>
      </c>
      <c r="C36" t="s">
        <v>31</v>
      </c>
      <c r="D36">
        <v>1114.3999999999999</v>
      </c>
      <c r="E36">
        <v>704.85799999999995</v>
      </c>
      <c r="F36">
        <v>557.45074</v>
      </c>
      <c r="G36">
        <v>543.51447150000001</v>
      </c>
      <c r="H36">
        <v>434.66763648582696</v>
      </c>
    </row>
    <row r="37" spans="1:8" hidden="1" x14ac:dyDescent="0.25">
      <c r="A37" t="s">
        <v>336</v>
      </c>
      <c r="B37" t="s">
        <v>440</v>
      </c>
      <c r="C37" t="s">
        <v>180</v>
      </c>
      <c r="D37">
        <v>587</v>
      </c>
      <c r="E37">
        <v>675.05</v>
      </c>
      <c r="F37">
        <v>628.09</v>
      </c>
      <c r="G37">
        <v>628.09</v>
      </c>
      <c r="H37">
        <v>569.99999999999636</v>
      </c>
    </row>
    <row r="38" spans="1:8" hidden="1" x14ac:dyDescent="0.25">
      <c r="A38" t="s">
        <v>336</v>
      </c>
      <c r="B38" t="s">
        <v>440</v>
      </c>
      <c r="C38" t="s">
        <v>152</v>
      </c>
      <c r="D38">
        <v>95.52</v>
      </c>
      <c r="E38">
        <v>137.30984999999998</v>
      </c>
      <c r="F38">
        <v>105.40034999999999</v>
      </c>
      <c r="G38">
        <v>104.76155999999999</v>
      </c>
      <c r="H38">
        <v>78.399820512820511</v>
      </c>
    </row>
    <row r="39" spans="1:8" hidden="1" x14ac:dyDescent="0.25">
      <c r="A39" t="s">
        <v>336</v>
      </c>
      <c r="B39" t="s">
        <v>440</v>
      </c>
      <c r="C39" t="s">
        <v>181</v>
      </c>
      <c r="D39">
        <v>796000</v>
      </c>
      <c r="E39">
        <v>915399.99999999988</v>
      </c>
      <c r="F39">
        <v>851720</v>
      </c>
      <c r="G39">
        <v>851720</v>
      </c>
      <c r="H39">
        <v>667930</v>
      </c>
    </row>
    <row r="40" spans="1:8" hidden="1" x14ac:dyDescent="0.25">
      <c r="A40" t="s">
        <v>336</v>
      </c>
      <c r="B40" t="s">
        <v>440</v>
      </c>
      <c r="C40" t="s">
        <v>150</v>
      </c>
      <c r="D40">
        <v>172.732</v>
      </c>
      <c r="E40">
        <v>109.25299</v>
      </c>
      <c r="F40">
        <v>86.404864700000005</v>
      </c>
      <c r="G40">
        <v>84.244743082500008</v>
      </c>
      <c r="H40">
        <v>2.6168116283800962</v>
      </c>
    </row>
    <row r="41" spans="1:8" hidden="1" x14ac:dyDescent="0.25">
      <c r="A41" t="s">
        <v>336</v>
      </c>
      <c r="B41" t="s">
        <v>440</v>
      </c>
      <c r="C41" t="s">
        <v>30</v>
      </c>
      <c r="D41">
        <v>2.3879999999999999</v>
      </c>
      <c r="E41">
        <v>1.51041</v>
      </c>
      <c r="F41">
        <v>1.1945373000000001</v>
      </c>
      <c r="G41">
        <v>1.1646738675000001</v>
      </c>
      <c r="H41">
        <v>4.4777633541057696E-2</v>
      </c>
    </row>
    <row r="42" spans="1:8" hidden="1" x14ac:dyDescent="0.25">
      <c r="A42" t="s">
        <v>336</v>
      </c>
      <c r="B42" t="s">
        <v>440</v>
      </c>
      <c r="C42" t="s">
        <v>29</v>
      </c>
      <c r="D42">
        <v>81988</v>
      </c>
      <c r="E42">
        <v>51857.409999999996</v>
      </c>
      <c r="F42">
        <v>41012.447300000007</v>
      </c>
      <c r="G42">
        <v>39987.136117500006</v>
      </c>
      <c r="H42">
        <v>11257.94849420452</v>
      </c>
    </row>
    <row r="43" spans="1:8" hidden="1" x14ac:dyDescent="0.25">
      <c r="A43" t="s">
        <v>336</v>
      </c>
      <c r="B43" t="s">
        <v>440</v>
      </c>
      <c r="C43" t="s">
        <v>178</v>
      </c>
      <c r="D43">
        <v>587</v>
      </c>
      <c r="E43">
        <v>675.05</v>
      </c>
      <c r="F43">
        <v>628.09</v>
      </c>
      <c r="G43">
        <v>628.09</v>
      </c>
      <c r="H43">
        <v>569.99999999999636</v>
      </c>
    </row>
    <row r="44" spans="1:8" x14ac:dyDescent="0.25">
      <c r="A44" t="s">
        <v>336</v>
      </c>
      <c r="B44" t="s">
        <v>440</v>
      </c>
      <c r="C44" t="s">
        <v>32</v>
      </c>
      <c r="D44">
        <v>0.3</v>
      </c>
      <c r="E44">
        <v>0.1323</v>
      </c>
      <c r="F44">
        <v>0.11907000000000001</v>
      </c>
      <c r="G44">
        <v>0.11907000000000001</v>
      </c>
      <c r="H44">
        <v>0.63795159043612359</v>
      </c>
    </row>
    <row r="45" spans="1:8" hidden="1" x14ac:dyDescent="0.25">
      <c r="A45" t="s">
        <v>336</v>
      </c>
      <c r="B45" t="s">
        <v>440</v>
      </c>
      <c r="C45" t="s">
        <v>179</v>
      </c>
      <c r="D45">
        <v>0</v>
      </c>
      <c r="E45">
        <v>0</v>
      </c>
      <c r="F45">
        <v>0</v>
      </c>
      <c r="G45">
        <v>0</v>
      </c>
      <c r="H45">
        <v>0</v>
      </c>
    </row>
  </sheetData>
  <autoFilter ref="A1:I45" xr:uid="{1565094D-CBA0-431D-9C5D-3B1D5A05FE33}">
    <filterColumn colId="2">
      <filters>
        <filter val="Unfallrisiko"/>
      </filters>
    </filterColumn>
  </autoFilter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05B4-7255-4D0D-B84E-BD349E57391A}">
  <sheetPr codeName="Tabelle23"/>
  <dimension ref="A1:I3"/>
  <sheetViews>
    <sheetView workbookViewId="0">
      <selection activeCell="I15" sqref="I15"/>
    </sheetView>
  </sheetViews>
  <sheetFormatPr baseColWidth="10" defaultColWidth="10.75" defaultRowHeight="15.75" x14ac:dyDescent="0.25"/>
  <cols>
    <col min="1" max="1" width="14.375" bestFit="1" customWidth="1"/>
    <col min="2" max="2" width="10.75" bestFit="1" customWidth="1"/>
    <col min="3" max="3" width="11.625" bestFit="1" customWidth="1"/>
    <col min="4" max="4" width="9.125" bestFit="1" customWidth="1"/>
    <col min="5" max="5" width="11.75" bestFit="1" customWidth="1"/>
    <col min="6" max="6" width="9.25" bestFit="1" customWidth="1"/>
    <col min="7" max="7" width="6.875" bestFit="1" customWidth="1"/>
    <col min="8" max="8" width="21.5" bestFit="1" customWidth="1"/>
    <col min="9" max="9" width="19.25" bestFit="1" customWidth="1"/>
  </cols>
  <sheetData>
    <row r="1" spans="1:9" x14ac:dyDescent="0.25">
      <c r="A1" s="33" t="s">
        <v>177</v>
      </c>
      <c r="B1" s="33" t="s">
        <v>176</v>
      </c>
      <c r="C1" s="33" t="s">
        <v>205</v>
      </c>
      <c r="D1" s="33" t="s">
        <v>206</v>
      </c>
      <c r="E1" s="33" t="s">
        <v>207</v>
      </c>
      <c r="F1" s="33" t="s">
        <v>208</v>
      </c>
      <c r="G1" s="33" t="s">
        <v>209</v>
      </c>
      <c r="H1" s="33" t="s">
        <v>210</v>
      </c>
      <c r="I1" s="33" t="s">
        <v>211</v>
      </c>
    </row>
    <row r="2" spans="1:9" x14ac:dyDescent="0.25">
      <c r="A2">
        <v>1</v>
      </c>
      <c r="B2" t="s">
        <v>335</v>
      </c>
      <c r="C2">
        <v>50</v>
      </c>
      <c r="D2" t="s">
        <v>337</v>
      </c>
      <c r="E2">
        <v>2</v>
      </c>
      <c r="F2" t="s">
        <v>338</v>
      </c>
      <c r="G2">
        <v>73000</v>
      </c>
      <c r="H2" t="s">
        <v>339</v>
      </c>
      <c r="I2" t="s">
        <v>340</v>
      </c>
    </row>
    <row r="3" spans="1:9" x14ac:dyDescent="0.25">
      <c r="A3">
        <v>2</v>
      </c>
      <c r="B3" t="s">
        <v>336</v>
      </c>
      <c r="C3">
        <v>52</v>
      </c>
      <c r="D3" t="s">
        <v>341</v>
      </c>
      <c r="E3">
        <v>53</v>
      </c>
      <c r="F3" t="s">
        <v>342</v>
      </c>
      <c r="G3">
        <v>597000</v>
      </c>
      <c r="H3" t="s">
        <v>305</v>
      </c>
      <c r="I3" t="s">
        <v>343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D131-DD57-4700-9224-C670DCB2D148}">
  <sheetPr codeName="Tabelle11"/>
  <dimension ref="A1:E59"/>
  <sheetViews>
    <sheetView workbookViewId="0"/>
  </sheetViews>
  <sheetFormatPr baseColWidth="10" defaultColWidth="8.5" defaultRowHeight="15" x14ac:dyDescent="0.25"/>
  <cols>
    <col min="1" max="1" width="4.875" style="33" bestFit="1" customWidth="1"/>
    <col min="2" max="2" width="7.25" style="33" bestFit="1" customWidth="1"/>
    <col min="3" max="3" width="21.75" style="33" bestFit="1" customWidth="1"/>
    <col min="4" max="4" width="11.5" style="33" bestFit="1" customWidth="1"/>
    <col min="5" max="5" width="10.25" style="33" bestFit="1" customWidth="1"/>
    <col min="6" max="16384" width="8.5" style="33"/>
  </cols>
  <sheetData>
    <row r="1" spans="1:5" x14ac:dyDescent="0.25">
      <c r="A1" s="33" t="s">
        <v>344</v>
      </c>
      <c r="B1" s="33" t="s">
        <v>345</v>
      </c>
      <c r="C1" s="33" t="s">
        <v>346</v>
      </c>
      <c r="D1" s="33" t="s">
        <v>347</v>
      </c>
      <c r="E1" s="33" t="s">
        <v>348</v>
      </c>
    </row>
    <row r="2" spans="1:5" x14ac:dyDescent="0.25">
      <c r="A2" s="33">
        <v>0</v>
      </c>
      <c r="B2" s="33">
        <v>1</v>
      </c>
      <c r="C2" s="33" t="s">
        <v>212</v>
      </c>
      <c r="D2" s="33" t="s">
        <v>349</v>
      </c>
      <c r="E2" s="33">
        <v>1450000</v>
      </c>
    </row>
    <row r="3" spans="1:5" x14ac:dyDescent="0.25">
      <c r="A3" s="33">
        <v>1</v>
      </c>
      <c r="B3" s="33">
        <v>2</v>
      </c>
      <c r="C3" s="33" t="s">
        <v>215</v>
      </c>
      <c r="D3" s="33" t="s">
        <v>350</v>
      </c>
      <c r="E3" s="33">
        <v>245000</v>
      </c>
    </row>
    <row r="4" spans="1:5" x14ac:dyDescent="0.25">
      <c r="A4" s="33">
        <v>2</v>
      </c>
      <c r="B4" s="33">
        <v>3</v>
      </c>
      <c r="C4" s="33" t="s">
        <v>218</v>
      </c>
      <c r="D4" s="33" t="s">
        <v>351</v>
      </c>
      <c r="E4" s="33">
        <v>50000</v>
      </c>
    </row>
    <row r="5" spans="1:5" x14ac:dyDescent="0.25">
      <c r="A5" s="33">
        <v>3</v>
      </c>
      <c r="B5" s="33">
        <v>4</v>
      </c>
      <c r="C5" s="33" t="s">
        <v>221</v>
      </c>
      <c r="D5" s="33" t="s">
        <v>350</v>
      </c>
      <c r="E5" s="33">
        <v>170000</v>
      </c>
    </row>
    <row r="6" spans="1:5" x14ac:dyDescent="0.25">
      <c r="A6" s="33">
        <v>4</v>
      </c>
      <c r="B6" s="33">
        <v>5</v>
      </c>
      <c r="C6" s="33" t="s">
        <v>223</v>
      </c>
      <c r="D6" s="33" t="s">
        <v>351</v>
      </c>
      <c r="E6" s="33">
        <v>21000</v>
      </c>
    </row>
    <row r="7" spans="1:5" x14ac:dyDescent="0.25">
      <c r="A7" s="33">
        <v>5</v>
      </c>
      <c r="B7" s="33">
        <v>6</v>
      </c>
      <c r="C7" s="33" t="s">
        <v>225</v>
      </c>
      <c r="D7" s="33" t="s">
        <v>352</v>
      </c>
      <c r="E7" s="33">
        <v>10000</v>
      </c>
    </row>
    <row r="8" spans="1:5" x14ac:dyDescent="0.25">
      <c r="A8" s="33">
        <v>6</v>
      </c>
      <c r="B8" s="33">
        <v>7</v>
      </c>
      <c r="C8" s="33" t="s">
        <v>228</v>
      </c>
      <c r="D8" s="33" t="s">
        <v>352</v>
      </c>
      <c r="E8" s="33">
        <v>12000</v>
      </c>
    </row>
    <row r="9" spans="1:5" x14ac:dyDescent="0.25">
      <c r="A9" s="33">
        <v>7</v>
      </c>
      <c r="B9" s="33">
        <v>8</v>
      </c>
      <c r="C9" s="33" t="s">
        <v>231</v>
      </c>
      <c r="D9" s="33" t="s">
        <v>349</v>
      </c>
      <c r="E9" s="33">
        <v>3575000</v>
      </c>
    </row>
    <row r="10" spans="1:5" x14ac:dyDescent="0.25">
      <c r="A10" s="33">
        <v>8</v>
      </c>
      <c r="B10" s="33">
        <v>9</v>
      </c>
      <c r="C10" s="33" t="s">
        <v>234</v>
      </c>
      <c r="D10" s="33" t="s">
        <v>353</v>
      </c>
      <c r="E10" s="33">
        <v>1000</v>
      </c>
    </row>
    <row r="11" spans="1:5" x14ac:dyDescent="0.25">
      <c r="A11" s="33">
        <v>9</v>
      </c>
      <c r="B11" s="33">
        <v>10</v>
      </c>
      <c r="C11" s="33" t="s">
        <v>238</v>
      </c>
      <c r="D11" s="33" t="s">
        <v>353</v>
      </c>
      <c r="E11" s="33">
        <v>1000</v>
      </c>
    </row>
    <row r="12" spans="1:5" x14ac:dyDescent="0.25">
      <c r="A12" s="33">
        <v>10</v>
      </c>
      <c r="B12" s="33">
        <v>11</v>
      </c>
      <c r="C12" s="33" t="s">
        <v>235</v>
      </c>
      <c r="D12" s="33" t="s">
        <v>353</v>
      </c>
      <c r="E12" s="33">
        <v>1000</v>
      </c>
    </row>
    <row r="13" spans="1:5" x14ac:dyDescent="0.25">
      <c r="A13" s="33">
        <v>11</v>
      </c>
      <c r="B13" s="33">
        <v>12</v>
      </c>
      <c r="C13" s="33" t="s">
        <v>239</v>
      </c>
      <c r="D13" s="33" t="s">
        <v>353</v>
      </c>
      <c r="E13" s="33">
        <v>2300</v>
      </c>
    </row>
    <row r="14" spans="1:5" x14ac:dyDescent="0.25">
      <c r="A14" s="33">
        <v>12</v>
      </c>
      <c r="B14" s="33">
        <v>13</v>
      </c>
      <c r="C14" s="33" t="s">
        <v>242</v>
      </c>
      <c r="D14" s="33" t="s">
        <v>349</v>
      </c>
      <c r="E14" s="33">
        <v>1810000</v>
      </c>
    </row>
    <row r="15" spans="1:5" x14ac:dyDescent="0.25">
      <c r="A15" s="33">
        <v>13</v>
      </c>
      <c r="B15" s="33">
        <v>14</v>
      </c>
      <c r="C15" s="33" t="s">
        <v>354</v>
      </c>
      <c r="D15" s="33" t="s">
        <v>350</v>
      </c>
      <c r="E15" s="33">
        <v>509975</v>
      </c>
    </row>
    <row r="16" spans="1:5" x14ac:dyDescent="0.25">
      <c r="A16" s="33">
        <v>14</v>
      </c>
      <c r="B16" s="33">
        <v>15</v>
      </c>
      <c r="C16" s="33" t="s">
        <v>247</v>
      </c>
      <c r="D16" s="33" t="s">
        <v>350</v>
      </c>
      <c r="E16" s="33">
        <v>582624</v>
      </c>
    </row>
    <row r="17" spans="1:5" x14ac:dyDescent="0.25">
      <c r="A17" s="33">
        <v>15</v>
      </c>
      <c r="B17" s="33">
        <v>16</v>
      </c>
      <c r="C17" s="33" t="s">
        <v>250</v>
      </c>
      <c r="D17" s="33" t="s">
        <v>350</v>
      </c>
      <c r="E17" s="33">
        <v>532163</v>
      </c>
    </row>
    <row r="18" spans="1:5" x14ac:dyDescent="0.25">
      <c r="A18" s="33">
        <v>16</v>
      </c>
      <c r="B18" s="33">
        <v>17</v>
      </c>
      <c r="C18" s="33" t="s">
        <v>253</v>
      </c>
      <c r="D18" s="33" t="s">
        <v>351</v>
      </c>
      <c r="E18" s="33">
        <v>40454</v>
      </c>
    </row>
    <row r="19" spans="1:5" x14ac:dyDescent="0.25">
      <c r="A19" s="33">
        <v>17</v>
      </c>
      <c r="B19" s="33">
        <v>18</v>
      </c>
      <c r="C19" s="33" t="s">
        <v>256</v>
      </c>
      <c r="D19" s="33" t="s">
        <v>352</v>
      </c>
      <c r="E19" s="33">
        <v>7658</v>
      </c>
    </row>
    <row r="20" spans="1:5" x14ac:dyDescent="0.25">
      <c r="A20" s="33">
        <v>18</v>
      </c>
      <c r="B20" s="33">
        <v>19</v>
      </c>
      <c r="C20" s="33" t="s">
        <v>258</v>
      </c>
      <c r="D20" s="33" t="s">
        <v>353</v>
      </c>
      <c r="E20" s="33">
        <v>1497</v>
      </c>
    </row>
    <row r="21" spans="1:5" x14ac:dyDescent="0.25">
      <c r="A21" s="33">
        <v>19</v>
      </c>
      <c r="B21" s="67">
        <v>20</v>
      </c>
      <c r="C21" s="67" t="s">
        <v>355</v>
      </c>
      <c r="D21" s="33" t="s">
        <v>350</v>
      </c>
      <c r="E21" s="33">
        <v>238478</v>
      </c>
    </row>
    <row r="22" spans="1:5" x14ac:dyDescent="0.25">
      <c r="A22" s="33">
        <v>20</v>
      </c>
      <c r="B22" s="67">
        <v>21</v>
      </c>
      <c r="C22" s="33" t="s">
        <v>356</v>
      </c>
      <c r="D22" s="33" t="s">
        <v>351</v>
      </c>
      <c r="E22" s="33">
        <v>30691</v>
      </c>
    </row>
    <row r="23" spans="1:5" x14ac:dyDescent="0.25">
      <c r="A23" s="33">
        <v>21</v>
      </c>
      <c r="B23" s="67">
        <v>22</v>
      </c>
      <c r="C23" s="33" t="s">
        <v>260</v>
      </c>
      <c r="D23" s="33" t="s">
        <v>352</v>
      </c>
      <c r="E23" s="33">
        <v>14589</v>
      </c>
    </row>
    <row r="24" spans="1:5" x14ac:dyDescent="0.25">
      <c r="A24" s="33">
        <v>22</v>
      </c>
      <c r="B24" s="33">
        <v>23</v>
      </c>
      <c r="C24" s="33" t="s">
        <v>263</v>
      </c>
      <c r="D24" s="33" t="s">
        <v>353</v>
      </c>
      <c r="E24" s="33">
        <v>539</v>
      </c>
    </row>
    <row r="25" spans="1:5" x14ac:dyDescent="0.25">
      <c r="A25" s="33">
        <v>23</v>
      </c>
      <c r="B25" s="33">
        <v>24</v>
      </c>
      <c r="C25" s="33" t="s">
        <v>265</v>
      </c>
      <c r="D25" s="33" t="s">
        <v>351</v>
      </c>
      <c r="E25" s="33">
        <v>26178</v>
      </c>
    </row>
    <row r="26" spans="1:5" x14ac:dyDescent="0.25">
      <c r="A26" s="33">
        <v>24</v>
      </c>
      <c r="B26" s="33">
        <v>25</v>
      </c>
      <c r="C26" s="33" t="s">
        <v>266</v>
      </c>
      <c r="D26" s="33" t="s">
        <v>353</v>
      </c>
      <c r="E26" s="33">
        <v>3399</v>
      </c>
    </row>
    <row r="27" spans="1:5" x14ac:dyDescent="0.25">
      <c r="A27" s="33">
        <v>25</v>
      </c>
      <c r="B27" s="33">
        <v>26</v>
      </c>
      <c r="C27" s="33" t="s">
        <v>269</v>
      </c>
      <c r="D27" s="33" t="s">
        <v>351</v>
      </c>
      <c r="E27" s="33">
        <v>58193</v>
      </c>
    </row>
    <row r="28" spans="1:5" x14ac:dyDescent="0.25">
      <c r="A28" s="33">
        <v>26</v>
      </c>
      <c r="B28" s="33">
        <v>27</v>
      </c>
      <c r="C28" s="33" t="s">
        <v>272</v>
      </c>
      <c r="D28" s="33" t="s">
        <v>350</v>
      </c>
      <c r="E28" s="33">
        <v>221170</v>
      </c>
    </row>
    <row r="29" spans="1:5" x14ac:dyDescent="0.25">
      <c r="A29" s="33">
        <v>27</v>
      </c>
      <c r="B29" s="33">
        <v>28</v>
      </c>
      <c r="C29" s="33" t="s">
        <v>273</v>
      </c>
      <c r="D29" s="33" t="s">
        <v>352</v>
      </c>
      <c r="E29" s="33">
        <v>10994</v>
      </c>
    </row>
    <row r="30" spans="1:5" x14ac:dyDescent="0.25">
      <c r="A30" s="33">
        <v>28</v>
      </c>
      <c r="B30" s="33">
        <v>29</v>
      </c>
      <c r="C30" s="33" t="s">
        <v>276</v>
      </c>
      <c r="D30" s="33" t="s">
        <v>352</v>
      </c>
      <c r="E30" s="33">
        <v>18000</v>
      </c>
    </row>
    <row r="31" spans="1:5" x14ac:dyDescent="0.25">
      <c r="A31" s="33">
        <v>29</v>
      </c>
      <c r="B31" s="33">
        <v>30</v>
      </c>
      <c r="C31" s="33" t="s">
        <v>279</v>
      </c>
      <c r="D31" s="33" t="s">
        <v>353</v>
      </c>
      <c r="E31" s="33">
        <v>5000</v>
      </c>
    </row>
    <row r="32" spans="1:5" x14ac:dyDescent="0.25">
      <c r="A32" s="33">
        <v>30</v>
      </c>
      <c r="B32" s="33">
        <v>31</v>
      </c>
      <c r="C32" s="33" t="s">
        <v>282</v>
      </c>
      <c r="D32" s="33" t="s">
        <v>353</v>
      </c>
      <c r="E32" s="33">
        <v>4900</v>
      </c>
    </row>
    <row r="33" spans="1:5" x14ac:dyDescent="0.25">
      <c r="A33" s="33">
        <v>31</v>
      </c>
      <c r="B33" s="33">
        <v>32</v>
      </c>
      <c r="C33" s="33" t="s">
        <v>285</v>
      </c>
      <c r="D33" s="33" t="s">
        <v>350</v>
      </c>
      <c r="E33" s="33">
        <v>560472</v>
      </c>
    </row>
    <row r="34" spans="1:5" x14ac:dyDescent="0.25">
      <c r="A34" s="33">
        <v>32</v>
      </c>
      <c r="B34" s="33">
        <v>33</v>
      </c>
      <c r="C34" s="33" t="s">
        <v>286</v>
      </c>
      <c r="D34" s="33" t="s">
        <v>352</v>
      </c>
      <c r="E34" s="33">
        <v>14364</v>
      </c>
    </row>
    <row r="35" spans="1:5" x14ac:dyDescent="0.25">
      <c r="A35" s="33">
        <v>33</v>
      </c>
      <c r="B35" s="33">
        <v>34</v>
      </c>
      <c r="C35" s="33" t="s">
        <v>289</v>
      </c>
      <c r="D35" s="33" t="s">
        <v>351</v>
      </c>
      <c r="E35" s="33">
        <v>41000</v>
      </c>
    </row>
    <row r="36" spans="1:5" x14ac:dyDescent="0.25">
      <c r="A36" s="33">
        <v>34</v>
      </c>
      <c r="B36" s="33">
        <v>35</v>
      </c>
      <c r="C36" s="33" t="s">
        <v>290</v>
      </c>
      <c r="D36" s="33" t="s">
        <v>353</v>
      </c>
      <c r="E36" s="33">
        <v>1140</v>
      </c>
    </row>
    <row r="37" spans="1:5" x14ac:dyDescent="0.25">
      <c r="A37" s="33">
        <v>35</v>
      </c>
      <c r="B37" s="33">
        <v>36</v>
      </c>
      <c r="C37" s="33" t="s">
        <v>293</v>
      </c>
      <c r="D37" s="33" t="s">
        <v>350</v>
      </c>
      <c r="E37" s="33">
        <v>171810</v>
      </c>
    </row>
    <row r="38" spans="1:5" x14ac:dyDescent="0.25">
      <c r="A38" s="33">
        <v>36</v>
      </c>
      <c r="B38" s="33">
        <v>37</v>
      </c>
      <c r="C38" s="33" t="s">
        <v>299</v>
      </c>
      <c r="D38" s="33" t="s">
        <v>350</v>
      </c>
      <c r="E38" s="33">
        <v>736414</v>
      </c>
    </row>
    <row r="39" spans="1:5" x14ac:dyDescent="0.25">
      <c r="A39" s="33">
        <v>37</v>
      </c>
      <c r="B39" s="33">
        <v>38</v>
      </c>
      <c r="C39" s="33" t="s">
        <v>296</v>
      </c>
      <c r="D39" s="33" t="s">
        <v>352</v>
      </c>
      <c r="E39" s="33">
        <v>8850</v>
      </c>
    </row>
    <row r="40" spans="1:5" x14ac:dyDescent="0.25">
      <c r="A40" s="33">
        <v>38</v>
      </c>
      <c r="B40" s="33">
        <v>39</v>
      </c>
      <c r="C40" s="33" t="s">
        <v>300</v>
      </c>
      <c r="D40" s="33" t="s">
        <v>351</v>
      </c>
      <c r="E40" s="33">
        <v>29984</v>
      </c>
    </row>
    <row r="41" spans="1:5" x14ac:dyDescent="0.25">
      <c r="A41" s="33">
        <v>39</v>
      </c>
      <c r="B41" s="33">
        <v>40</v>
      </c>
      <c r="C41" s="33" t="s">
        <v>303</v>
      </c>
      <c r="D41" s="33" t="s">
        <v>350</v>
      </c>
      <c r="E41" s="33">
        <v>682032</v>
      </c>
    </row>
    <row r="42" spans="1:5" x14ac:dyDescent="0.25">
      <c r="A42" s="33">
        <v>40</v>
      </c>
      <c r="B42" s="33">
        <v>41</v>
      </c>
      <c r="C42" s="33" t="s">
        <v>304</v>
      </c>
      <c r="D42" s="33" t="s">
        <v>352</v>
      </c>
      <c r="E42" s="33">
        <v>6500</v>
      </c>
    </row>
    <row r="43" spans="1:5" x14ac:dyDescent="0.25">
      <c r="A43" s="33">
        <v>41</v>
      </c>
      <c r="B43" s="33">
        <v>42</v>
      </c>
      <c r="C43" s="33" t="s">
        <v>308</v>
      </c>
      <c r="D43" s="33" t="s">
        <v>353</v>
      </c>
      <c r="E43" s="33">
        <v>4465</v>
      </c>
    </row>
    <row r="44" spans="1:5" x14ac:dyDescent="0.25">
      <c r="A44" s="33">
        <v>42</v>
      </c>
      <c r="B44" s="33">
        <v>43</v>
      </c>
      <c r="C44" s="33" t="s">
        <v>307</v>
      </c>
      <c r="D44" s="33" t="s">
        <v>350</v>
      </c>
      <c r="E44" s="33">
        <v>286374</v>
      </c>
    </row>
    <row r="45" spans="1:5" x14ac:dyDescent="0.25">
      <c r="A45" s="33">
        <v>43</v>
      </c>
      <c r="B45" s="33">
        <v>44</v>
      </c>
      <c r="C45" s="33" t="s">
        <v>311</v>
      </c>
      <c r="D45" s="33" t="s">
        <v>353</v>
      </c>
      <c r="E45" s="33">
        <v>4020</v>
      </c>
    </row>
    <row r="46" spans="1:5" x14ac:dyDescent="0.25">
      <c r="A46" s="33">
        <v>44</v>
      </c>
      <c r="B46" s="33">
        <v>45</v>
      </c>
      <c r="C46" s="33" t="s">
        <v>314</v>
      </c>
      <c r="D46" s="33" t="s">
        <v>350</v>
      </c>
      <c r="E46" s="33">
        <v>207000</v>
      </c>
    </row>
    <row r="47" spans="1:5" x14ac:dyDescent="0.25">
      <c r="A47" s="33">
        <v>45</v>
      </c>
      <c r="B47" s="33">
        <v>46</v>
      </c>
      <c r="C47" s="33" t="s">
        <v>315</v>
      </c>
      <c r="D47" s="33" t="s">
        <v>351</v>
      </c>
      <c r="E47" s="33">
        <v>21699</v>
      </c>
    </row>
    <row r="48" spans="1:5" x14ac:dyDescent="0.25">
      <c r="A48" s="33">
        <v>46</v>
      </c>
      <c r="B48" s="33">
        <v>47</v>
      </c>
      <c r="C48" s="33" t="s">
        <v>318</v>
      </c>
      <c r="D48" s="33" t="s">
        <v>353</v>
      </c>
      <c r="E48" s="33">
        <v>2815</v>
      </c>
    </row>
    <row r="49" spans="1:5" x14ac:dyDescent="0.25">
      <c r="A49" s="33">
        <v>47</v>
      </c>
      <c r="B49" s="33">
        <v>48</v>
      </c>
      <c r="C49" s="33" t="s">
        <v>319</v>
      </c>
      <c r="D49" s="33" t="s">
        <v>352</v>
      </c>
      <c r="E49" s="33">
        <v>10200</v>
      </c>
    </row>
    <row r="50" spans="1:5" x14ac:dyDescent="0.25">
      <c r="A50" s="33">
        <v>48</v>
      </c>
      <c r="B50" s="33">
        <v>49</v>
      </c>
      <c r="C50" s="33" t="s">
        <v>324</v>
      </c>
      <c r="D50" s="33" t="s">
        <v>351</v>
      </c>
      <c r="E50" s="33">
        <v>78000</v>
      </c>
    </row>
    <row r="51" spans="1:5" x14ac:dyDescent="0.25">
      <c r="A51" s="33">
        <v>49</v>
      </c>
      <c r="B51" s="33">
        <v>50</v>
      </c>
      <c r="C51" s="33" t="s">
        <v>325</v>
      </c>
      <c r="D51" s="33" t="s">
        <v>349</v>
      </c>
      <c r="E51" s="33">
        <v>1061000</v>
      </c>
    </row>
    <row r="52" spans="1:5" x14ac:dyDescent="0.25">
      <c r="A52" s="33">
        <v>50</v>
      </c>
      <c r="B52" s="33">
        <v>51</v>
      </c>
      <c r="C52" s="33" t="s">
        <v>328</v>
      </c>
      <c r="D52" s="33" t="s">
        <v>352</v>
      </c>
      <c r="E52" s="68">
        <v>5929</v>
      </c>
    </row>
    <row r="53" spans="1:5" x14ac:dyDescent="0.25">
      <c r="A53" s="33">
        <v>51</v>
      </c>
      <c r="B53" s="33">
        <v>52</v>
      </c>
      <c r="C53" s="33" t="s">
        <v>327</v>
      </c>
      <c r="D53" s="33" t="s">
        <v>350</v>
      </c>
      <c r="E53" s="67">
        <v>124045</v>
      </c>
    </row>
    <row r="54" spans="1:5" x14ac:dyDescent="0.25">
      <c r="A54" s="33">
        <v>52</v>
      </c>
      <c r="B54" s="33">
        <v>53</v>
      </c>
      <c r="C54" s="33" t="s">
        <v>341</v>
      </c>
      <c r="D54" s="33" t="s">
        <v>350</v>
      </c>
      <c r="E54" s="33">
        <v>557464</v>
      </c>
    </row>
    <row r="55" spans="1:5" x14ac:dyDescent="0.25">
      <c r="A55" s="33">
        <v>53</v>
      </c>
      <c r="B55" s="33">
        <v>54</v>
      </c>
      <c r="C55" s="33" t="s">
        <v>342</v>
      </c>
      <c r="D55" s="33" t="s">
        <v>350</v>
      </c>
      <c r="E55" s="33">
        <v>188904</v>
      </c>
    </row>
    <row r="56" spans="1:5" x14ac:dyDescent="0.25">
      <c r="A56" s="52">
        <v>54</v>
      </c>
      <c r="B56" s="52">
        <v>55</v>
      </c>
      <c r="C56" s="111" t="s">
        <v>392</v>
      </c>
      <c r="D56" s="111" t="s">
        <v>351</v>
      </c>
      <c r="E56" s="52">
        <v>41577</v>
      </c>
    </row>
    <row r="57" spans="1:5" x14ac:dyDescent="0.25">
      <c r="A57" s="52">
        <v>55</v>
      </c>
      <c r="B57" s="52">
        <v>56</v>
      </c>
      <c r="C57" s="111" t="s">
        <v>393</v>
      </c>
      <c r="D57" s="111" t="s">
        <v>353</v>
      </c>
      <c r="E57" s="52">
        <v>1365</v>
      </c>
    </row>
    <row r="58" spans="1:5" x14ac:dyDescent="0.25">
      <c r="A58" s="52">
        <v>56</v>
      </c>
      <c r="B58" s="52">
        <v>57</v>
      </c>
      <c r="C58" s="111" t="s">
        <v>396</v>
      </c>
      <c r="D58" s="111" t="s">
        <v>352</v>
      </c>
      <c r="E58" s="52">
        <v>6435</v>
      </c>
    </row>
    <row r="59" spans="1:5" x14ac:dyDescent="0.25">
      <c r="A59" s="52">
        <v>57</v>
      </c>
      <c r="B59" s="52">
        <v>58</v>
      </c>
      <c r="C59" s="111" t="s">
        <v>397</v>
      </c>
      <c r="D59" s="111" t="s">
        <v>353</v>
      </c>
      <c r="E59" s="52">
        <v>2094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70A9-F49B-447F-8910-A25EABD7E695}">
  <sheetPr codeName="Tabelle8"/>
  <dimension ref="A1:M108"/>
  <sheetViews>
    <sheetView workbookViewId="0">
      <selection activeCell="B85" sqref="B85"/>
    </sheetView>
  </sheetViews>
  <sheetFormatPr baseColWidth="10" defaultColWidth="10.625" defaultRowHeight="15" x14ac:dyDescent="0.25"/>
  <cols>
    <col min="1" max="1" width="8.875" style="33" bestFit="1" customWidth="1"/>
    <col min="2" max="2" width="31.75" style="33" bestFit="1" customWidth="1"/>
    <col min="3" max="3" width="14.25" style="33" bestFit="1" customWidth="1"/>
    <col min="4" max="4" width="19.125" style="33" bestFit="1" customWidth="1"/>
    <col min="5" max="5" width="14.5" style="33" bestFit="1" customWidth="1"/>
    <col min="6" max="6" width="19.125" style="33" bestFit="1" customWidth="1"/>
    <col min="7" max="7" width="13.25" style="33" bestFit="1" customWidth="1"/>
    <col min="8" max="8" width="6.625" style="33" bestFit="1" customWidth="1"/>
    <col min="9" max="9" width="12.875" style="33" bestFit="1" customWidth="1"/>
    <col min="10" max="10" width="50.25" style="33" bestFit="1" customWidth="1"/>
    <col min="11" max="11" width="12.875" style="33" bestFit="1" customWidth="1"/>
    <col min="12" max="12" width="6.25" style="33" bestFit="1" customWidth="1"/>
    <col min="13" max="13" width="13.25" style="33" bestFit="1" customWidth="1"/>
    <col min="14" max="14" width="6.25" style="33" bestFit="1" customWidth="1"/>
    <col min="15" max="15" width="6.375" style="33" bestFit="1" customWidth="1"/>
    <col min="16" max="16" width="4.375" style="33" bestFit="1" customWidth="1"/>
    <col min="17" max="18" width="10.625" style="33"/>
    <col min="19" max="19" width="3.625" style="33" bestFit="1" customWidth="1"/>
    <col min="20" max="16384" width="10.625" style="33"/>
  </cols>
  <sheetData>
    <row r="1" spans="1:9" x14ac:dyDescent="0.25">
      <c r="A1" s="148" t="s">
        <v>357</v>
      </c>
      <c r="B1" s="149"/>
      <c r="C1" s="149"/>
      <c r="D1" s="149"/>
      <c r="E1" s="149"/>
      <c r="F1" s="149"/>
      <c r="G1" s="150"/>
    </row>
    <row r="2" spans="1:9" x14ac:dyDescent="0.25">
      <c r="A2" s="69"/>
      <c r="G2" s="70"/>
    </row>
    <row r="3" spans="1:9" x14ac:dyDescent="0.25">
      <c r="A3" s="69"/>
      <c r="C3" s="31">
        <v>2017</v>
      </c>
      <c r="D3" s="31">
        <v>2050</v>
      </c>
      <c r="G3" s="70"/>
    </row>
    <row r="4" spans="1:9" x14ac:dyDescent="0.25">
      <c r="A4" s="69"/>
      <c r="B4" s="31" t="s">
        <v>358</v>
      </c>
      <c r="C4" s="33">
        <v>83020000</v>
      </c>
      <c r="D4" s="33">
        <v>78200000</v>
      </c>
      <c r="E4" s="33" t="s">
        <v>50</v>
      </c>
      <c r="G4" s="70"/>
    </row>
    <row r="5" spans="1:9" x14ac:dyDescent="0.25">
      <c r="A5" s="69"/>
      <c r="B5" s="31" t="s">
        <v>359</v>
      </c>
      <c r="C5" s="33">
        <v>39907.74</v>
      </c>
      <c r="D5" s="33">
        <v>63140.74</v>
      </c>
      <c r="E5" s="33" t="s">
        <v>360</v>
      </c>
      <c r="G5" s="70"/>
    </row>
    <row r="6" spans="1:9" x14ac:dyDescent="0.25">
      <c r="A6" s="69"/>
      <c r="B6" s="31" t="s">
        <v>361</v>
      </c>
      <c r="C6" s="33">
        <v>145.28</v>
      </c>
      <c r="D6" s="33">
        <v>25.7</v>
      </c>
      <c r="E6" s="33" t="s">
        <v>362</v>
      </c>
      <c r="G6" s="70"/>
    </row>
    <row r="7" spans="1:9" x14ac:dyDescent="0.25">
      <c r="A7" s="69"/>
      <c r="B7" s="31" t="s">
        <v>363</v>
      </c>
      <c r="C7" s="33">
        <v>0.1178</v>
      </c>
      <c r="D7" s="33">
        <v>5.7999999999999996E-3</v>
      </c>
      <c r="E7" s="33" t="s">
        <v>362</v>
      </c>
      <c r="G7" s="70"/>
    </row>
    <row r="8" spans="1:9" x14ac:dyDescent="0.25">
      <c r="A8" s="69"/>
      <c r="B8" s="31" t="s">
        <v>364</v>
      </c>
      <c r="C8" s="33">
        <v>2.8E-3</v>
      </c>
      <c r="D8" s="33">
        <v>1E-4</v>
      </c>
      <c r="E8" s="33" t="s">
        <v>362</v>
      </c>
      <c r="G8" s="70"/>
    </row>
    <row r="9" spans="1:9" x14ac:dyDescent="0.25">
      <c r="A9" s="69"/>
      <c r="G9" s="70"/>
    </row>
    <row r="10" spans="1:9" x14ac:dyDescent="0.25">
      <c r="A10" s="71"/>
      <c r="B10" s="72"/>
      <c r="C10" s="72"/>
      <c r="D10" s="72"/>
      <c r="E10" s="72"/>
      <c r="F10" s="72"/>
      <c r="G10" s="72"/>
    </row>
    <row r="11" spans="1:9" x14ac:dyDescent="0.25">
      <c r="A11" s="148" t="s">
        <v>365</v>
      </c>
      <c r="B11" s="149"/>
      <c r="C11" s="149"/>
      <c r="D11" s="149"/>
      <c r="E11" s="149"/>
      <c r="F11" s="149"/>
      <c r="G11" s="149"/>
      <c r="H11" s="149"/>
      <c r="I11" s="150"/>
    </row>
    <row r="12" spans="1:9" x14ac:dyDescent="0.25">
      <c r="A12" s="69"/>
      <c r="I12" s="70"/>
    </row>
    <row r="13" spans="1:9" x14ac:dyDescent="0.25">
      <c r="A13" s="69"/>
      <c r="B13" s="73"/>
      <c r="C13" s="74">
        <v>2017</v>
      </c>
      <c r="D13" s="74">
        <v>2017</v>
      </c>
      <c r="E13" s="74">
        <v>2050</v>
      </c>
      <c r="F13" s="74">
        <v>2050</v>
      </c>
      <c r="G13" s="75" t="s">
        <v>366</v>
      </c>
      <c r="H13" s="75" t="s">
        <v>366</v>
      </c>
      <c r="I13" s="70"/>
    </row>
    <row r="14" spans="1:9" x14ac:dyDescent="0.25">
      <c r="A14" s="69"/>
      <c r="B14" s="73"/>
      <c r="C14" s="76" t="s">
        <v>367</v>
      </c>
      <c r="D14" s="76" t="s">
        <v>368</v>
      </c>
      <c r="E14" s="76" t="s">
        <v>367</v>
      </c>
      <c r="F14" s="76" t="s">
        <v>368</v>
      </c>
      <c r="G14" s="75" t="s">
        <v>369</v>
      </c>
      <c r="H14" s="75" t="s">
        <v>370</v>
      </c>
      <c r="I14" s="70"/>
    </row>
    <row r="15" spans="1:9" x14ac:dyDescent="0.25">
      <c r="A15" s="69"/>
      <c r="B15" s="76" t="s">
        <v>371</v>
      </c>
      <c r="C15" s="77">
        <v>72000000</v>
      </c>
      <c r="D15" s="77">
        <v>0</v>
      </c>
      <c r="E15" s="77">
        <v>72000000</v>
      </c>
      <c r="F15" s="77">
        <v>0</v>
      </c>
      <c r="G15" s="77">
        <v>0</v>
      </c>
      <c r="H15" s="77" t="s">
        <v>73</v>
      </c>
      <c r="I15" s="70"/>
    </row>
    <row r="16" spans="1:9" x14ac:dyDescent="0.25">
      <c r="A16" s="69"/>
      <c r="B16" s="76" t="s">
        <v>154</v>
      </c>
      <c r="C16" s="77">
        <v>2280241</v>
      </c>
      <c r="D16" s="77">
        <v>7</v>
      </c>
      <c r="E16" s="77">
        <v>21600000</v>
      </c>
      <c r="F16" s="77">
        <v>7</v>
      </c>
      <c r="G16" s="77">
        <v>22</v>
      </c>
      <c r="H16" s="77" t="s">
        <v>73</v>
      </c>
      <c r="I16" s="70"/>
    </row>
    <row r="17" spans="1:10" x14ac:dyDescent="0.25">
      <c r="A17" s="78"/>
      <c r="B17" s="79"/>
      <c r="C17" s="79"/>
      <c r="D17" s="79"/>
      <c r="E17" s="79"/>
      <c r="F17" s="79"/>
      <c r="G17" s="79"/>
      <c r="H17" s="79"/>
      <c r="I17" s="80"/>
    </row>
    <row r="19" spans="1:10" x14ac:dyDescent="0.25">
      <c r="A19" s="148" t="s">
        <v>372</v>
      </c>
      <c r="B19" s="149"/>
      <c r="C19" s="149"/>
      <c r="D19" s="149"/>
      <c r="E19" s="149"/>
      <c r="F19" s="149"/>
      <c r="G19" s="149"/>
      <c r="H19" s="150"/>
    </row>
    <row r="20" spans="1:10" x14ac:dyDescent="0.25">
      <c r="A20" s="69"/>
      <c r="H20" s="70"/>
    </row>
    <row r="21" spans="1:10" x14ac:dyDescent="0.25">
      <c r="A21" s="69"/>
      <c r="C21" s="81" t="s">
        <v>352</v>
      </c>
      <c r="D21" s="81" t="s">
        <v>351</v>
      </c>
      <c r="E21" s="81" t="s">
        <v>353</v>
      </c>
      <c r="F21" s="81" t="s">
        <v>350</v>
      </c>
      <c r="G21" s="81" t="s">
        <v>349</v>
      </c>
      <c r="H21" s="70"/>
    </row>
    <row r="22" spans="1:10" x14ac:dyDescent="0.25">
      <c r="A22" s="69"/>
      <c r="B22" s="81" t="s">
        <v>145</v>
      </c>
      <c r="C22" s="33">
        <v>0.18248951941994401</v>
      </c>
      <c r="D22" s="33">
        <v>0.360649079699978</v>
      </c>
      <c r="E22" s="33">
        <v>2.0824950466483399E-2</v>
      </c>
      <c r="F22" s="33">
        <v>0.30399140939062402</v>
      </c>
      <c r="G22" s="33">
        <v>0.13163268438349801</v>
      </c>
      <c r="H22" s="70"/>
    </row>
    <row r="23" spans="1:10" x14ac:dyDescent="0.25">
      <c r="A23" s="69"/>
      <c r="B23" s="81" t="s">
        <v>146</v>
      </c>
      <c r="C23" s="33">
        <v>0.1815770718228443</v>
      </c>
      <c r="D23" s="33">
        <v>0.36245232509847786</v>
      </c>
      <c r="E23" s="33">
        <v>1.9783702943159228E-2</v>
      </c>
      <c r="F23" s="33">
        <v>0.31159119462538959</v>
      </c>
      <c r="G23" s="33">
        <v>0.13492350149308546</v>
      </c>
      <c r="H23" s="70"/>
    </row>
    <row r="24" spans="1:10" x14ac:dyDescent="0.25">
      <c r="A24" s="69"/>
      <c r="B24" s="81" t="s">
        <v>147</v>
      </c>
      <c r="C24" s="33">
        <v>0.1815770718228443</v>
      </c>
      <c r="D24" s="33">
        <v>0.36245232509847786</v>
      </c>
      <c r="E24" s="33">
        <v>1.9783702943159228E-2</v>
      </c>
      <c r="F24" s="33">
        <v>0.31159119462538959</v>
      </c>
      <c r="G24" s="33">
        <v>0.13492350149308546</v>
      </c>
      <c r="H24" s="70"/>
    </row>
    <row r="25" spans="1:10" x14ac:dyDescent="0.25">
      <c r="A25" s="69"/>
      <c r="B25" s="81" t="s">
        <v>148</v>
      </c>
      <c r="C25" s="33">
        <v>0.1815770718228443</v>
      </c>
      <c r="D25" s="33">
        <v>0.36245232509847786</v>
      </c>
      <c r="E25" s="33">
        <v>1.9783702943159228E-2</v>
      </c>
      <c r="F25" s="33">
        <v>0.31159119462538959</v>
      </c>
      <c r="G25" s="33">
        <v>0.13492350149308546</v>
      </c>
      <c r="H25" s="70"/>
    </row>
    <row r="26" spans="1:10" x14ac:dyDescent="0.25">
      <c r="A26" s="69"/>
      <c r="B26" s="81" t="s">
        <v>68</v>
      </c>
      <c r="C26" s="33">
        <v>0.1815770718228443</v>
      </c>
      <c r="D26" s="33">
        <v>0.36245232509847786</v>
      </c>
      <c r="E26" s="33">
        <v>1.9783702943159228E-2</v>
      </c>
      <c r="F26" s="33">
        <v>0.31159119462538959</v>
      </c>
      <c r="G26" s="33">
        <v>0.13492350149308546</v>
      </c>
      <c r="H26" s="70"/>
    </row>
    <row r="27" spans="1:10" x14ac:dyDescent="0.25">
      <c r="A27" s="78"/>
      <c r="B27" s="79"/>
      <c r="C27" s="79"/>
      <c r="D27" s="79"/>
      <c r="E27" s="79"/>
      <c r="F27" s="79"/>
      <c r="G27" s="79"/>
      <c r="H27" s="80"/>
    </row>
    <row r="29" spans="1:10" x14ac:dyDescent="0.25">
      <c r="A29" s="148" t="s">
        <v>373</v>
      </c>
      <c r="B29" s="149"/>
      <c r="C29" s="149"/>
      <c r="D29" s="149"/>
      <c r="E29" s="149"/>
      <c r="F29" s="149"/>
      <c r="G29" s="149"/>
      <c r="H29" s="150"/>
    </row>
    <row r="30" spans="1:10" x14ac:dyDescent="0.25">
      <c r="A30" s="82"/>
      <c r="B30" s="83"/>
      <c r="C30" s="83"/>
      <c r="D30" s="83"/>
      <c r="E30" s="83"/>
      <c r="F30" s="83"/>
      <c r="G30" s="83"/>
      <c r="H30" s="84"/>
    </row>
    <row r="31" spans="1:10" x14ac:dyDescent="0.25">
      <c r="A31" s="69"/>
      <c r="C31" s="28" t="s">
        <v>374</v>
      </c>
      <c r="D31" s="28" t="s">
        <v>56</v>
      </c>
      <c r="E31" s="28" t="s">
        <v>375</v>
      </c>
      <c r="F31" s="28" t="s">
        <v>376</v>
      </c>
      <c r="G31" s="28" t="s">
        <v>377</v>
      </c>
      <c r="H31" s="70"/>
    </row>
    <row r="32" spans="1:10" x14ac:dyDescent="0.25">
      <c r="A32" s="69"/>
      <c r="B32" s="28" t="s">
        <v>145</v>
      </c>
      <c r="C32" s="33">
        <v>77.5</v>
      </c>
      <c r="D32" s="33">
        <v>40</v>
      </c>
      <c r="E32" s="33">
        <f>C32/D32</f>
        <v>1.9375</v>
      </c>
      <c r="F32" s="33" t="s">
        <v>378</v>
      </c>
      <c r="G32" s="33">
        <v>2.74</v>
      </c>
      <c r="H32" s="70"/>
      <c r="J32" s="33" t="s">
        <v>379</v>
      </c>
    </row>
    <row r="33" spans="1:13" s="88" customFormat="1" x14ac:dyDescent="0.25">
      <c r="A33" s="85"/>
      <c r="B33" s="86"/>
      <c r="C33" s="86"/>
      <c r="D33" s="86"/>
      <c r="E33" s="86"/>
      <c r="F33" s="86"/>
      <c r="G33" s="86"/>
      <c r="H33" s="87"/>
    </row>
    <row r="35" spans="1:13" x14ac:dyDescent="0.25">
      <c r="A35" s="148" t="s">
        <v>380</v>
      </c>
      <c r="B35" s="149"/>
      <c r="C35" s="149"/>
      <c r="D35" s="149"/>
      <c r="E35" s="149"/>
      <c r="F35" s="149"/>
      <c r="G35" s="149"/>
      <c r="H35" s="149"/>
      <c r="I35" s="150"/>
    </row>
    <row r="36" spans="1:13" s="88" customFormat="1" x14ac:dyDescent="0.25">
      <c r="A36" s="89"/>
      <c r="I36" s="90"/>
    </row>
    <row r="37" spans="1:13" x14ac:dyDescent="0.25">
      <c r="A37" s="69"/>
      <c r="B37" s="91"/>
      <c r="D37" s="38" t="s">
        <v>145</v>
      </c>
      <c r="E37" s="39" t="s">
        <v>146</v>
      </c>
      <c r="F37" s="39" t="s">
        <v>147</v>
      </c>
      <c r="G37" s="39" t="s">
        <v>148</v>
      </c>
      <c r="H37" s="39" t="s">
        <v>68</v>
      </c>
      <c r="I37" s="70"/>
    </row>
    <row r="38" spans="1:13" x14ac:dyDescent="0.25">
      <c r="A38" s="69"/>
      <c r="B38" s="32" t="s">
        <v>149</v>
      </c>
      <c r="C38" s="33" t="s">
        <v>180</v>
      </c>
      <c r="D38" s="92">
        <v>1</v>
      </c>
      <c r="E38" s="92">
        <v>1</v>
      </c>
      <c r="F38" s="92">
        <v>1</v>
      </c>
      <c r="G38" s="93">
        <v>1</v>
      </c>
      <c r="H38" s="93">
        <v>1</v>
      </c>
      <c r="I38" s="95"/>
      <c r="J38" s="118" t="s">
        <v>413</v>
      </c>
      <c r="K38" s="36"/>
    </row>
    <row r="39" spans="1:13" x14ac:dyDescent="0.25">
      <c r="A39" s="69"/>
      <c r="B39" s="32" t="s">
        <v>149</v>
      </c>
      <c r="C39" s="126" t="s">
        <v>179</v>
      </c>
      <c r="D39" s="92">
        <v>1</v>
      </c>
      <c r="E39" s="92">
        <v>1</v>
      </c>
      <c r="F39" s="92">
        <v>1</v>
      </c>
      <c r="G39" s="93">
        <v>1</v>
      </c>
      <c r="H39" s="93">
        <v>1</v>
      </c>
      <c r="I39" s="95"/>
      <c r="J39" s="118"/>
      <c r="K39" s="36"/>
    </row>
    <row r="40" spans="1:13" x14ac:dyDescent="0.25">
      <c r="A40" s="69"/>
      <c r="B40" s="32" t="s">
        <v>149</v>
      </c>
      <c r="C40" s="126" t="s">
        <v>181</v>
      </c>
      <c r="D40" s="92">
        <v>1</v>
      </c>
      <c r="E40" s="92">
        <v>1</v>
      </c>
      <c r="F40" s="92">
        <v>1</v>
      </c>
      <c r="G40" s="93">
        <v>1</v>
      </c>
      <c r="H40" s="93">
        <v>1</v>
      </c>
      <c r="I40" s="95"/>
      <c r="J40" s="118"/>
      <c r="K40" s="36"/>
    </row>
    <row r="41" spans="1:13" x14ac:dyDescent="0.25">
      <c r="A41" s="69"/>
      <c r="B41" s="32" t="s">
        <v>153</v>
      </c>
      <c r="C41" s="33" t="s">
        <v>180</v>
      </c>
      <c r="D41" s="92">
        <v>1</v>
      </c>
      <c r="E41" s="92">
        <v>1</v>
      </c>
      <c r="F41" s="92">
        <v>1</v>
      </c>
      <c r="G41" s="93">
        <v>1</v>
      </c>
      <c r="H41" s="93">
        <v>1</v>
      </c>
      <c r="I41" s="95"/>
      <c r="K41" s="36"/>
    </row>
    <row r="42" spans="1:13" x14ac:dyDescent="0.25">
      <c r="A42" s="69"/>
      <c r="B42" s="32" t="s">
        <v>153</v>
      </c>
      <c r="C42" s="126" t="s">
        <v>179</v>
      </c>
      <c r="D42" s="92">
        <v>1</v>
      </c>
      <c r="E42" s="92">
        <v>1</v>
      </c>
      <c r="F42" s="92">
        <v>1</v>
      </c>
      <c r="G42" s="93">
        <v>1</v>
      </c>
      <c r="H42" s="93">
        <v>1</v>
      </c>
      <c r="I42" s="95"/>
      <c r="K42" s="36"/>
    </row>
    <row r="43" spans="1:13" x14ac:dyDescent="0.25">
      <c r="A43" s="69"/>
      <c r="B43" s="32" t="s">
        <v>153</v>
      </c>
      <c r="C43" s="126" t="s">
        <v>181</v>
      </c>
      <c r="D43" s="92">
        <v>1</v>
      </c>
      <c r="E43" s="92">
        <v>1</v>
      </c>
      <c r="F43" s="92">
        <v>1</v>
      </c>
      <c r="G43" s="93">
        <v>1</v>
      </c>
      <c r="H43" s="93">
        <v>1</v>
      </c>
      <c r="I43" s="95"/>
      <c r="K43" s="36"/>
    </row>
    <row r="44" spans="1:13" x14ac:dyDescent="0.25">
      <c r="A44" s="69"/>
      <c r="B44" s="32" t="s">
        <v>154</v>
      </c>
      <c r="C44" s="33" t="s">
        <v>180</v>
      </c>
      <c r="D44" s="92">
        <v>1</v>
      </c>
      <c r="E44" s="92">
        <v>1</v>
      </c>
      <c r="F44" s="92">
        <v>1</v>
      </c>
      <c r="G44" s="93">
        <v>1</v>
      </c>
      <c r="H44" s="93">
        <v>1</v>
      </c>
      <c r="I44" s="95"/>
      <c r="K44" s="36"/>
    </row>
    <row r="45" spans="1:13" x14ac:dyDescent="0.25">
      <c r="A45" s="69"/>
      <c r="B45" s="32" t="s">
        <v>154</v>
      </c>
      <c r="C45" s="126" t="s">
        <v>179</v>
      </c>
      <c r="D45" s="92">
        <v>1</v>
      </c>
      <c r="E45" s="92">
        <v>1</v>
      </c>
      <c r="F45" s="92">
        <v>1</v>
      </c>
      <c r="G45" s="93">
        <v>1</v>
      </c>
      <c r="H45" s="93">
        <v>1</v>
      </c>
      <c r="I45" s="95"/>
      <c r="K45" s="36"/>
    </row>
    <row r="46" spans="1:13" x14ac:dyDescent="0.25">
      <c r="A46" s="69"/>
      <c r="B46" s="32" t="s">
        <v>154</v>
      </c>
      <c r="C46" s="126" t="s">
        <v>181</v>
      </c>
      <c r="D46" s="92">
        <v>1</v>
      </c>
      <c r="E46" s="92">
        <v>1</v>
      </c>
      <c r="F46" s="92">
        <v>1</v>
      </c>
      <c r="G46" s="93">
        <v>1</v>
      </c>
      <c r="H46" s="93">
        <v>1</v>
      </c>
      <c r="I46" s="95"/>
      <c r="K46" s="36"/>
    </row>
    <row r="47" spans="1:13" s="88" customFormat="1" x14ac:dyDescent="0.25">
      <c r="A47" s="89"/>
      <c r="B47" s="96" t="s">
        <v>155</v>
      </c>
      <c r="C47" s="33" t="s">
        <v>180</v>
      </c>
      <c r="D47" s="92">
        <v>1</v>
      </c>
      <c r="E47" s="92">
        <v>1.1499999999999999</v>
      </c>
      <c r="F47" s="92">
        <v>1.07</v>
      </c>
      <c r="G47" s="92">
        <v>1.07</v>
      </c>
      <c r="H47" s="92">
        <v>1.07</v>
      </c>
      <c r="I47" s="97"/>
      <c r="K47" s="98"/>
      <c r="M47" s="98"/>
    </row>
    <row r="48" spans="1:13" s="88" customFormat="1" x14ac:dyDescent="0.25">
      <c r="A48" s="89"/>
      <c r="B48" s="99" t="s">
        <v>155</v>
      </c>
      <c r="C48" s="126" t="s">
        <v>179</v>
      </c>
      <c r="D48" s="94">
        <v>1</v>
      </c>
      <c r="E48" s="94">
        <v>1</v>
      </c>
      <c r="F48" s="94">
        <v>0.85</v>
      </c>
      <c r="G48" s="94">
        <v>0.8</v>
      </c>
      <c r="H48" s="94">
        <v>0.8</v>
      </c>
      <c r="I48" s="97"/>
      <c r="K48" s="98"/>
      <c r="M48" s="98"/>
    </row>
    <row r="49" spans="1:13" s="88" customFormat="1" x14ac:dyDescent="0.25">
      <c r="A49" s="89"/>
      <c r="B49" s="99" t="s">
        <v>155</v>
      </c>
      <c r="C49" s="126" t="s">
        <v>181</v>
      </c>
      <c r="D49" s="92">
        <v>1</v>
      </c>
      <c r="E49" s="92">
        <v>1</v>
      </c>
      <c r="F49" s="92">
        <v>1</v>
      </c>
      <c r="G49" s="93">
        <v>1</v>
      </c>
      <c r="H49" s="93">
        <v>1</v>
      </c>
      <c r="I49" s="97"/>
      <c r="K49" s="98"/>
      <c r="M49" s="98"/>
    </row>
    <row r="50" spans="1:13" x14ac:dyDescent="0.25">
      <c r="A50" s="69"/>
      <c r="B50" s="32" t="s">
        <v>156</v>
      </c>
      <c r="C50" s="33" t="s">
        <v>180</v>
      </c>
      <c r="D50" s="92">
        <v>1</v>
      </c>
      <c r="E50" s="92">
        <v>1</v>
      </c>
      <c r="F50" s="92">
        <v>0.95</v>
      </c>
      <c r="G50" s="92">
        <v>0.95</v>
      </c>
      <c r="H50" s="92">
        <v>0.95</v>
      </c>
      <c r="I50" s="70"/>
    </row>
    <row r="51" spans="1:13" x14ac:dyDescent="0.25">
      <c r="A51" s="69"/>
      <c r="B51" s="100" t="s">
        <v>156</v>
      </c>
      <c r="C51" s="126" t="s">
        <v>179</v>
      </c>
      <c r="D51" s="94">
        <v>1</v>
      </c>
      <c r="E51" s="94">
        <v>1</v>
      </c>
      <c r="F51" s="94">
        <v>1</v>
      </c>
      <c r="G51" s="94">
        <v>0.9</v>
      </c>
      <c r="H51" s="94">
        <v>0.9</v>
      </c>
      <c r="I51" s="70"/>
    </row>
    <row r="52" spans="1:13" x14ac:dyDescent="0.25">
      <c r="A52" s="69"/>
      <c r="B52" s="100" t="s">
        <v>156</v>
      </c>
      <c r="C52" s="126" t="s">
        <v>181</v>
      </c>
      <c r="D52" s="92">
        <v>1</v>
      </c>
      <c r="E52" s="92">
        <v>1</v>
      </c>
      <c r="F52" s="92">
        <v>1</v>
      </c>
      <c r="G52" s="93">
        <v>1</v>
      </c>
      <c r="H52" s="93">
        <v>1</v>
      </c>
      <c r="I52" s="70"/>
    </row>
    <row r="53" spans="1:13" x14ac:dyDescent="0.25">
      <c r="A53" s="69"/>
      <c r="B53" s="32" t="s">
        <v>158</v>
      </c>
      <c r="C53" s="33" t="s">
        <v>180</v>
      </c>
      <c r="D53" s="92">
        <v>1</v>
      </c>
      <c r="E53" s="92">
        <v>1</v>
      </c>
      <c r="F53" s="92">
        <v>0.95</v>
      </c>
      <c r="G53" s="92">
        <v>0.95</v>
      </c>
      <c r="H53" s="92">
        <v>0.95</v>
      </c>
      <c r="I53" s="70"/>
    </row>
    <row r="54" spans="1:13" x14ac:dyDescent="0.25">
      <c r="A54" s="69"/>
      <c r="B54" s="100" t="s">
        <v>158</v>
      </c>
      <c r="C54" s="126" t="s">
        <v>179</v>
      </c>
      <c r="D54" s="94">
        <v>1</v>
      </c>
      <c r="E54" s="94">
        <v>1</v>
      </c>
      <c r="F54" s="94">
        <v>1</v>
      </c>
      <c r="G54" s="94">
        <v>0.9</v>
      </c>
      <c r="H54" s="94">
        <v>0.9</v>
      </c>
      <c r="I54" s="70"/>
    </row>
    <row r="55" spans="1:13" x14ac:dyDescent="0.25">
      <c r="A55" s="69"/>
      <c r="B55" s="100" t="s">
        <v>158</v>
      </c>
      <c r="C55" s="126" t="s">
        <v>181</v>
      </c>
      <c r="D55" s="92">
        <v>1</v>
      </c>
      <c r="E55" s="92">
        <v>1</v>
      </c>
      <c r="F55" s="92">
        <v>1</v>
      </c>
      <c r="G55" s="93">
        <v>1</v>
      </c>
      <c r="H55" s="93">
        <v>1</v>
      </c>
      <c r="I55" s="70"/>
    </row>
    <row r="56" spans="1:13" x14ac:dyDescent="0.25">
      <c r="A56" s="69"/>
      <c r="B56" s="32" t="s">
        <v>159</v>
      </c>
      <c r="C56" s="33" t="s">
        <v>180</v>
      </c>
      <c r="D56" s="92">
        <v>1</v>
      </c>
      <c r="E56" s="92">
        <v>1</v>
      </c>
      <c r="F56" s="92">
        <v>0.95</v>
      </c>
      <c r="G56" s="92">
        <v>0.95</v>
      </c>
      <c r="H56" s="92">
        <v>0.95</v>
      </c>
      <c r="I56" s="70"/>
    </row>
    <row r="57" spans="1:13" x14ac:dyDescent="0.25">
      <c r="A57" s="69"/>
      <c r="B57" s="100" t="s">
        <v>159</v>
      </c>
      <c r="C57" s="126" t="s">
        <v>179</v>
      </c>
      <c r="D57" s="94">
        <v>1</v>
      </c>
      <c r="E57" s="94">
        <v>1</v>
      </c>
      <c r="F57" s="94">
        <v>1</v>
      </c>
      <c r="G57" s="94">
        <v>0.9</v>
      </c>
      <c r="H57" s="94">
        <v>0.9</v>
      </c>
      <c r="I57" s="70"/>
    </row>
    <row r="58" spans="1:13" x14ac:dyDescent="0.25">
      <c r="A58" s="69"/>
      <c r="B58" s="100" t="s">
        <v>159</v>
      </c>
      <c r="C58" s="126" t="s">
        <v>181</v>
      </c>
      <c r="D58" s="92">
        <v>1</v>
      </c>
      <c r="E58" s="92">
        <v>1</v>
      </c>
      <c r="F58" s="92">
        <v>1</v>
      </c>
      <c r="G58" s="93">
        <v>1</v>
      </c>
      <c r="H58" s="93">
        <v>1</v>
      </c>
      <c r="I58" s="70"/>
    </row>
    <row r="59" spans="1:13" x14ac:dyDescent="0.25">
      <c r="A59" s="69"/>
      <c r="B59" s="32" t="s">
        <v>69</v>
      </c>
      <c r="C59" s="33" t="s">
        <v>180</v>
      </c>
      <c r="D59" s="92">
        <v>1</v>
      </c>
      <c r="E59" s="92">
        <v>1.1499999999999999</v>
      </c>
      <c r="F59" s="92">
        <v>1.07</v>
      </c>
      <c r="G59" s="92">
        <v>1.07</v>
      </c>
      <c r="H59" s="92">
        <v>1.07</v>
      </c>
      <c r="I59" s="70"/>
    </row>
    <row r="60" spans="1:13" x14ac:dyDescent="0.25">
      <c r="A60" s="69"/>
      <c r="B60" s="32" t="s">
        <v>69</v>
      </c>
      <c r="C60" s="33" t="s">
        <v>181</v>
      </c>
      <c r="D60" s="92">
        <v>1</v>
      </c>
      <c r="E60" s="92">
        <v>1.1499999999999999</v>
      </c>
      <c r="F60" s="92">
        <v>1.07</v>
      </c>
      <c r="G60" s="92">
        <v>1.07</v>
      </c>
      <c r="H60" s="92">
        <v>1.07</v>
      </c>
      <c r="I60" s="70"/>
    </row>
    <row r="61" spans="1:13" x14ac:dyDescent="0.25">
      <c r="A61" s="69"/>
      <c r="B61" s="32" t="s">
        <v>69</v>
      </c>
      <c r="C61" s="33" t="s">
        <v>179</v>
      </c>
      <c r="D61" s="92">
        <v>1</v>
      </c>
      <c r="E61" s="92">
        <v>1</v>
      </c>
      <c r="F61" s="92">
        <v>1</v>
      </c>
      <c r="G61" s="92">
        <v>1</v>
      </c>
      <c r="H61" s="92">
        <v>1</v>
      </c>
      <c r="I61" s="70"/>
    </row>
    <row r="62" spans="1:13" x14ac:dyDescent="0.25">
      <c r="A62" s="69"/>
      <c r="B62" s="32" t="s">
        <v>160</v>
      </c>
      <c r="C62" s="33" t="s">
        <v>180</v>
      </c>
      <c r="D62" s="92">
        <v>1</v>
      </c>
      <c r="E62" s="92">
        <v>1</v>
      </c>
      <c r="F62" s="92">
        <v>0.95</v>
      </c>
      <c r="G62" s="92">
        <v>0.95</v>
      </c>
      <c r="H62" s="92">
        <v>0.95</v>
      </c>
      <c r="I62" s="70"/>
    </row>
    <row r="63" spans="1:13" x14ac:dyDescent="0.25">
      <c r="A63" s="69"/>
      <c r="B63" s="100" t="s">
        <v>160</v>
      </c>
      <c r="C63" s="126" t="s">
        <v>179</v>
      </c>
      <c r="D63" s="94">
        <v>1</v>
      </c>
      <c r="E63" s="94">
        <v>1</v>
      </c>
      <c r="F63" s="94">
        <v>1</v>
      </c>
      <c r="G63" s="94">
        <v>0.9</v>
      </c>
      <c r="H63" s="94">
        <v>0.9</v>
      </c>
      <c r="I63" s="70"/>
    </row>
    <row r="64" spans="1:13" x14ac:dyDescent="0.25">
      <c r="A64" s="69"/>
      <c r="B64" s="100" t="s">
        <v>160</v>
      </c>
      <c r="C64" s="126" t="s">
        <v>181</v>
      </c>
      <c r="D64" s="92">
        <v>1</v>
      </c>
      <c r="E64" s="92">
        <v>1</v>
      </c>
      <c r="F64" s="92">
        <v>1</v>
      </c>
      <c r="G64" s="93">
        <v>1</v>
      </c>
      <c r="H64" s="93">
        <v>1</v>
      </c>
      <c r="I64" s="70"/>
    </row>
    <row r="65" spans="1:9" x14ac:dyDescent="0.25">
      <c r="A65" s="69"/>
      <c r="B65" s="32" t="s">
        <v>163</v>
      </c>
      <c r="C65" s="33" t="s">
        <v>180</v>
      </c>
      <c r="D65" s="92">
        <v>1</v>
      </c>
      <c r="E65" s="92">
        <v>1</v>
      </c>
      <c r="F65" s="92">
        <v>1</v>
      </c>
      <c r="G65" s="92">
        <v>1</v>
      </c>
      <c r="H65" s="92">
        <v>1</v>
      </c>
      <c r="I65" s="70"/>
    </row>
    <row r="66" spans="1:9" x14ac:dyDescent="0.25">
      <c r="A66" s="69"/>
      <c r="B66" s="32" t="s">
        <v>163</v>
      </c>
      <c r="C66" s="126" t="s">
        <v>179</v>
      </c>
      <c r="D66" s="92">
        <v>1</v>
      </c>
      <c r="E66" s="92">
        <v>1</v>
      </c>
      <c r="F66" s="92">
        <v>1</v>
      </c>
      <c r="G66" s="93">
        <v>1</v>
      </c>
      <c r="H66" s="93">
        <v>1</v>
      </c>
      <c r="I66" s="70"/>
    </row>
    <row r="67" spans="1:9" x14ac:dyDescent="0.25">
      <c r="A67" s="69"/>
      <c r="B67" s="32" t="s">
        <v>163</v>
      </c>
      <c r="C67" s="126" t="s">
        <v>181</v>
      </c>
      <c r="D67" s="92">
        <v>1</v>
      </c>
      <c r="E67" s="92">
        <v>1</v>
      </c>
      <c r="F67" s="92">
        <v>1</v>
      </c>
      <c r="G67" s="93">
        <v>1</v>
      </c>
      <c r="H67" s="93">
        <v>1</v>
      </c>
      <c r="I67" s="70"/>
    </row>
    <row r="68" spans="1:9" x14ac:dyDescent="0.25">
      <c r="A68" s="69"/>
      <c r="B68" s="32" t="s">
        <v>164</v>
      </c>
      <c r="C68" s="33" t="s">
        <v>180</v>
      </c>
      <c r="D68" s="92">
        <v>1</v>
      </c>
      <c r="E68" s="92">
        <v>1.1499999999999999</v>
      </c>
      <c r="F68" s="92">
        <v>1.07</v>
      </c>
      <c r="G68" s="92">
        <v>1.07</v>
      </c>
      <c r="H68" s="92">
        <v>1.07</v>
      </c>
      <c r="I68" s="70"/>
    </row>
    <row r="69" spans="1:9" x14ac:dyDescent="0.25">
      <c r="A69" s="69"/>
      <c r="B69" s="32" t="s">
        <v>164</v>
      </c>
      <c r="C69" s="33" t="s">
        <v>181</v>
      </c>
      <c r="D69" s="92">
        <v>1</v>
      </c>
      <c r="E69" s="92">
        <v>1.1499999999999999</v>
      </c>
      <c r="F69" s="92">
        <v>1.07</v>
      </c>
      <c r="G69" s="92">
        <v>1.07</v>
      </c>
      <c r="H69" s="92">
        <v>1.07</v>
      </c>
      <c r="I69" s="70"/>
    </row>
    <row r="70" spans="1:9" x14ac:dyDescent="0.25">
      <c r="A70" s="69"/>
      <c r="B70" s="32" t="s">
        <v>164</v>
      </c>
      <c r="C70" s="126" t="s">
        <v>179</v>
      </c>
      <c r="D70" s="92">
        <v>1</v>
      </c>
      <c r="E70" s="92">
        <v>1</v>
      </c>
      <c r="F70" s="92">
        <v>1</v>
      </c>
      <c r="G70" s="93">
        <v>1</v>
      </c>
      <c r="H70" s="93">
        <v>1</v>
      </c>
      <c r="I70" s="70"/>
    </row>
    <row r="71" spans="1:9" x14ac:dyDescent="0.25">
      <c r="A71" s="69"/>
      <c r="B71" s="32" t="s">
        <v>165</v>
      </c>
      <c r="C71" s="33" t="s">
        <v>180</v>
      </c>
      <c r="D71" s="92">
        <v>1</v>
      </c>
      <c r="E71" s="92">
        <v>1.1499999999999999</v>
      </c>
      <c r="F71" s="92">
        <v>1.07</v>
      </c>
      <c r="G71" s="92">
        <v>1.07</v>
      </c>
      <c r="H71" s="92">
        <v>1.07</v>
      </c>
      <c r="I71" s="70"/>
    </row>
    <row r="72" spans="1:9" x14ac:dyDescent="0.25">
      <c r="A72" s="69"/>
      <c r="B72" s="32" t="s">
        <v>165</v>
      </c>
      <c r="C72" s="33" t="s">
        <v>181</v>
      </c>
      <c r="D72" s="92">
        <v>1</v>
      </c>
      <c r="E72" s="92">
        <v>1.1499999999999999</v>
      </c>
      <c r="F72" s="92">
        <v>1.07</v>
      </c>
      <c r="G72" s="92">
        <v>1.07</v>
      </c>
      <c r="H72" s="92">
        <v>1.07</v>
      </c>
      <c r="I72" s="70"/>
    </row>
    <row r="73" spans="1:9" x14ac:dyDescent="0.25">
      <c r="A73" s="69"/>
      <c r="B73" s="32" t="s">
        <v>165</v>
      </c>
      <c r="C73" s="126" t="s">
        <v>179</v>
      </c>
      <c r="D73" s="92">
        <v>1</v>
      </c>
      <c r="E73" s="92">
        <v>1</v>
      </c>
      <c r="F73" s="92">
        <v>1</v>
      </c>
      <c r="G73" s="93">
        <v>1</v>
      </c>
      <c r="H73" s="93">
        <v>1</v>
      </c>
      <c r="I73" s="70"/>
    </row>
    <row r="74" spans="1:9" x14ac:dyDescent="0.25">
      <c r="A74" s="69"/>
      <c r="B74" s="32" t="s">
        <v>166</v>
      </c>
      <c r="C74" s="33" t="s">
        <v>180</v>
      </c>
      <c r="D74" s="92">
        <v>1</v>
      </c>
      <c r="E74" s="92">
        <v>1</v>
      </c>
      <c r="F74" s="92">
        <v>0.85</v>
      </c>
      <c r="G74" s="92">
        <v>0.85</v>
      </c>
      <c r="H74" s="92">
        <v>0.85</v>
      </c>
      <c r="I74" s="70"/>
    </row>
    <row r="75" spans="1:9" x14ac:dyDescent="0.25">
      <c r="A75" s="69"/>
      <c r="B75" s="32" t="s">
        <v>166</v>
      </c>
      <c r="C75" s="126" t="s">
        <v>179</v>
      </c>
      <c r="D75" s="92">
        <v>1</v>
      </c>
      <c r="E75" s="92">
        <v>1</v>
      </c>
      <c r="F75" s="92">
        <v>1</v>
      </c>
      <c r="G75" s="93">
        <v>1</v>
      </c>
      <c r="H75" s="93">
        <v>1</v>
      </c>
      <c r="I75" s="70"/>
    </row>
    <row r="76" spans="1:9" x14ac:dyDescent="0.25">
      <c r="A76" s="69"/>
      <c r="B76" s="32" t="s">
        <v>166</v>
      </c>
      <c r="C76" s="126" t="s">
        <v>181</v>
      </c>
      <c r="D76" s="92">
        <v>1</v>
      </c>
      <c r="E76" s="92">
        <v>1</v>
      </c>
      <c r="F76" s="92">
        <v>1</v>
      </c>
      <c r="G76" s="93">
        <v>1</v>
      </c>
      <c r="H76" s="93">
        <v>1</v>
      </c>
      <c r="I76" s="70"/>
    </row>
    <row r="77" spans="1:9" x14ac:dyDescent="0.25">
      <c r="A77" s="69"/>
      <c r="B77" s="28" t="s">
        <v>168</v>
      </c>
      <c r="C77" s="33" t="s">
        <v>180</v>
      </c>
      <c r="D77" s="92">
        <v>1</v>
      </c>
      <c r="E77" s="92">
        <v>1</v>
      </c>
      <c r="F77" s="92">
        <v>1</v>
      </c>
      <c r="G77" s="92">
        <v>1</v>
      </c>
      <c r="H77" s="92">
        <v>1</v>
      </c>
      <c r="I77" s="70"/>
    </row>
    <row r="78" spans="1:9" x14ac:dyDescent="0.25">
      <c r="A78" s="69"/>
      <c r="B78" s="28" t="s">
        <v>168</v>
      </c>
      <c r="C78" s="126" t="s">
        <v>179</v>
      </c>
      <c r="D78" s="92">
        <v>1</v>
      </c>
      <c r="E78" s="92">
        <v>1</v>
      </c>
      <c r="F78" s="92">
        <v>1</v>
      </c>
      <c r="G78" s="93">
        <v>1</v>
      </c>
      <c r="H78" s="93">
        <v>1</v>
      </c>
      <c r="I78" s="70"/>
    </row>
    <row r="79" spans="1:9" x14ac:dyDescent="0.25">
      <c r="A79" s="69"/>
      <c r="B79" s="28" t="s">
        <v>168</v>
      </c>
      <c r="C79" s="126" t="s">
        <v>181</v>
      </c>
      <c r="D79" s="92">
        <v>1</v>
      </c>
      <c r="E79" s="92">
        <v>1</v>
      </c>
      <c r="F79" s="92">
        <v>1</v>
      </c>
      <c r="G79" s="93">
        <v>1</v>
      </c>
      <c r="H79" s="93">
        <v>1</v>
      </c>
      <c r="I79" s="70"/>
    </row>
    <row r="80" spans="1:9" x14ac:dyDescent="0.25">
      <c r="A80" s="69"/>
      <c r="B80" s="101" t="s">
        <v>169</v>
      </c>
      <c r="C80" s="47" t="s">
        <v>180</v>
      </c>
      <c r="D80" s="94">
        <v>1</v>
      </c>
      <c r="E80" s="94">
        <v>1.1499999999999999</v>
      </c>
      <c r="F80" s="94">
        <v>1.07</v>
      </c>
      <c r="G80" s="94">
        <v>1.25</v>
      </c>
      <c r="H80" s="94">
        <v>1.25</v>
      </c>
      <c r="I80" s="70"/>
    </row>
    <row r="81" spans="1:9" x14ac:dyDescent="0.25">
      <c r="A81" s="69"/>
      <c r="B81" s="101" t="s">
        <v>169</v>
      </c>
      <c r="C81" s="47" t="s">
        <v>181</v>
      </c>
      <c r="D81" s="94">
        <v>1</v>
      </c>
      <c r="E81" s="94">
        <v>1.1499999999999999</v>
      </c>
      <c r="F81" s="94">
        <v>1.07</v>
      </c>
      <c r="G81" s="94">
        <v>1.25</v>
      </c>
      <c r="H81" s="94">
        <v>1.25</v>
      </c>
      <c r="I81" s="70"/>
    </row>
    <row r="82" spans="1:9" x14ac:dyDescent="0.25">
      <c r="A82" s="69"/>
      <c r="B82" s="101" t="s">
        <v>169</v>
      </c>
      <c r="C82" s="47" t="s">
        <v>179</v>
      </c>
      <c r="D82" s="94">
        <v>1</v>
      </c>
      <c r="E82" s="94">
        <v>1</v>
      </c>
      <c r="F82" s="94">
        <v>0.9</v>
      </c>
      <c r="G82" s="94">
        <v>1.05</v>
      </c>
      <c r="H82" s="94">
        <v>1.05</v>
      </c>
      <c r="I82" s="70"/>
    </row>
    <row r="83" spans="1:9" ht="15.75" x14ac:dyDescent="0.25">
      <c r="A83" s="69"/>
      <c r="B83" t="s">
        <v>35</v>
      </c>
      <c r="C83" s="33" t="s">
        <v>180</v>
      </c>
      <c r="D83" s="92">
        <v>1</v>
      </c>
      <c r="E83" s="92">
        <v>1</v>
      </c>
      <c r="F83" s="92">
        <v>1</v>
      </c>
      <c r="G83" s="92">
        <v>1</v>
      </c>
      <c r="H83" s="94">
        <v>1.1499999999999999</v>
      </c>
      <c r="I83" s="70"/>
    </row>
    <row r="84" spans="1:9" ht="15.75" x14ac:dyDescent="0.25">
      <c r="A84" s="69"/>
      <c r="B84" t="s">
        <v>35</v>
      </c>
      <c r="C84" s="126" t="s">
        <v>179</v>
      </c>
      <c r="D84" s="92">
        <v>1</v>
      </c>
      <c r="E84" s="92">
        <v>1</v>
      </c>
      <c r="F84" s="92">
        <v>1</v>
      </c>
      <c r="G84" s="92">
        <v>1</v>
      </c>
      <c r="H84" s="94">
        <v>1.1000000000000001</v>
      </c>
      <c r="I84" s="70"/>
    </row>
    <row r="85" spans="1:9" ht="15.75" x14ac:dyDescent="0.25">
      <c r="A85" s="69"/>
      <c r="B85" t="s">
        <v>35</v>
      </c>
      <c r="C85" s="126" t="s">
        <v>181</v>
      </c>
      <c r="D85" s="92">
        <v>1</v>
      </c>
      <c r="E85" s="92">
        <v>1</v>
      </c>
      <c r="F85" s="92">
        <v>1</v>
      </c>
      <c r="G85" s="93">
        <v>1</v>
      </c>
      <c r="H85" s="93">
        <v>1</v>
      </c>
      <c r="I85" s="70"/>
    </row>
    <row r="86" spans="1:9" x14ac:dyDescent="0.25">
      <c r="A86" s="78"/>
      <c r="B86" s="79"/>
      <c r="C86" s="79"/>
      <c r="D86" s="79"/>
      <c r="E86" s="79"/>
      <c r="F86" s="79"/>
      <c r="G86" s="79"/>
      <c r="H86" s="79"/>
      <c r="I86" s="80"/>
    </row>
    <row r="88" spans="1:9" x14ac:dyDescent="0.25">
      <c r="A88" s="148" t="s">
        <v>381</v>
      </c>
      <c r="B88" s="149"/>
      <c r="C88" s="149"/>
      <c r="D88" s="149"/>
      <c r="E88" s="150"/>
    </row>
    <row r="89" spans="1:9" x14ac:dyDescent="0.25">
      <c r="A89" s="69"/>
      <c r="E89" s="70"/>
    </row>
    <row r="90" spans="1:9" x14ac:dyDescent="0.25">
      <c r="A90" s="69"/>
      <c r="C90" s="28" t="s">
        <v>145</v>
      </c>
      <c r="D90" s="39" t="s">
        <v>148</v>
      </c>
      <c r="E90" s="102"/>
      <c r="F90" s="39"/>
      <c r="G90" s="39"/>
    </row>
    <row r="91" spans="1:9" x14ac:dyDescent="0.25">
      <c r="A91" s="69"/>
      <c r="B91" s="28" t="s">
        <v>382</v>
      </c>
      <c r="C91" s="33">
        <v>1.5</v>
      </c>
      <c r="D91" s="33">
        <v>2.5</v>
      </c>
      <c r="E91" s="70"/>
    </row>
    <row r="92" spans="1:9" x14ac:dyDescent="0.25">
      <c r="A92" s="69"/>
      <c r="B92" s="28" t="s">
        <v>383</v>
      </c>
      <c r="C92" s="33">
        <v>1.5</v>
      </c>
      <c r="D92" s="33">
        <v>1.8</v>
      </c>
      <c r="E92" s="70"/>
    </row>
    <row r="93" spans="1:9" x14ac:dyDescent="0.25">
      <c r="A93" s="78"/>
      <c r="B93" s="79"/>
      <c r="C93" s="79"/>
      <c r="D93" s="79"/>
      <c r="E93" s="80"/>
    </row>
    <row r="95" spans="1:9" x14ac:dyDescent="0.25">
      <c r="A95" s="148" t="s">
        <v>384</v>
      </c>
      <c r="B95" s="149"/>
      <c r="C95" s="149"/>
      <c r="D95" s="150"/>
      <c r="E95" s="28"/>
    </row>
    <row r="96" spans="1:9" x14ac:dyDescent="0.25">
      <c r="A96" s="69"/>
      <c r="D96" s="70"/>
    </row>
    <row r="97" spans="1:9" x14ac:dyDescent="0.25">
      <c r="A97" s="69"/>
      <c r="C97" s="39" t="s">
        <v>148</v>
      </c>
      <c r="D97" s="70"/>
    </row>
    <row r="98" spans="1:9" x14ac:dyDescent="0.25">
      <c r="A98" s="69"/>
      <c r="B98" s="28" t="s">
        <v>69</v>
      </c>
      <c r="C98" s="33">
        <v>0.88</v>
      </c>
      <c r="D98" s="70" t="s">
        <v>385</v>
      </c>
      <c r="I98" s="32"/>
    </row>
    <row r="99" spans="1:9" x14ac:dyDescent="0.25">
      <c r="A99" s="69"/>
      <c r="B99" s="28" t="s">
        <v>386</v>
      </c>
      <c r="C99" s="33">
        <v>0.08</v>
      </c>
      <c r="D99" s="70" t="s">
        <v>385</v>
      </c>
    </row>
    <row r="100" spans="1:9" x14ac:dyDescent="0.25">
      <c r="A100" s="69"/>
      <c r="B100" s="28" t="s">
        <v>387</v>
      </c>
      <c r="C100" s="33">
        <v>0.04</v>
      </c>
      <c r="D100" s="70" t="s">
        <v>385</v>
      </c>
    </row>
    <row r="101" spans="1:9" x14ac:dyDescent="0.25">
      <c r="A101" s="78"/>
      <c r="B101" s="79"/>
      <c r="C101" s="79"/>
      <c r="D101" s="80"/>
    </row>
    <row r="103" spans="1:9" x14ac:dyDescent="0.25">
      <c r="A103" s="148" t="s">
        <v>388</v>
      </c>
      <c r="B103" s="149"/>
      <c r="C103" s="149"/>
      <c r="D103" s="150"/>
    </row>
    <row r="104" spans="1:9" x14ac:dyDescent="0.25">
      <c r="A104" s="69"/>
      <c r="D104" s="70"/>
    </row>
    <row r="105" spans="1:9" x14ac:dyDescent="0.25">
      <c r="A105" s="69"/>
      <c r="C105" s="39" t="s">
        <v>148</v>
      </c>
      <c r="D105" s="70"/>
    </row>
    <row r="106" spans="1:9" x14ac:dyDescent="0.25">
      <c r="A106" s="69"/>
      <c r="B106" s="28" t="s">
        <v>386</v>
      </c>
      <c r="C106" s="33">
        <v>0.19</v>
      </c>
      <c r="D106" s="70"/>
    </row>
    <row r="107" spans="1:9" x14ac:dyDescent="0.25">
      <c r="A107" s="69"/>
      <c r="B107" s="28" t="s">
        <v>387</v>
      </c>
      <c r="C107" s="33">
        <v>0.28999999999999998</v>
      </c>
      <c r="D107" s="70"/>
    </row>
    <row r="108" spans="1:9" x14ac:dyDescent="0.25">
      <c r="A108" s="78"/>
      <c r="B108" s="79"/>
      <c r="C108" s="79"/>
      <c r="D108" s="80"/>
    </row>
  </sheetData>
  <mergeCells count="8">
    <mergeCell ref="A95:D95"/>
    <mergeCell ref="A103:D103"/>
    <mergeCell ref="A1:G1"/>
    <mergeCell ref="A11:I11"/>
    <mergeCell ref="A19:H19"/>
    <mergeCell ref="A29:H29"/>
    <mergeCell ref="A35:I35"/>
    <mergeCell ref="A88:E8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27</vt:i4>
      </vt:variant>
      <vt:variant>
        <vt:lpstr>Benannte Bereiche</vt:lpstr>
      </vt:variant>
      <vt:variant>
        <vt:i4>190</vt:i4>
      </vt:variant>
    </vt:vector>
  </HeadingPairs>
  <TitlesOfParts>
    <vt:vector size="217" baseType="lpstr">
      <vt:lpstr>Start</vt:lpstr>
      <vt:lpstr>Übersicht</vt:lpstr>
      <vt:lpstr>Plots</vt:lpstr>
      <vt:lpstr>Technologiedaten_POD</vt:lpstr>
      <vt:lpstr>Technologiedatenbasis</vt:lpstr>
      <vt:lpstr>Verbesserungsfaktoren</vt:lpstr>
      <vt:lpstr>rf_pv_ver_basis</vt:lpstr>
      <vt:lpstr>rf_pv_ver_klassisch</vt:lpstr>
      <vt:lpstr>rf_pv_ver_Trend</vt:lpstr>
      <vt:lpstr>rf_pv_ver_Autonom</vt:lpstr>
      <vt:lpstr>rf_pv_ver_Optimiert</vt:lpstr>
      <vt:lpstr>rf_pv_ver_Pod</vt:lpstr>
      <vt:lpstr>rf_pv_typen</vt:lpstr>
      <vt:lpstr>rf_pv_strecken</vt:lpstr>
      <vt:lpstr>rf_pv_erg_styp</vt:lpstr>
      <vt:lpstr>Tabelle1</vt:lpstr>
      <vt:lpstr>rf_gv_ver_basis</vt:lpstr>
      <vt:lpstr>rf_gv_ver_Klassisch</vt:lpstr>
      <vt:lpstr>rf_gv_ver_Trend</vt:lpstr>
      <vt:lpstr>rf_gv_ver_Autonom</vt:lpstr>
      <vt:lpstr>rf_gv_ver_Optimiert</vt:lpstr>
      <vt:lpstr>rf_gv_ver_Pod</vt:lpstr>
      <vt:lpstr>Tabelle2</vt:lpstr>
      <vt:lpstr>rf_gv_erg</vt:lpstr>
      <vt:lpstr>rf_gv_strecken</vt:lpstr>
      <vt:lpstr>rf_staedte</vt:lpstr>
      <vt:lpstr>Allgemeine Daten</vt:lpstr>
      <vt:lpstr>Autonom</vt:lpstr>
      <vt:lpstr>Bike_SharingAuslastung</vt:lpstr>
      <vt:lpstr>Bike_SharingEnergieverbrauch</vt:lpstr>
      <vt:lpstr>Bike_SharingKosten</vt:lpstr>
      <vt:lpstr>Bike_SharingNOx</vt:lpstr>
      <vt:lpstr>Bike_SharingPM</vt:lpstr>
      <vt:lpstr>Bike_SharingTHG</vt:lpstr>
      <vt:lpstr>Bike_SharingUnfallrisiko</vt:lpstr>
      <vt:lpstr>Bike_SharingVerfuegbarkeit</vt:lpstr>
      <vt:lpstr>BinnenschiffeAuslastung</vt:lpstr>
      <vt:lpstr>BinnenschiffeEnergieverbrauch</vt:lpstr>
      <vt:lpstr>BinnenschiffeKosten</vt:lpstr>
      <vt:lpstr>BinnenschiffeNOx</vt:lpstr>
      <vt:lpstr>BinnenschiffePM</vt:lpstr>
      <vt:lpstr>BinnenschiffeTHG</vt:lpstr>
      <vt:lpstr>BinnenschiffeUnfallrisiko</vt:lpstr>
      <vt:lpstr>BusAuslastung</vt:lpstr>
      <vt:lpstr>BusEnergieverbrauch</vt:lpstr>
      <vt:lpstr>BusKosten</vt:lpstr>
      <vt:lpstr>BusNOx</vt:lpstr>
      <vt:lpstr>BusPM</vt:lpstr>
      <vt:lpstr>BusTHG</vt:lpstr>
      <vt:lpstr>BusUnfallrisiko</vt:lpstr>
      <vt:lpstr>BusVerfuegbarkeit</vt:lpstr>
      <vt:lpstr>E_BikeAuslastung</vt:lpstr>
      <vt:lpstr>E_BikeEnergieverbrauch</vt:lpstr>
      <vt:lpstr>E_BikeKosten</vt:lpstr>
      <vt:lpstr>E_BikeNOx</vt:lpstr>
      <vt:lpstr>E_BikePM</vt:lpstr>
      <vt:lpstr>E_BikeTHG</vt:lpstr>
      <vt:lpstr>E_BikeUnfallrisiko</vt:lpstr>
      <vt:lpstr>E_BikeVerfuegbarkeit</vt:lpstr>
      <vt:lpstr>FahrradAuslastung</vt:lpstr>
      <vt:lpstr>FahrradEnergieverbrauch</vt:lpstr>
      <vt:lpstr>FahrradKosten</vt:lpstr>
      <vt:lpstr>FahrradNOx</vt:lpstr>
      <vt:lpstr>FahrradPM</vt:lpstr>
      <vt:lpstr>FahrradTHG</vt:lpstr>
      <vt:lpstr>FahrradUnfallrisiko</vt:lpstr>
      <vt:lpstr>FahrradVerfuegbarkeit</vt:lpstr>
      <vt:lpstr>FlugzeugAuslastung</vt:lpstr>
      <vt:lpstr>FlugzeugEnergieverbrauch</vt:lpstr>
      <vt:lpstr>FlugzeugKosten</vt:lpstr>
      <vt:lpstr>FlugzeugNOx</vt:lpstr>
      <vt:lpstr>FlugzeugPM</vt:lpstr>
      <vt:lpstr>FlugzeugTHG</vt:lpstr>
      <vt:lpstr>FlugzeugUnfallrisiko</vt:lpstr>
      <vt:lpstr>FlugzeugVerfuegbarkeit</vt:lpstr>
      <vt:lpstr>GüterzugAuslastung</vt:lpstr>
      <vt:lpstr>GüterzugEnergieverbrauch</vt:lpstr>
      <vt:lpstr>GüterzugKosten</vt:lpstr>
      <vt:lpstr>GüterzugNOx</vt:lpstr>
      <vt:lpstr>GüterzugPM</vt:lpstr>
      <vt:lpstr>GüterzugTHG</vt:lpstr>
      <vt:lpstr>GüterzugUnfallrisiko</vt:lpstr>
      <vt:lpstr>LkwAuslastung</vt:lpstr>
      <vt:lpstr>LkwEnergieverbrauch</vt:lpstr>
      <vt:lpstr>LkwKosten</vt:lpstr>
      <vt:lpstr>LkwNOx</vt:lpstr>
      <vt:lpstr>LkwPM</vt:lpstr>
      <vt:lpstr>LkwTHG</vt:lpstr>
      <vt:lpstr>LkwUnfallrisiko</vt:lpstr>
      <vt:lpstr>lNutzfahrzeugeAuslastung</vt:lpstr>
      <vt:lpstr>lNutzfahrzeugeEnergieverbrauch</vt:lpstr>
      <vt:lpstr>lNutzfahrzeugeKosten</vt:lpstr>
      <vt:lpstr>lNutzfahrzeugeNOx</vt:lpstr>
      <vt:lpstr>lNutzfahrzeugePM</vt:lpstr>
      <vt:lpstr>lNutzfahrzeugeTHG</vt:lpstr>
      <vt:lpstr>lNutzfahrzeugeUnfallrisiko</vt:lpstr>
      <vt:lpstr>MIVAuslastung</vt:lpstr>
      <vt:lpstr>MIVEnergieverbrauch</vt:lpstr>
      <vt:lpstr>MIVKosten</vt:lpstr>
      <vt:lpstr>MIVNOx</vt:lpstr>
      <vt:lpstr>MIVPM</vt:lpstr>
      <vt:lpstr>MIVTHG</vt:lpstr>
      <vt:lpstr>MIVUnfallrisiko</vt:lpstr>
      <vt:lpstr>MIVVerfuegbarkeit</vt:lpstr>
      <vt:lpstr>Optimiert</vt:lpstr>
      <vt:lpstr>Pod</vt:lpstr>
      <vt:lpstr>Pod_GüterverkehrAuslastung</vt:lpstr>
      <vt:lpstr>Pod_GüterverkehrEnergieverbrauch</vt:lpstr>
      <vt:lpstr>Pod_GüterverkehrKosten</vt:lpstr>
      <vt:lpstr>Pod_GüterverkehrNOx</vt:lpstr>
      <vt:lpstr>Pod_GüterverkehrPM</vt:lpstr>
      <vt:lpstr>Pod_GüterverkehrTHG</vt:lpstr>
      <vt:lpstr>Pod_GüterverkehrUnfallrisiko</vt:lpstr>
      <vt:lpstr>Pod_Schiene_CargoAuslastung</vt:lpstr>
      <vt:lpstr>Pod_Schiene_CargoEnergieverbrauch</vt:lpstr>
      <vt:lpstr>Pod_Schiene_CargoKosten</vt:lpstr>
      <vt:lpstr>Pod_Schiene_CargoNOx</vt:lpstr>
      <vt:lpstr>Pod_Schiene_CargoPM</vt:lpstr>
      <vt:lpstr>Pod_Schiene_CargoTHG</vt:lpstr>
      <vt:lpstr>Pod_Schiene_CargoUnfallrisiko</vt:lpstr>
      <vt:lpstr>Pod_Schiene_Fern_BigAuslastung</vt:lpstr>
      <vt:lpstr>Pod_Schiene_Fern_BigEnergieverbrauch</vt:lpstr>
      <vt:lpstr>Pod_Schiene_Fern_BigKosten</vt:lpstr>
      <vt:lpstr>Pod_Schiene_Fern_BigNOx</vt:lpstr>
      <vt:lpstr>Pod_Schiene_Fern_BigPM</vt:lpstr>
      <vt:lpstr>Pod_Schiene_Fern_BigTHG</vt:lpstr>
      <vt:lpstr>Pod_Schiene_Fern_BigUnfallrisiko</vt:lpstr>
      <vt:lpstr>Pod_Schiene_Fern_BigVerfuegbarkeit</vt:lpstr>
      <vt:lpstr>Pod_Schiene_Fern_SmallAuslastung</vt:lpstr>
      <vt:lpstr>Pod_Schiene_Fern_SmallEnergieverbrauch</vt:lpstr>
      <vt:lpstr>Pod_Schiene_Fern_SmallKosten</vt:lpstr>
      <vt:lpstr>Pod_Schiene_Fern_SmallNOx</vt:lpstr>
      <vt:lpstr>Pod_Schiene_Fern_SmallPM</vt:lpstr>
      <vt:lpstr>Pod_Schiene_Fern_SmallTHG</vt:lpstr>
      <vt:lpstr>Pod_Schiene_Fern_SmallUnfallrisiko</vt:lpstr>
      <vt:lpstr>Pod_Schiene_Fern_SmallVerfuegbarkeit</vt:lpstr>
      <vt:lpstr>Pod_Schiene_Nah_BigAuslastung</vt:lpstr>
      <vt:lpstr>Pod_Schiene_Nah_BigEnergieverbrauch</vt:lpstr>
      <vt:lpstr>Pod_Schiene_Nah_BigKosten</vt:lpstr>
      <vt:lpstr>Pod_Schiene_Nah_BigNOx</vt:lpstr>
      <vt:lpstr>Pod_Schiene_Nah_BigPM</vt:lpstr>
      <vt:lpstr>Pod_Schiene_Nah_BigTHG</vt:lpstr>
      <vt:lpstr>Pod_Schiene_Nah_BigUnfallrisiko</vt:lpstr>
      <vt:lpstr>Pod_Schiene_Nah_BigVerfuegbarkeit</vt:lpstr>
      <vt:lpstr>Pod_Schiene_Nah_SmallAuslastung</vt:lpstr>
      <vt:lpstr>Pod_Schiene_Nah_SmallEnergieverbrauch</vt:lpstr>
      <vt:lpstr>Pod_Schiene_Nah_SmallKosten</vt:lpstr>
      <vt:lpstr>Pod_Schiene_Nah_SmallNOx</vt:lpstr>
      <vt:lpstr>Pod_Schiene_Nah_SmallPM</vt:lpstr>
      <vt:lpstr>Pod_Schiene_Nah_SmallTHG</vt:lpstr>
      <vt:lpstr>Pod_Schiene_Nah_SmallUnfallrisiko</vt:lpstr>
      <vt:lpstr>Pod_Schiene_Nah_SmallVerfuegbarkeit</vt:lpstr>
      <vt:lpstr>Pod_Straße_BigAuslastung</vt:lpstr>
      <vt:lpstr>Pod_Straße_BigEnergieverbrauch</vt:lpstr>
      <vt:lpstr>Pod_Straße_BigKosten</vt:lpstr>
      <vt:lpstr>Pod_Straße_BigNOx</vt:lpstr>
      <vt:lpstr>Pod_Straße_BigPM</vt:lpstr>
      <vt:lpstr>Pod_Straße_BigTHG</vt:lpstr>
      <vt:lpstr>Pod_Straße_BigUnfallrisiko</vt:lpstr>
      <vt:lpstr>Pod_Straße_BigVerfuegbarkeit</vt:lpstr>
      <vt:lpstr>Pod_Straße_SmallAuslastung</vt:lpstr>
      <vt:lpstr>Pod_Straße_SmallEnergieverbrauch</vt:lpstr>
      <vt:lpstr>Pod_Straße_SmallKosten</vt:lpstr>
      <vt:lpstr>Pod_Straße_SmallNOx</vt:lpstr>
      <vt:lpstr>Pod_Straße_SmallPM</vt:lpstr>
      <vt:lpstr>Pod_Straße_SmallTHG</vt:lpstr>
      <vt:lpstr>Pod_Straße_SmallUnfallrisiko</vt:lpstr>
      <vt:lpstr>Pod_Straße_SmallVerfuegbarkeit</vt:lpstr>
      <vt:lpstr>TaxiAuslastung</vt:lpstr>
      <vt:lpstr>TaxiEnergieverbrauch</vt:lpstr>
      <vt:lpstr>TaxiKosten</vt:lpstr>
      <vt:lpstr>TaxiNOx</vt:lpstr>
      <vt:lpstr>TaxiPM</vt:lpstr>
      <vt:lpstr>TaxiTHG</vt:lpstr>
      <vt:lpstr>TaxiUnfallrisiko</vt:lpstr>
      <vt:lpstr>TaxiVerfuegbarkeit</vt:lpstr>
      <vt:lpstr>TramAuslastung</vt:lpstr>
      <vt:lpstr>TramEnergieverbrauch</vt:lpstr>
      <vt:lpstr>TramKosten</vt:lpstr>
      <vt:lpstr>TramNOx</vt:lpstr>
      <vt:lpstr>TramPM</vt:lpstr>
      <vt:lpstr>TramTHG</vt:lpstr>
      <vt:lpstr>TramUnfallrisiko</vt:lpstr>
      <vt:lpstr>TramVerfuegbarkeit</vt:lpstr>
      <vt:lpstr>Trendszenario</vt:lpstr>
      <vt:lpstr>U_BahnAuslastung</vt:lpstr>
      <vt:lpstr>U_BahnEnergieverbrauch</vt:lpstr>
      <vt:lpstr>U_BahnKosten</vt:lpstr>
      <vt:lpstr>U_BahnNOx</vt:lpstr>
      <vt:lpstr>U_BahnPM</vt:lpstr>
      <vt:lpstr>U_BahnTHG</vt:lpstr>
      <vt:lpstr>U_BahnUnfallrisiko</vt:lpstr>
      <vt:lpstr>U_BahnVerfuegbarkeit</vt:lpstr>
      <vt:lpstr>zu_FussAuslastung</vt:lpstr>
      <vt:lpstr>zu_FussEnergieverbrauch</vt:lpstr>
      <vt:lpstr>zu_FussKosten</vt:lpstr>
      <vt:lpstr>zu_FussNOx</vt:lpstr>
      <vt:lpstr>zu_FussPM</vt:lpstr>
      <vt:lpstr>zu_FussTHG</vt:lpstr>
      <vt:lpstr>zu_FussUnfallrisiko</vt:lpstr>
      <vt:lpstr>zu_FussVerfuegbarkeit</vt:lpstr>
      <vt:lpstr>Zug_FernverkehrAuslastung</vt:lpstr>
      <vt:lpstr>Zug_FernverkehrEnergieverbrauch</vt:lpstr>
      <vt:lpstr>Zug_FernverkehrKosten</vt:lpstr>
      <vt:lpstr>Zug_FernverkehrNOx</vt:lpstr>
      <vt:lpstr>Zug_FernverkehrPM</vt:lpstr>
      <vt:lpstr>Zug_FernverkehrTHG</vt:lpstr>
      <vt:lpstr>Zug_FernverkehrUnfallrisiko</vt:lpstr>
      <vt:lpstr>Zug_FernverkehrVerfuegbarkeit</vt:lpstr>
      <vt:lpstr>Zug_NahverkehrAuslastung</vt:lpstr>
      <vt:lpstr>Zug_NahverkehrEnergieverbrauch</vt:lpstr>
      <vt:lpstr>Zug_NahverkehrKosten</vt:lpstr>
      <vt:lpstr>Zug_NahverkehrNOx</vt:lpstr>
      <vt:lpstr>Zug_NahverkehrPM</vt:lpstr>
      <vt:lpstr>Zug_NahverkehrTHG</vt:lpstr>
      <vt:lpstr>Zug_NahverkehrUnfallrisiko</vt:lpstr>
      <vt:lpstr>Zug_NahverkehrVerfuegbarkeit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Meyer-Hollatz</dc:creator>
  <cp:lastModifiedBy>Tim Meyer-Hollatz</cp:lastModifiedBy>
  <dcterms:created xsi:type="dcterms:W3CDTF">2019-09-04T23:36:46Z</dcterms:created>
  <dcterms:modified xsi:type="dcterms:W3CDTF">2019-12-06T12:07:25Z</dcterms:modified>
</cp:coreProperties>
</file>