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Z:\develop\tools_by_python\kisho_michelin\"/>
    </mc:Choice>
  </mc:AlternateContent>
  <xr:revisionPtr revIDLastSave="0" documentId="8_{7718F29A-0C5C-41B8-BC96-E235471189B2}" xr6:coauthVersionLast="47" xr6:coauthVersionMax="47" xr10:uidLastSave="{00000000-0000-0000-0000-000000000000}"/>
  <bookViews>
    <workbookView xWindow="-98" yWindow="-98" windowWidth="25846" windowHeight="15526" xr2:uid="{9565F4FF-52CE-45E8-A74E-4C5827B5CF6E}"/>
  </bookViews>
  <sheets>
    <sheet name="棋書ミシュラン" sheetId="1" r:id="rId1"/>
    <sheet name="手順"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alcChain>
</file>

<file path=xl/sharedStrings.xml><?xml version="1.0" encoding="utf-8"?>
<sst xmlns="http://schemas.openxmlformats.org/spreadsheetml/2006/main" count="3030" uniqueCount="511">
  <si>
    <t>S</t>
  </si>
  <si>
    <t>角換わり</t>
  </si>
  <si>
    <t>島朗</t>
  </si>
  <si>
    <t>書名</t>
  </si>
  <si>
    <t>総合評価</t>
  </si>
  <si>
    <t>戦法</t>
  </si>
  <si>
    <t>著者</t>
  </si>
  <si>
    <t>発行年月</t>
  </si>
  <si>
    <t>四間飛車</t>
  </si>
  <si>
    <t>鈴木肇中村太地/推薦</t>
  </si>
  <si>
    <t>Sugar</t>
  </si>
  <si>
    <t>二歩千金</t>
  </si>
  <si>
    <t>B</t>
  </si>
  <si>
    <t>木村孝太郎</t>
  </si>
  <si>
    <t>A</t>
  </si>
  <si>
    <t>居飛車, 中飛車, 横歩取り, 角換わり</t>
  </si>
  <si>
    <t>千葉幸生</t>
  </si>
  <si>
    <t>北島忠雄</t>
  </si>
  <si>
    <t>B+</t>
  </si>
  <si>
    <t>大平武洋</t>
  </si>
  <si>
    <t>居飛車, 振り飛車</t>
  </si>
  <si>
    <t>羽生善治</t>
  </si>
  <si>
    <t>三間飛車</t>
  </si>
  <si>
    <t>池永天志</t>
  </si>
  <si>
    <t>嬉野宏明</t>
  </si>
  <si>
    <t>横歩取り, 四間飛車</t>
  </si>
  <si>
    <t>石井健太郎</t>
  </si>
  <si>
    <t>石川優太</t>
  </si>
  <si>
    <t>西川和宏</t>
  </si>
  <si>
    <t>中座真</t>
  </si>
  <si>
    <t>青嶋未来</t>
  </si>
  <si>
    <t>都成竜馬</t>
  </si>
  <si>
    <t>竹内雄悟</t>
  </si>
  <si>
    <t>本間博</t>
  </si>
  <si>
    <t>横歩取り</t>
  </si>
  <si>
    <t>上村亘</t>
  </si>
  <si>
    <t>居飛車, 角換わり</t>
  </si>
  <si>
    <t>渡辺大夢</t>
  </si>
  <si>
    <t>深浦康市</t>
  </si>
  <si>
    <t>将棋世界編集部</t>
  </si>
  <si>
    <t>C</t>
  </si>
  <si>
    <t>居飛車</t>
  </si>
  <si>
    <t>佐藤秀司</t>
  </si>
  <si>
    <t>石川泰　菅井竜也/推薦</t>
  </si>
  <si>
    <t>所司和晴</t>
  </si>
  <si>
    <t>振り飛車</t>
  </si>
  <si>
    <t>黒田尭之</t>
  </si>
  <si>
    <t>真田圭一</t>
  </si>
  <si>
    <t>さくらはな　山口恵梨子/協力</t>
  </si>
  <si>
    <t>あらきっぺ</t>
  </si>
  <si>
    <t>西田拓也</t>
  </si>
  <si>
    <t>本田奎</t>
  </si>
  <si>
    <t>A+</t>
  </si>
  <si>
    <t>宮本広志</t>
  </si>
  <si>
    <t>高野秀行　岡部敬史　さくらはな。/イラスト</t>
  </si>
  <si>
    <t>急戦矢倉入門として</t>
  </si>
  <si>
    <t>高橋道雄</t>
  </si>
  <si>
    <t>将棋世界編集部/編</t>
  </si>
  <si>
    <t>佐々木勇気</t>
  </si>
  <si>
    <t>居飛車, 横歩取り, 角換わり</t>
  </si>
  <si>
    <t>佐々木大地</t>
  </si>
  <si>
    <t>細川大市郎</t>
  </si>
  <si>
    <t>鈴木肇</t>
  </si>
  <si>
    <t>大石直嗣</t>
  </si>
  <si>
    <t>中飛車</t>
  </si>
  <si>
    <t>長谷部浩平</t>
  </si>
  <si>
    <t>藤森哲也</t>
  </si>
  <si>
    <t>大橋貴洸</t>
  </si>
  <si>
    <t>先崎学/原作　河合克夫/マンガ</t>
  </si>
  <si>
    <t>村田顕弘</t>
  </si>
  <si>
    <t>伊藤真吾</t>
  </si>
  <si>
    <t>青野照市</t>
  </si>
  <si>
    <t>斎藤慎太郎</t>
  </si>
  <si>
    <t>長岡裕也</t>
  </si>
  <si>
    <t>片上大輔</t>
  </si>
  <si>
    <t>及川拓馬</t>
  </si>
  <si>
    <t>鈴木英春</t>
  </si>
  <si>
    <t>加藤一二三</t>
  </si>
  <si>
    <t>今泉健司</t>
  </si>
  <si>
    <t>伊藤果</t>
  </si>
  <si>
    <t>杉本昌隆</t>
  </si>
  <si>
    <t>豊川孝弘</t>
  </si>
  <si>
    <t>飯島栄治</t>
  </si>
  <si>
    <t>安用寺孝功</t>
  </si>
  <si>
    <t>神谷広志</t>
  </si>
  <si>
    <t>古森悠太</t>
  </si>
  <si>
    <t>高野秀行　岡部敬史　さくらはな。/</t>
  </si>
  <si>
    <t>天野貴元</t>
  </si>
  <si>
    <t>杉本和陽</t>
  </si>
  <si>
    <t>小林裕士</t>
  </si>
  <si>
    <t>佐藤慎一</t>
  </si>
  <si>
    <t>八代弥</t>
  </si>
  <si>
    <t>門倉啓太</t>
  </si>
  <si>
    <t>&lt;前| No.1215 |次&gt;</t>
  </si>
  <si>
    <t>佐藤友康（将Give）</t>
  </si>
  <si>
    <t>978-4-07-431786-8</t>
  </si>
  <si>
    <t>居飛車, 三間飛車</t>
  </si>
  <si>
    <t>畠山鎮</t>
  </si>
  <si>
    <t>戸辺誠</t>
  </si>
  <si>
    <t>西尾明</t>
  </si>
  <si>
    <t>suimon</t>
  </si>
  <si>
    <t>高野秀行　岡部敬史　さくらはな。</t>
  </si>
  <si>
    <t>978-4-8399-6797-0</t>
  </si>
  <si>
    <t>小倉久史</t>
  </si>
  <si>
    <t>先崎学　中村太地</t>
  </si>
  <si>
    <t>谷川浩司</t>
  </si>
  <si>
    <t>増田康宏</t>
  </si>
  <si>
    <t>つるの剛士</t>
  </si>
  <si>
    <t>武市三郎　美馬和夫</t>
  </si>
  <si>
    <t>佐藤和俊</t>
  </si>
  <si>
    <t>所司和晴　近藤誠也　石田直裕　石井健太郎</t>
  </si>
  <si>
    <t>稲葉陽</t>
  </si>
  <si>
    <t>勝浦修</t>
  </si>
  <si>
    <t>みやびあきの/作画　maa坊/原作　広瀬章人/推薦</t>
  </si>
  <si>
    <t>週刊将棋/編</t>
  </si>
  <si>
    <t>島本亮</t>
  </si>
  <si>
    <t>居飛車, 横歩取り</t>
  </si>
  <si>
    <t>藤井猛</t>
  </si>
  <si>
    <t>羽生善治/監修</t>
  </si>
  <si>
    <t>佐藤天彦</t>
  </si>
  <si>
    <t>詰将棋パラダイス/編</t>
  </si>
  <si>
    <t>津江章二</t>
  </si>
  <si>
    <t>中飛車, 角換わり</t>
  </si>
  <si>
    <t>書籍編集部/編集</t>
  </si>
  <si>
    <t>森信雄</t>
  </si>
  <si>
    <t>岡田敏　【編】　週刊将棋</t>
  </si>
  <si>
    <t>日浦市郎</t>
  </si>
  <si>
    <t>神崎健二</t>
  </si>
  <si>
    <t>北浜健介</t>
  </si>
  <si>
    <t>佐藤康光</t>
  </si>
  <si>
    <t>中田功</t>
  </si>
  <si>
    <t>居飛車, 中飛車</t>
  </si>
  <si>
    <t>週刊将棋</t>
  </si>
  <si>
    <t>居飛車, 四間飛車</t>
  </si>
  <si>
    <t>久保利明</t>
  </si>
  <si>
    <t>小林健二</t>
  </si>
  <si>
    <t>中原誠　【編】　東公平</t>
  </si>
  <si>
    <t>加藤治郎</t>
  </si>
  <si>
    <t>1967年</t>
  </si>
  <si>
    <t>田中寅彦</t>
  </si>
  <si>
    <t>高田尚平</t>
  </si>
  <si>
    <t>三浦弘行</t>
  </si>
  <si>
    <t>森安秀光</t>
  </si>
  <si>
    <t>武者野勝巳</t>
  </si>
  <si>
    <t>中田章道</t>
  </si>
  <si>
    <t>武市三郎</t>
  </si>
  <si>
    <t>渡辺明/監修</t>
  </si>
  <si>
    <t>阿久津主税</t>
  </si>
  <si>
    <t>飯塚祐紀</t>
  </si>
  <si>
    <t>所司和晴　渡辺明/推薦</t>
  </si>
  <si>
    <t>所司和晴/著　渡辺明/推薦</t>
  </si>
  <si>
    <t>瀬川晶司</t>
  </si>
  <si>
    <t>鈴木大介</t>
  </si>
  <si>
    <t>豊島将之</t>
  </si>
  <si>
    <t>吉田正和</t>
  </si>
  <si>
    <t>将棋世界編集部ほか</t>
  </si>
  <si>
    <t>菅井竜也</t>
  </si>
  <si>
    <t>山崎隆之　野月浩貴</t>
  </si>
  <si>
    <t>阪口悟</t>
  </si>
  <si>
    <t>978-4-8399-4824-5</t>
  </si>
  <si>
    <t>広瀬章人</t>
  </si>
  <si>
    <t>高見泰地</t>
  </si>
  <si>
    <t>勝又清和</t>
  </si>
  <si>
    <t>近藤正和</t>
  </si>
  <si>
    <t>西尾明　大平武洋　村中秀史</t>
  </si>
  <si>
    <t>屋敷伸之</t>
  </si>
  <si>
    <t>木村一基</t>
  </si>
  <si>
    <t>中川大輔</t>
  </si>
  <si>
    <t>戸辺誠　中村太地　村山慈明　永瀬拓矢</t>
  </si>
  <si>
    <t>上野裕和</t>
  </si>
  <si>
    <t>藤倉勇樹</t>
  </si>
  <si>
    <t>山崎隆之</t>
  </si>
  <si>
    <t>糸谷哲郎</t>
  </si>
  <si>
    <t>&lt;前| No.1034 |次&gt;</t>
  </si>
  <si>
    <t>脇謙二　【編】　週刊将棋</t>
  </si>
  <si>
    <t>永瀬拓矢</t>
  </si>
  <si>
    <t>宮田敦史</t>
  </si>
  <si>
    <t>阿部健治郎</t>
  </si>
  <si>
    <t>羽生善治 【執筆・編集協力】 角建逸</t>
  </si>
  <si>
    <t>D</t>
  </si>
  <si>
    <t>佐々木慎</t>
  </si>
  <si>
    <t>金井恒太</t>
  </si>
  <si>
    <t>村山慈明</t>
  </si>
  <si>
    <t>豊島将之　糸谷哲郎　村田智弘</t>
  </si>
  <si>
    <t>滝誠一郎</t>
  </si>
  <si>
    <t>石橋幸緒</t>
  </si>
  <si>
    <t>先崎学</t>
  </si>
  <si>
    <t>���ｱ一生</t>
  </si>
  <si>
    <t>高橋和</t>
  </si>
  <si>
    <t>内藤國雄</t>
  </si>
  <si>
    <t>鈴木啓志　【推　薦】　森下卓</t>
  </si>
  <si>
    <t>米長邦雄</t>
  </si>
  <si>
    <t>中田宏樹</t>
  </si>
  <si>
    <t>野月浩貴</t>
  </si>
  <si>
    <t>森けい二　【監　修】　羽生善治</t>
  </si>
  <si>
    <t>居飛車, 中飛車, 四間飛車, 角換わり</t>
  </si>
  <si>
    <t>橋本崇載</t>
  </si>
  <si>
    <t>&lt;前| No.0966 |次&gt;</t>
  </si>
  <si>
    <t>天狗太郎</t>
  </si>
  <si>
    <t>&lt;前| No.0964 |次&gt;</t>
  </si>
  <si>
    <t>南芳一</t>
  </si>
  <si>
    <t>二上達也</t>
  </si>
  <si>
    <t>中村太地</t>
  </si>
  <si>
    <t>横山泰明</t>
  </si>
  <si>
    <t>原田泰夫</t>
  </si>
  <si>
    <t>1957年</t>
  </si>
  <si>
    <t>1956年</t>
  </si>
  <si>
    <t>谷川浩司　田中寅彦</t>
  </si>
  <si>
    <t>所司和晴　【推　薦】　渡辺明</t>
  </si>
  <si>
    <t>藤井ひろし　【監修】　加藤久康</t>
  </si>
  <si>
    <t>神吉宏充</t>
  </si>
  <si>
    <t>渡辺明</t>
  </si>
  <si>
    <t>横歩取り, 中飛車</t>
  </si>
  <si>
    <t>森けい二</t>
  </si>
  <si>
    <t>浦野真彦</t>
  </si>
  <si>
    <t>E</t>
  </si>
  <si>
    <t>矢内理絵子</t>
  </si>
  <si>
    <t>大内延介</t>
  </si>
  <si>
    <t>芹沢博文</t>
  </si>
  <si>
    <t>出版年月不明</t>
  </si>
  <si>
    <t>佐藤大五郎</t>
  </si>
  <si>
    <t>1974年</t>
  </si>
  <si>
    <t>行方尚史</t>
  </si>
  <si>
    <t>1966年</t>
  </si>
  <si>
    <t>金子タカシ</t>
  </si>
  <si>
    <t>岡嶋裕史</t>
  </si>
  <si>
    <t>将棋世界</t>
  </si>
  <si>
    <t>遠山雄亮</t>
  </si>
  <si>
    <t>梅田望夫</t>
  </si>
  <si>
    <t>朝日新聞文化グループ</t>
  </si>
  <si>
    <t>窪田義行</t>
  </si>
  <si>
    <t>高林譲司</t>
  </si>
  <si>
    <t>?</t>
  </si>
  <si>
    <t>里見香奈</t>
  </si>
  <si>
    <t>清水孝晏　【監　修】　中原誠</t>
  </si>
  <si>
    <t>飯野健二</t>
  </si>
  <si>
    <t>先崎学　北尾まどか</t>
  </si>
  <si>
    <t>北村昌男</t>
  </si>
  <si>
    <t>NHK出版</t>
  </si>
  <si>
    <t>鈴木宏彦</t>
  </si>
  <si>
    <t>中村亮介</t>
  </si>
  <si>
    <t>増田裕司</t>
  </si>
  <si>
    <t>四間飛車, 角換わり</t>
  </si>
  <si>
    <t>佐藤庄平</t>
  </si>
  <si>
    <t>1975年</t>
  </si>
  <si>
    <t>NHK「プロフェッショナル」制作班</t>
  </si>
  <si>
    <t>五十嵐豊一</t>
  </si>
  <si>
    <t>内藤国雄</t>
  </si>
  <si>
    <t>関根茂</t>
  </si>
  <si>
    <t>森けい二　里見香奈</t>
  </si>
  <si>
    <t>森内俊之</t>
  </si>
  <si>
    <t>詰将棋パラダイス 週刊将棋</t>
  </si>
  <si>
    <t>読売新聞社</t>
  </si>
  <si>
    <t>泉正樹</t>
  </si>
  <si>
    <t>中原誠</t>
  </si>
  <si>
    <t>森下卓</t>
  </si>
  <si>
    <t>日本将棋連盟書籍</t>
  </si>
  <si>
    <t>原田泰夫　田辺忠幸</t>
  </si>
  <si>
    <t>宮崎国夫</t>
  </si>
  <si>
    <t>中原誠　【編】　日本棋道協会</t>
  </si>
  <si>
    <t>古作登　【監　修】　渡辺明</t>
  </si>
  <si>
    <t>三浦良　【イラスト】　ぽぽるちゃ</t>
  </si>
  <si>
    <t>毎日新聞社</t>
  </si>
  <si>
    <t>畠山成幸</t>
  </si>
  <si>
    <t>横歩取り, 角換わり</t>
  </si>
  <si>
    <t>��野秀行</t>
  </si>
  <si>
    <t>週刊将棋 【監修】 渡辺明</t>
  </si>
  <si>
    <t>沼春雄</t>
  </si>
  <si>
    <t>東大将棋部</t>
  </si>
  <si>
    <t>椎名龍一</t>
  </si>
  <si>
    <t>戸辺誠　遠山雄亮　長岡裕也　高�ｱ一生</t>
  </si>
  <si>
    <t>中井広恵</t>
  </si>
  <si>
    <t>水島新司</t>
  </si>
  <si>
    <t>-</t>
  </si>
  <si>
    <t>広瀬章人　遠藤正樹</t>
  </si>
  <si>
    <t>&lt;前| No.0686 |次&gt;</t>
  </si>
  <si>
    <t>&lt;前| No.0673 |次&gt;</t>
  </si>
  <si>
    <t>保木邦仁　渡辺明</t>
  </si>
  <si>
    <t>淡路仁茂</t>
  </si>
  <si>
    <t>塚田泰明</t>
  </si>
  <si>
    <t>加納敏</t>
  </si>
  <si>
    <t>升田幸三</t>
  </si>
  <si>
    <t>1973年</t>
  </si>
  <si>
    <t>大山康晴</t>
  </si>
  <si>
    <t>羽生善治　【協力】　木屋太二</t>
  </si>
  <si>
    <t>1975年?</t>
  </si>
  <si>
    <t>日本将棋連盟書籍編集部</t>
  </si>
  <si>
    <t>佐瀬勇次</t>
  </si>
  <si>
    <t>炬口勝弘</t>
  </si>
  <si>
    <t>田中至</t>
  </si>
  <si>
    <t>中村修</t>
  </si>
  <si>
    <t>湯川博士　【監　修】　門脇芳雄</t>
  </si>
  <si>
    <t>太期喬也</t>
  </si>
  <si>
    <t>増山雅人</t>
  </si>
  <si>
    <t>羽生善治　　【協　力】　木屋太二</t>
  </si>
  <si>
    <t>桐山清澄</t>
  </si>
  <si>
    <t>木屋太二　【監　修】　森内俊之</t>
  </si>
  <si>
    <t>田丸昇</t>
  </si>
  <si>
    <t>湯川博士　【編】　週刊将棋</t>
  </si>
  <si>
    <t>清水市代</t>
  </si>
  <si>
    <t>蝶谷初男　湯川恵子</t>
  </si>
  <si>
    <t>河口俊彦</t>
  </si>
  <si>
    <t>百々由紀男</t>
  </si>
  <si>
    <t>日本将棋連盟出版部</t>
  </si>
  <si>
    <t>阿部隆</t>
  </si>
  <si>
    <t>弘文社</t>
  </si>
  <si>
    <t>井手畑</t>
  </si>
  <si>
    <t>小川明久</t>
  </si>
  <si>
    <t>週刊将棋編集部</t>
  </si>
  <si>
    <t>井上光晴</t>
  </si>
  <si>
    <t>1978年</t>
  </si>
  <si>
    <t>週刊将棋 【監 修】 渡辺明</t>
  </si>
  <si>
    <t>大橋巨泉　【監　修】　大内延介</t>
  </si>
  <si>
    <t>神谷広志　【監　修】　中原誠</t>
  </si>
  <si>
    <t>村上明人</t>
  </si>
  <si>
    <t>石田和雄</t>
  </si>
  <si>
    <t>板谷進</t>
  </si>
  <si>
    <t>伊藤果　吉村達也</t>
  </si>
  <si>
    <t>中飛車, 横歩取り, 角換わり</t>
  </si>
  <si>
    <t>田村康介</t>
  </si>
  <si>
    <t>西村一義</t>
  </si>
  <si>
    <t>宮崎国夫　アマ将棋日本一各氏</t>
  </si>
  <si>
    <t>花村元司</t>
  </si>
  <si>
    <t>1976年</t>
  </si>
  <si>
    <t>奥山紅樹</t>
  </si>
  <si>
    <t>日本将棋連盟</t>
  </si>
  <si>
    <t>東公平</t>
  </si>
  <si>
    <t>高島一岐代</t>
  </si>
  <si>
    <t>1972年</t>
  </si>
  <si>
    <t>甲斐栄次　【監　修】　森内俊之</t>
  </si>
  <si>
    <t>1978年?</t>
  </si>
  <si>
    <t>鈴木宏彦　【編】　週刊将棋</t>
  </si>
  <si>
    <t>安恵照剛 【構 成】 湯川博士【まんが】 加賀さやか</t>
  </si>
  <si>
    <t>NHK･BS2「ウィークエンドスペシャル」制作グループ</t>
  </si>
  <si>
    <t>永井英明</t>
  </si>
  <si>
    <t>野崎昭弘</t>
  </si>
  <si>
    <t>東公平（紅）、関則可（酔象）、柿沼昭治（玉虫）、若島正（若島）</t>
  </si>
  <si>
    <t>木村義徳</t>
  </si>
  <si>
    <t>中原誠　ほか　【編　者】　週刊将棋</t>
  </si>
  <si>
    <t>山本武雄（陣太鼓）</t>
  </si>
  <si>
    <t>毎日コミュニケーションズ</t>
  </si>
  <si>
    <t>1989年6月（初版1984年8月）</t>
  </si>
  <si>
    <t>金子タカシ　【監　修】　森内俊之</t>
  </si>
  <si>
    <t>清野静男</t>
  </si>
  <si>
    <t>岡田敏　【編　者】　週刊将棋</t>
  </si>
  <si>
    <t>久米宏（将棋倶楽部24席主）</t>
  </si>
  <si>
    <t>桑原辰雄　【編　者】　週刊将棋</t>
  </si>
  <si>
    <t>真部一男</t>
  </si>
  <si>
    <t>B?</t>
  </si>
  <si>
    <t>中原誠 【構 成】 田代正夫</t>
  </si>
  <si>
    <t>大矢順正</t>
  </si>
  <si>
    <t>羽生善治　【協　力】　木屋太二</t>
  </si>
  <si>
    <t>詰将棋パラダイス，週刊将棋</t>
  </si>
  <si>
    <t>木本書店 【監 修】 読売新聞社</t>
  </si>
  <si>
    <t>1959年</t>
  </si>
  <si>
    <t>神谷広志　【編　者】　週刊将棋</t>
  </si>
  <si>
    <t>羽生善治、田辺忠幸　【絵】　松本好博</t>
  </si>
  <si>
    <t>湯川博士　【監　修】　屋敷伸之</t>
  </si>
  <si>
    <t>湯川博士　【編　者】　週刊将棋</t>
  </si>
  <si>
    <t>横山公望</t>
  </si>
  <si>
    <t>勝又清和　【編　者】週刊将棋</t>
  </si>
  <si>
    <t>松田茂行</t>
  </si>
  <si>
    <t>芹澤博文</t>
  </si>
  <si>
    <t>甲斐栄次　【監　修】林葉直子・中井広恵・清水市代</t>
  </si>
  <si>
    <t>木屋太二　【監　修】　屋敷伸之</t>
  </si>
  <si>
    <t>所司和晴　【編　者】　週刊将棋</t>
  </si>
  <si>
    <t>1993年8月（初出1976年）</t>
  </si>
  <si>
    <t>郷田真隆</t>
  </si>
  <si>
    <t>東公平（紅）・関則可（酔象）・柿沼昭治（玉虫）【監 修】 朝日新聞学芸部</t>
  </si>
  <si>
    <t>早稲田大学将棋部</t>
  </si>
  <si>
    <t>甲斐栄次　【監　修】　屋敷伸之</t>
  </si>
  <si>
    <t>児玉孝一</t>
  </si>
  <si>
    <t>伊藤果　【編　者】　週刊将棋</t>
  </si>
  <si>
    <t>櫛田陽一</t>
  </si>
  <si>
    <t>武者野勝巳　【編　者】　週刊将棋</t>
  </si>
  <si>
    <t>清水孝晏</t>
  </si>
  <si>
    <t>毎日コミュニケーションズ／編</t>
  </si>
  <si>
    <t>朝日新聞東京本社学芸部</t>
  </si>
  <si>
    <t>丸田祐三</t>
  </si>
  <si>
    <t>下平幸男</t>
  </si>
  <si>
    <t>週刊将棋 【監修】 森</t>
  </si>
  <si>
    <t>真部一男　【編】　榊秋介</t>
  </si>
  <si>
    <t>石川陽生・中田功・安西勝一　【編者】　週刊将棋</t>
  </si>
  <si>
    <t>湯川博士　【監修】内藤国雄</t>
  </si>
  <si>
    <t>山田史生</t>
  </si>
  <si>
    <t>&lt;前| No.0165 |次&gt;</t>
  </si>
  <si>
    <t>清水市代　【編者】　週刊将棋　【推薦】　羽生善治</t>
  </si>
  <si>
    <t>福井逸治</t>
  </si>
  <si>
    <t>石垣純二　原田泰夫</t>
  </si>
  <si>
    <t>山口瞳</t>
  </si>
  <si>
    <t>湯川恵子、湯川博士　【監修】　森奚隹二</t>
  </si>
  <si>
    <t>飯田弘之</t>
  </si>
  <si>
    <t>羽生善治　先崎学</t>
  </si>
  <si>
    <t>美馬和夫 【編 者】 週刊将棋</t>
  </si>
  <si>
    <t>立浪健一　【編】　週刊将棋</t>
  </si>
  <si>
    <t>1980年</t>
  </si>
  <si>
    <t>1987年</t>
  </si>
  <si>
    <t>前田祐司</t>
  </si>
  <si>
    <t>金子タカシ　【監　修】　屋敷伸之</t>
  </si>
  <si>
    <t>週刊将棋／編</t>
  </si>
  <si>
    <t>湯川恵子　【監　修】　塚田泰明</t>
  </si>
  <si>
    <t>週刊将棋 【協 力】 泉正樹</t>
  </si>
  <si>
    <t>中村修　【編　者】　週刊将棋</t>
  </si>
  <si>
    <t>柿沼昭治</t>
  </si>
  <si>
    <t>横田稔　【監　修】　塚田泰明</t>
  </si>
  <si>
    <t>金子タカシ　【編者】　週刊将棋</t>
  </si>
  <si>
    <t>金子タカシ　【監　修】　塚田泰明</t>
  </si>
  <si>
    <t>小田切秀人</t>
  </si>
  <si>
    <t>青野照市　【編】　日本棋道協会</t>
  </si>
  <si>
    <t>鈴木輝彦</t>
  </si>
  <si>
    <t>木村義雄</t>
  </si>
  <si>
    <t>1928年</t>
  </si>
  <si>
    <t>羽生善治　木屋太二</t>
  </si>
  <si>
    <t>桐谷広人　【編】　週刊将棋</t>
  </si>
  <si>
    <t>小野修一</t>
  </si>
  <si>
    <t>中飛車, 三間飛車, 四間飛車, 振り飛車, 居飛車</t>
  </si>
  <si>
    <t>中飛車, 三間飛車, 横歩取り, 四間飛車, 振り飛車, 居飛車</t>
  </si>
  <si>
    <t>中飛車, 三間飛車</t>
  </si>
  <si>
    <t>三間飛車, 振り飛車</t>
  </si>
  <si>
    <t>中飛車, 三間飛車, 四間飛車, 振り飛車</t>
  </si>
  <si>
    <t>居飛車, 四間飛車, 振り飛車</t>
  </si>
  <si>
    <t>中飛車, 三間飛車, 四間飛車, 振り飛車, 角換わり, 居飛車</t>
  </si>
  <si>
    <t>中飛車, 三間飛車, 振り飛車</t>
  </si>
  <si>
    <t>居飛車, 三間飛車, 四間飛車</t>
  </si>
  <si>
    <t>居飛車, 角換わり, 振り飛車</t>
  </si>
  <si>
    <t>居飛車, 中飛車, 振り飛車</t>
  </si>
  <si>
    <t>三間飛車, 角換わり, 振り飛車, 四間飛車, 居飛車</t>
  </si>
  <si>
    <t>中飛車, 居飛車, 四間飛車, 振り飛車</t>
  </si>
  <si>
    <t>中飛車, 四間飛車</t>
  </si>
  <si>
    <t>横歩取り, 居飛車, 角換わり</t>
  </si>
  <si>
    <t>三間飛車, 四間飛車, 振り飛車</t>
  </si>
  <si>
    <t>三間飛車, 四間飛車</t>
  </si>
  <si>
    <t>横歩取り, 居飛車, 角換わり, 振り飛車</t>
  </si>
  <si>
    <t>中飛車, 角換わり, 振り飛車, 四間飛車, 居飛車</t>
  </si>
  <si>
    <t>中飛車, 三間飛車, 横歩取り, 四間飛車, 振り飛車, 角換わり, 居飛車</t>
  </si>
  <si>
    <t>横歩取り, 角換わり, 四間飛車, 振り飛車, 居飛車</t>
  </si>
  <si>
    <t>角換わり, 振り飛車</t>
  </si>
  <si>
    <t>居飛車, 三間飛車, 角換わり, 振り飛車</t>
  </si>
  <si>
    <t>居飛車, 中飛車, 三間飛車, 四間飛車</t>
  </si>
  <si>
    <t>中飛車, 居飛車, 四間飛車</t>
  </si>
  <si>
    <t>中飛車, 振り飛車</t>
  </si>
  <si>
    <t>中飛車, 四間飛車, 角換わり, 振り飛車, 居飛車</t>
  </si>
  <si>
    <t>中飛車, 三間飛車, 横歩取り, 角換わり, 振り飛車, 四間飛車, 居飛車</t>
  </si>
  <si>
    <t>三間飛車, 横歩取り, 角換わり, 振り飛車, 四間飛車, 居飛車</t>
  </si>
  <si>
    <t>横歩取り, 角換わり, 振り飛車</t>
  </si>
  <si>
    <t>居飛車, 三間飛車, 四間飛車, 振り飛車</t>
  </si>
  <si>
    <t>居飛車, 中飛車, 三間飛車, 振り飛車</t>
  </si>
  <si>
    <t>横歩取り, 三間飛車, 角換わり, 四間飛車</t>
  </si>
  <si>
    <t>横歩取り, 居飛車</t>
  </si>
  <si>
    <t>横歩取り, 中飛車, 角換わり</t>
  </si>
  <si>
    <t>中飛車, 横歩取り, 四間飛車</t>
  </si>
  <si>
    <t>居飛車, 横歩取り, 振り飛車</t>
  </si>
  <si>
    <t>四間飛車, 振り飛車</t>
  </si>
  <si>
    <t>中飛車, 居飛車, 横歩取り, 角換わり</t>
  </si>
  <si>
    <t>中飛車, 横歩取り, 角換わり, 四間飛車, 居飛車</t>
  </si>
  <si>
    <t>中飛車, 四間飛車, 振り飛車</t>
  </si>
  <si>
    <t>居飛車, 中飛車, 四間飛車, 振り飛車</t>
  </si>
  <si>
    <t>居飛車, 横歩取り, 四間飛車</t>
  </si>
  <si>
    <t>横歩取り, 中飛車, 四間飛車</t>
  </si>
  <si>
    <t>中飛車, 横歩取り, 角換わり, 振り飛車, 四間飛車, 居飛車</t>
  </si>
  <si>
    <t>居飛車, 横歩取り, 四間飛車, 振り飛車</t>
  </si>
  <si>
    <t>中飛車, 横歩取り, 角換わり, 振り飛車, 居飛車</t>
  </si>
  <si>
    <t>中飛車, 三間飛車, 振り飛車, 横歩取り</t>
  </si>
  <si>
    <t>居飛車, 中飛車, 四間飛車</t>
  </si>
  <si>
    <t>中飛車, 角換わり, 横歩取り, 四間飛車</t>
  </si>
  <si>
    <t>中飛車, 角換わり, 四間飛車, 振り飛車</t>
  </si>
  <si>
    <t>中飛車, 居飛車, 三間飛車, 振り飛車</t>
  </si>
  <si>
    <t>中飛車, 横歩取り, 四間飛車, 振り飛車, 角換わり, 居飛車</t>
  </si>
  <si>
    <t>中飛車, 居飛車, 角換わり, 四間飛車</t>
  </si>
  <si>
    <t>居飛車, 三間飛車, 四間飛車, 横歩取り</t>
  </si>
  <si>
    <t>中飛車, 横歩取り</t>
  </si>
  <si>
    <t>中飛車, 居飛車</t>
  </si>
  <si>
    <t>中飛車, 三間飛車, 横歩取り, 角換わり, 四間飛車, 振り飛車, 居飛車</t>
  </si>
  <si>
    <t>中飛車, 三間飛車, 四間飛車</t>
  </si>
  <si>
    <t>居飛車, 角換わり, 三間飛車, 四間飛車</t>
  </si>
  <si>
    <t>横歩取り, 振り飛車</t>
  </si>
  <si>
    <t>居飛車, 角換わり, 四間飛車</t>
  </si>
  <si>
    <t>中飛車, 三間飛車, 横歩取り, 角換わり, 四間飛車, 振り飛車</t>
  </si>
  <si>
    <t>横歩取り, 中飛車, 居飛車, 四間飛車</t>
  </si>
  <si>
    <t>中飛車, 居飛車, 三間飛車, 四間飛車</t>
  </si>
  <si>
    <t>中飛車, 角換わり, 居飛車, 四間飛車</t>
  </si>
  <si>
    <t>居飛車, 角換わり, 横歩取り, 四間飛車</t>
  </si>
  <si>
    <t>角換わり, 四間飛車</t>
  </si>
  <si>
    <t>横歩取り, 角換わり, 四間飛車</t>
  </si>
  <si>
    <t>森内俊之名人／鈴木大介八段／田村康介六段／村山慈明五段／中井広恵女流六段／山崎隆之七段／中村太地四段</t>
  </si>
  <si>
    <t>中飛車, 角換わり, 四間飛車, 振り飛車, 居飛車</t>
  </si>
  <si>
    <t>中飛車, 三間飛車, 横歩取り, 角換わり, 四間飛車</t>
  </si>
  <si>
    <t>中飛車, 横歩取り, 角換わり, 四間飛車, 振り飛車</t>
  </si>
  <si>
    <t>居飛車, 三間飛車, 振り飛車</t>
  </si>
  <si>
    <t>中飛車, 角換わり, 振り飛車</t>
  </si>
  <si>
    <t>三間飛車, 横歩取り, 角換わり, 四間飛車, 振り飛車, 居飛車</t>
  </si>
  <si>
    <t>三間飛車, 横歩取り, 四間飛車, 振り飛車, 居飛車</t>
  </si>
  <si>
    <t>中飛車, 三間飛車, 角換わり, 四間飛車, 振り飛車, 居飛車</t>
  </si>
  <si>
    <t>中飛車, 三間飛車, 角換わり, 四間飛車</t>
  </si>
  <si>
    <t>中飛車, 三間飛車, 横歩取り, 四間飛車, 角換わり, 居飛車</t>
  </si>
  <si>
    <t>角換わり, 四間飛車, 振り飛車</t>
  </si>
  <si>
    <t>中飛車, 三間飛車, 角換わり, 振り飛車, 四間飛車</t>
  </si>
  <si>
    <t>中飛車, 角換わり, 四間飛車</t>
  </si>
  <si>
    <t>中飛車, 三間飛車, 横歩取り, 四間飛車, 居飛車</t>
  </si>
  <si>
    <t>中飛車, 居飛車, 角換わり</t>
  </si>
  <si>
    <t>横歩取り, 三間飛車, 四間飛車</t>
  </si>
  <si>
    <t>中飛車, 三間飛車, 横歩取り, 角換わり, 四間飛車, 居飛車</t>
  </si>
  <si>
    <t>中飛車, 横歩取り, 角換わり, 四間飛車</t>
  </si>
  <si>
    <t>=HYPERLINK("https://rocky-and-hopper.sakura.ne.jp/Kisho-Michelin/8399/978-4-8399-7339-1.htm","マイナビ将棋BOOKS 緩急自在！新型相掛かりの戦い方 「飛車先交換、三つの得あり」に満足せず、交換保留で“四つ目の得”を求めた相掛かり！")</t>
  </si>
  <si>
    <t>=HYPERLINK("https://rocky-and-hopper.sakura.ne.jp/Kisho-Michelin/06/4-06-200511-5.htm","史上最強！ワセダ将棋 あなたも“強豪”になれる")</t>
  </si>
  <si>
    <t>=HYPERLINK("https://rocky-and-hopper.sakura.ne.jp/Kisho-Michelin/89563/4-89563-635-6.htm","金言玉言新角言 知って得する将棋サバイバル術 （"外伝"姉妹書）")</t>
  </si>
  <si>
    <t>作成方法</t>
    <rPh sb="0" eb="4">
      <t>サクセイホウホウ</t>
    </rPh>
    <phoneticPr fontId="2"/>
  </si>
  <si>
    <t>https://github.com/hayato-watanabe/kisho_michelin_scraper/blob/main/kisho_reviews.tsv</t>
  </si>
  <si>
    <t>1. 下記リポジトリをチェックアウト</t>
    <rPh sb="3" eb="5">
      <t>カキ</t>
    </rPh>
    <phoneticPr fontId="2"/>
  </si>
  <si>
    <t>2. pythonが実行できる環境でkisho_michelin.pyを実行</t>
    <rPh sb="36" eb="38">
      <t>ジッコウ</t>
    </rPh>
    <phoneticPr fontId="2"/>
  </si>
  <si>
    <t>3. 出力されたTSVをコピー～Excelシートに貼り付け</t>
    <rPh sb="3" eb="5">
      <t>シュツリョク</t>
    </rPh>
    <rPh sb="25" eb="26">
      <t>ハ</t>
    </rPh>
    <rPh sb="27" eb="28">
      <t>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</si>
</sst>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5">
    <xf numFmtId="0" fontId="0" fillId="0" borderId="0" xfId="0">
      <alignment vertical="center"/>
    </xf>
    <xf numFmtId="55" fontId="0" fillId="0" borderId="0" xfId="0" applyNumberFormat="1">
      <alignment vertical="center"/>
    </xf>
    <xf numFmtId="0" fontId="1" fillId="0" borderId="0" xfId="1">
      <alignment vertical="center"/>
    </xf>
    <xf numFmtId="0" fontId="0" fillId="0" borderId="0" xfId="0" applyAlignment="1">
      <alignment horizontal="center" vertical="center"/>
    </xf>
    <xf numFmtId="55" fontId="0" fillId="0" borderId="0" xfId="0" applyNumberFormat="1" applyAlignment="1">
      <alignment horizontal="center" vertical="center"/>
    </xf>
  </cellXfs>
  <cellStyles count="2">
    <cellStyle name="ハイパーリンク" xfId="1" builtinId="8"/>
    <cellStyle name="標準" xfId="0" builtinId="0"/>
  </cellStyles>
  <dxfs count="3">
    <dxf>
      <alignment horizontal="center" vertical="center" textRotation="0" wrapText="0" indent="0" justifyLastLine="0" shrinkToFit="0" readingOrder="0"/>
    </dxf>
    <dxf>
      <alignment horizontal="center" vertical="center" textRotation="0" wrapText="0" indent="0" justifyLastLine="0" shrinkToFit="0" readingOrder="0"/>
    </dxf>
    <dxf>
      <numFmt numFmtId="46" formatCode="yyyy&quot;年&quot;m&quot;月&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4CE07-F45E-4242-A444-BAD27D9D9BCA}" name="テーブル1" displayName="テーブル1" ref="A1:E1148" totalsRowShown="0" headerRowDxfId="1">
  <autoFilter ref="A1:E1148" xr:uid="{A3F4CE07-F45E-4242-A444-BAD27D9D9BCA}"/>
  <tableColumns count="5">
    <tableColumn id="1" xr3:uid="{998CB4C7-C6CB-403A-BC1A-CE742A3FD108}" name="書名"/>
    <tableColumn id="2" xr3:uid="{6C8B7933-B53A-4D1B-9C2E-59DBBD7DE4B6}" name="総合評価" dataDxfId="0"/>
    <tableColumn id="3" xr3:uid="{88BBE73D-A4AB-4F85-A6A8-19D96F3D4483}" name="戦法"/>
    <tableColumn id="4" xr3:uid="{4332B0D5-6F9B-4483-B076-D52E0FDDF397}" name="著者"/>
    <tableColumn id="5" xr3:uid="{843D3797-AA10-46D5-BBEF-AC17DF165EBB}" name="発行年月" dataDxfId="2"/>
  </tableColumns>
  <tableStyleInfo name="TableStyleLight1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06C1-B26D-4AFA-ADD7-4063438C08B6}">
  <dimension ref="A1:E1148"/>
  <sheetViews>
    <sheetView tabSelected="1" workbookViewId="0"/>
  </sheetViews>
  <sheetFormatPr defaultRowHeight="17.649999999999999" x14ac:dyDescent="0.7"/>
  <cols>
    <col min="1" max="1" width="69.9375" customWidth="1"/>
    <col min="2" max="2" width="11.8125" style="3" customWidth="1"/>
    <col min="3" max="3" width="20.5" customWidth="1"/>
    <col min="4" max="4" width="16.625" customWidth="1"/>
    <col min="5" max="5" width="16.1875" customWidth="1"/>
  </cols>
  <sheetData>
    <row r="1" spans="1:5" x14ac:dyDescent="0.7">
      <c r="A1" s="3" t="s">
        <v>3</v>
      </c>
      <c r="B1" s="3" t="s">
        <v>4</v>
      </c>
      <c r="C1" s="3" t="s">
        <v>5</v>
      </c>
      <c r="D1" s="3" t="s">
        <v>6</v>
      </c>
      <c r="E1" s="4" t="s">
        <v>7</v>
      </c>
    </row>
    <row r="2" spans="1:5" x14ac:dyDescent="0.7">
      <c r="A2" t="str">
        <f>HYPERLINK("https://rocky-and-hopper.sakura.ne.jp/Kisho-Michelin/8399/978-4-8399-8528-8.htm","マイナビ将棋BOOKS 反撃する現代四間飛車 はじめ先生と学ぶ新研究")</f>
        <v>マイナビ将棋BOOKS 反撃する現代四間飛車 はじめ先生と学ぶ新研究</v>
      </c>
      <c r="B2" s="3" t="s">
        <v>12</v>
      </c>
      <c r="C2" t="s">
        <v>8</v>
      </c>
      <c r="D2" t="s">
        <v>9</v>
      </c>
      <c r="E2" s="1">
        <v>45292</v>
      </c>
    </row>
    <row r="3" spans="1:5" x14ac:dyDescent="0.7">
      <c r="A3" s="2" t="str">
        <f>HYPERLINK("https://rocky-and-hopper.sakura.ne.jp/Kisho-Michelin/8399/978-4-8399-8209-6.htm","マイナビ将棋BOOKS 一撃！対振り飛車へなちょこ急戦")</f>
        <v>マイナビ将棋BOOKS 一撃！対振り飛車へなちょこ急戦</v>
      </c>
      <c r="B3" s="3" t="s">
        <v>14</v>
      </c>
      <c r="C3" t="s">
        <v>415</v>
      </c>
      <c r="D3" t="s">
        <v>10</v>
      </c>
      <c r="E3" s="1">
        <v>45383</v>
      </c>
    </row>
    <row r="4" spans="1:5" x14ac:dyDescent="0.7">
      <c r="A4" t="str">
        <f>HYPERLINK("https://rocky-and-hopper.sakura.ne.jp/Kisho-Michelin/8399/978-4-8399-8604-9.htm","2手目△3二銀システム 驚愕の奇襲！ 現代将棋に残された最終兵器")</f>
        <v>2手目△3二銀システム 驚愕の奇襲！ 現代将棋に残された最終兵器</v>
      </c>
      <c r="B4" s="3" t="s">
        <v>14</v>
      </c>
      <c r="C4" t="s">
        <v>416</v>
      </c>
      <c r="D4" t="s">
        <v>11</v>
      </c>
      <c r="E4" s="1">
        <v>45383</v>
      </c>
    </row>
    <row r="5" spans="1:5" x14ac:dyDescent="0.7">
      <c r="A5" t="str">
        <f>HYPERLINK("https://rocky-and-hopper.sakura.ne.jp/Kisho-Michelin/8399/978-4-8399-7673-6.htm","マイナビ将棋BOOKS 早指しのコツ 〜秒読みで負けない感覚と技術〜")</f>
        <v>マイナビ将棋BOOKS 早指しのコツ 〜秒読みで負けない感覚と技術〜</v>
      </c>
      <c r="B5" s="3" t="s">
        <v>12</v>
      </c>
      <c r="C5" t="s">
        <v>417</v>
      </c>
      <c r="D5" t="s">
        <v>13</v>
      </c>
      <c r="E5" s="1">
        <v>44409</v>
      </c>
    </row>
    <row r="6" spans="1:5" x14ac:dyDescent="0.7">
      <c r="A6" t="str">
        <f>HYPERLINK("https://rocky-and-hopper.sakura.ne.jp/Kisho-Michelin/8399/978-4-8399-7719-1.htm","マイナビ将棋BOOKS サザンハヤクリ △3三金型早繰り銀 2手早い銀の進出！ 主導権を握って戦う 後手番角換わりの新機軸")</f>
        <v>マイナビ将棋BOOKS サザンハヤクリ △3三金型早繰り銀 2手早い銀の進出！ 主導権を握って戦う 後手番角換わりの新機軸</v>
      </c>
      <c r="B6" s="3" t="s">
        <v>14</v>
      </c>
      <c r="C6" t="s">
        <v>15</v>
      </c>
      <c r="D6" t="s">
        <v>16</v>
      </c>
      <c r="E6" s="1">
        <v>44378</v>
      </c>
    </row>
    <row r="7" spans="1:5" x14ac:dyDescent="0.7">
      <c r="A7" t="str">
        <f>HYPERLINK("https://rocky-and-hopper.sakura.ne.jp/Kisho-Michelin/8399/978-4-8399-7706-1.htm","マイナビ将棋BOOKS 進化する角換わり▲4五桂")</f>
        <v>マイナビ将棋BOOKS 進化する角換わり▲4五桂</v>
      </c>
      <c r="B7" s="3" t="s">
        <v>14</v>
      </c>
      <c r="C7" t="s">
        <v>1</v>
      </c>
      <c r="D7" t="s">
        <v>17</v>
      </c>
      <c r="E7" s="1">
        <v>44378</v>
      </c>
    </row>
    <row r="8" spans="1:5" x14ac:dyDescent="0.7">
      <c r="A8" t="str">
        <f>HYPERLINK("https://rocky-and-hopper.sakura.ne.jp/Kisho-Michelin/8399/978-4-8399-7560-9.htm","マイナビ将棋BOOKS これだけで勝てる 角換わりのコツ")</f>
        <v>マイナビ将棋BOOKS これだけで勝てる 角換わりのコツ</v>
      </c>
      <c r="B8" s="3" t="s">
        <v>18</v>
      </c>
      <c r="C8" t="s">
        <v>1</v>
      </c>
      <c r="D8" t="s">
        <v>19</v>
      </c>
      <c r="E8" s="1">
        <v>44348</v>
      </c>
    </row>
    <row r="9" spans="1:5" x14ac:dyDescent="0.7">
      <c r="A9" t="str">
        <f>HYPERLINK("https://rocky-and-hopper.sakura.ne.jp/Kisho-Michelin/86137/978-4-86137-052-6.htm","最強将棋21 現代調の将棋の研究")</f>
        <v>最強将棋21 現代調の将棋の研究</v>
      </c>
      <c r="B9" s="3" t="s">
        <v>0</v>
      </c>
      <c r="C9" t="s">
        <v>20</v>
      </c>
      <c r="D9" t="s">
        <v>21</v>
      </c>
      <c r="E9" s="1">
        <v>44317</v>
      </c>
    </row>
    <row r="10" spans="1:5" x14ac:dyDescent="0.7">
      <c r="A10" t="str">
        <f>HYPERLINK("https://rocky-and-hopper.sakura.ne.jp/Kisho-Michelin/8399/978-4-8399-7607-1.htm","マイナビ将棋BOOKS 対三間飛車 一直線銀冠")</f>
        <v>マイナビ将棋BOOKS 対三間飛車 一直線銀冠</v>
      </c>
      <c r="B10" s="3" t="s">
        <v>14</v>
      </c>
      <c r="C10" t="s">
        <v>22</v>
      </c>
      <c r="D10" t="s">
        <v>23</v>
      </c>
      <c r="E10" s="1">
        <v>44317</v>
      </c>
    </row>
    <row r="11" spans="1:5" x14ac:dyDescent="0.7">
      <c r="A11" t="str">
        <f>HYPERLINK("https://rocky-and-hopper.sakura.ne.jp/Kisho-Michelin/8399/978-4-8399-6425-2.htm","マイナビ将棋BOOKS 創始者直伝！新嬉野流 最強奇襲戦法が進化！ 居飛車に加えて 嬉野流振り飛車も収録")</f>
        <v>マイナビ将棋BOOKS 創始者直伝！新嬉野流 最強奇襲戦法が進化！ 居飛車に加えて 嬉野流振り飛車も収録</v>
      </c>
      <c r="B11" s="3" t="s">
        <v>18</v>
      </c>
      <c r="C11" t="s">
        <v>20</v>
      </c>
      <c r="D11" t="s">
        <v>24</v>
      </c>
      <c r="E11" s="1">
        <v>44317</v>
      </c>
    </row>
    <row r="12" spans="1:5" x14ac:dyDescent="0.7">
      <c r="A12" t="str">
        <f>HYPERLINK("https://rocky-and-hopper.sakura.ne.jp/Kisho-Michelin/8399/978-4-8399-7561-6.htm","マイナビ将棋BOOKS 先手矢倉の逆襲")</f>
        <v>マイナビ将棋BOOKS 先手矢倉の逆襲</v>
      </c>
      <c r="B12" s="3" t="s">
        <v>14</v>
      </c>
      <c r="C12" t="s">
        <v>25</v>
      </c>
      <c r="D12" t="s">
        <v>26</v>
      </c>
      <c r="E12" s="1">
        <v>44287</v>
      </c>
    </row>
    <row r="13" spans="1:5" x14ac:dyDescent="0.7">
      <c r="A13" t="str">
        <f>HYPERLINK("https://rocky-and-hopper.sakura.ne.jp/Kisho-Michelin/8399/978-4-8399-7626-2.htm","マイナビ将棋BOOKS 攻める振り飛車 三間飛車トマホーク")</f>
        <v>マイナビ将棋BOOKS 攻める振り飛車 三間飛車トマホーク</v>
      </c>
      <c r="B13" s="3" t="s">
        <v>14</v>
      </c>
      <c r="C13" t="s">
        <v>418</v>
      </c>
      <c r="D13" t="s">
        <v>27</v>
      </c>
      <c r="E13" s="1">
        <v>44287</v>
      </c>
    </row>
    <row r="14" spans="1:5" x14ac:dyDescent="0.7">
      <c r="A14" t="str">
        <f>HYPERLINK("https://rocky-and-hopper.sakura.ne.jp/Kisho-Michelin/8399/978-4-8399-7559-3.htm","マイナビ将棋BOOKS 1手ずつ解説する三間飛車")</f>
        <v>マイナビ将棋BOOKS 1手ずつ解説する三間飛車</v>
      </c>
      <c r="B14" s="3" t="s">
        <v>12</v>
      </c>
      <c r="C14" t="s">
        <v>22</v>
      </c>
      <c r="D14" t="s">
        <v>28</v>
      </c>
      <c r="E14" s="1">
        <v>44287</v>
      </c>
    </row>
    <row r="15" spans="1:5" x14ac:dyDescent="0.7">
      <c r="A15" t="str">
        <f>HYPERLINK("https://rocky-and-hopper.sakura.ne.jp/Kisho-Michelin/8399/978-4-8399-7537-1.htm","マイナビ将棋BOOKS 完全版 対振り飛車 左美濃戦法")</f>
        <v>マイナビ将棋BOOKS 完全版 対振り飛車 左美濃戦法</v>
      </c>
      <c r="B15" s="3" t="s">
        <v>18</v>
      </c>
      <c r="C15" t="s">
        <v>419</v>
      </c>
      <c r="D15" t="s">
        <v>29</v>
      </c>
      <c r="E15" s="1">
        <v>44228</v>
      </c>
    </row>
    <row r="16" spans="1:5" x14ac:dyDescent="0.7">
      <c r="A16" t="str">
        <f>HYPERLINK("https://rocky-and-hopper.sakura.ne.jp/Kisho-Michelin/8399/978-4-8399-7597-5.htm","マイナビ将棋BOOKS 負けない振り飛車！ 四間飛車穴熊のすべて")</f>
        <v>マイナビ将棋BOOKS 負けない振り飛車！ 四間飛車穴熊のすべて</v>
      </c>
      <c r="B16" s="3" t="s">
        <v>18</v>
      </c>
      <c r="C16" t="s">
        <v>420</v>
      </c>
      <c r="D16" t="s">
        <v>30</v>
      </c>
      <c r="E16" s="1">
        <v>44256</v>
      </c>
    </row>
    <row r="17" spans="1:5" x14ac:dyDescent="0.7">
      <c r="A17" t="str">
        <f>HYPERLINK("https://rocky-and-hopper.sakura.ne.jp/Kisho-Michelin/8399/978-4-8399-7552-4.htm","マイナビ将棋BOOKS 都成流 新型ダイレクト向かい飛車")</f>
        <v>マイナビ将棋BOOKS 都成流 新型ダイレクト向かい飛車</v>
      </c>
      <c r="B17" s="3" t="s">
        <v>14</v>
      </c>
      <c r="C17" t="s">
        <v>421</v>
      </c>
      <c r="D17" t="s">
        <v>31</v>
      </c>
      <c r="E17" s="1">
        <v>44256</v>
      </c>
    </row>
    <row r="18" spans="1:5" x14ac:dyDescent="0.7">
      <c r="A18" t="str">
        <f>HYPERLINK("https://rocky-and-hopper.sakura.ne.jp/Kisho-Michelin/8399/978-4-8399-7360-5.htm","マイナビ将棋BOOKS 中飛車の逆襲 対三間飛車編")</f>
        <v>マイナビ将棋BOOKS 中飛車の逆襲 対三間飛車編</v>
      </c>
      <c r="B18" s="3" t="s">
        <v>14</v>
      </c>
      <c r="C18" t="s">
        <v>422</v>
      </c>
      <c r="D18" t="s">
        <v>32</v>
      </c>
      <c r="E18" s="1">
        <v>44256</v>
      </c>
    </row>
    <row r="19" spans="1:5" x14ac:dyDescent="0.7">
      <c r="A19" t="str">
        <f>HYPERLINK("https://rocky-and-hopper.sakura.ne.jp/Kisho-Michelin/8399/978-4-8399-7472-5.htm","マイナビ将棋BOOKS 全戦型対応！よくわかる将棋・囲い事典")</f>
        <v>マイナビ将棋BOOKS 全戦型対応！よくわかる将棋・囲い事典</v>
      </c>
      <c r="B19" s="3" t="s">
        <v>12</v>
      </c>
      <c r="C19" t="s">
        <v>20</v>
      </c>
      <c r="D19" t="s">
        <v>33</v>
      </c>
      <c r="E19" s="1">
        <v>44256</v>
      </c>
    </row>
    <row r="20" spans="1:5" x14ac:dyDescent="0.7">
      <c r="A20" t="str">
        <f>HYPERLINK("https://rocky-and-hopper.sakura.ne.jp/Kisho-Michelin/8399/978-4-8399-7523-4.htm","マイナビ将棋BOOKS 横歩取り 後手番の逆襲")</f>
        <v>マイナビ将棋BOOKS 横歩取り 後手番の逆襲</v>
      </c>
      <c r="B20" s="3" t="s">
        <v>14</v>
      </c>
      <c r="C20" t="s">
        <v>34</v>
      </c>
      <c r="D20" t="s">
        <v>35</v>
      </c>
      <c r="E20" s="1">
        <v>44228</v>
      </c>
    </row>
    <row r="21" spans="1:5" x14ac:dyDescent="0.7">
      <c r="A21" t="str">
        <f>HYPERLINK("https://rocky-and-hopper.sakura.ne.jp/Kisho-Michelin/8399/978-4-8399-7420-6.htm","マイナビ将棋BOOKS 居飛車の全戦型に対応 なんでも右玉")</f>
        <v>マイナビ将棋BOOKS 居飛車の全戦型に対応 なんでも右玉</v>
      </c>
      <c r="B21" s="3" t="s">
        <v>14</v>
      </c>
      <c r="C21" t="s">
        <v>36</v>
      </c>
      <c r="D21" t="s">
        <v>17</v>
      </c>
      <c r="E21" s="1">
        <v>44197</v>
      </c>
    </row>
    <row r="22" spans="1:5" x14ac:dyDescent="0.7">
      <c r="A22" t="str">
        <f>HYPERLINK("https://rocky-and-hopper.sakura.ne.jp/Kisho-Michelin/8399/978-4-8399-7557-9.htm","マイナビ将棋BOOKS 大夢流一手損角換わり 〜受け師直伝の受け将棋〜")</f>
        <v>マイナビ将棋BOOKS 大夢流一手損角換わり 〜受け師直伝の受け将棋〜</v>
      </c>
      <c r="B22" s="3" t="s">
        <v>14</v>
      </c>
      <c r="C22" t="s">
        <v>1</v>
      </c>
      <c r="D22" t="s">
        <v>37</v>
      </c>
      <c r="E22" s="1">
        <v>44197</v>
      </c>
    </row>
    <row r="23" spans="1:5" x14ac:dyDescent="0.7">
      <c r="A23" t="str">
        <f>HYPERLINK("https://rocky-and-hopper.sakura.ne.jp/Kisho-Michelin/8399/978-4-8399-7524-1.htm","マイナビ将棋BOOKS 斬り合いで勝つ！深浦の居飛車穴熊")</f>
        <v>マイナビ将棋BOOKS 斬り合いで勝つ！深浦の居飛車穴熊</v>
      </c>
      <c r="B23" s="3" t="s">
        <v>18</v>
      </c>
      <c r="C23" t="s">
        <v>423</v>
      </c>
      <c r="D23" t="s">
        <v>38</v>
      </c>
      <c r="E23" s="1">
        <v>44197</v>
      </c>
    </row>
    <row r="24" spans="1:5" x14ac:dyDescent="0.7">
      <c r="A24" t="str">
        <f>HYPERLINK("https://rocky-and-hopper.sakura.ne.jp/Kisho-Michelin/8399/978-4-8399-7450-3.htm","マイナビムック 将棋世界Special 将棋囲い事典100+ 基本形から最新形まで超収録 エルモ！新型雁木！羽生流右玉！")</f>
        <v>マイナビムック 将棋世界Special 将棋囲い事典100+ 基本形から最新形まで超収録 エルモ！新型雁木！羽生流右玉！</v>
      </c>
      <c r="B24" s="3" t="s">
        <v>0</v>
      </c>
      <c r="C24" t="s">
        <v>424</v>
      </c>
      <c r="D24" t="s">
        <v>39</v>
      </c>
      <c r="E24" s="1">
        <v>44166</v>
      </c>
    </row>
    <row r="25" spans="1:5" x14ac:dyDescent="0.7">
      <c r="A25" t="str">
        <f>HYPERLINK("https://rocky-and-hopper.sakura.ne.jp/Kisho-Michelin/8399/978-4-8399-7446-6.htm","マイナビ将棋BOOKS 矢倉は終わらない")</f>
        <v>マイナビ将棋BOOKS 矢倉は終わらない</v>
      </c>
      <c r="B25" s="3" t="s">
        <v>40</v>
      </c>
      <c r="C25" t="s">
        <v>41</v>
      </c>
      <c r="D25" t="s">
        <v>42</v>
      </c>
      <c r="E25" s="1">
        <v>44197</v>
      </c>
    </row>
    <row r="26" spans="1:5" x14ac:dyDescent="0.7">
      <c r="A26" t="str">
        <f>HYPERLINK("https://rocky-and-hopper.sakura.ne.jp/Kisho-Michelin/8399/978-4-8399-7497-8.htm","マイナビ将棋BOOKS 中飛車のポイント すぐ覚えてすぐ勝てる11の戦型")</f>
        <v>マイナビ将棋BOOKS 中飛車のポイント すぐ覚えてすぐ勝てる11の戦型</v>
      </c>
      <c r="B26" s="3" t="s">
        <v>14</v>
      </c>
      <c r="C26" t="s">
        <v>425</v>
      </c>
      <c r="D26" t="s">
        <v>43</v>
      </c>
      <c r="E26" s="1">
        <v>44166</v>
      </c>
    </row>
    <row r="27" spans="1:5" x14ac:dyDescent="0.7">
      <c r="A27" t="str">
        <f>HYPERLINK("https://rocky-and-hopper.sakura.ne.jp/Kisho-Michelin/8399/4-8399-0610-6.htm","東大将棋ブックス 四間飛車道場 第二巻 右4六銀")</f>
        <v>東大将棋ブックス 四間飛車道場 第二巻 右4六銀</v>
      </c>
      <c r="B27" s="3" t="s">
        <v>14</v>
      </c>
      <c r="C27" t="s">
        <v>8</v>
      </c>
      <c r="D27" t="s">
        <v>44</v>
      </c>
      <c r="E27" s="1">
        <v>37226</v>
      </c>
    </row>
    <row r="28" spans="1:5" x14ac:dyDescent="0.7">
      <c r="A28" t="str">
        <f>HYPERLINK("https://rocky-and-hopper.sakura.ne.jp/Kisho-Michelin/8399/978-4-8399-7528-9.htm","マイナビ将棋BOOKS 黒田尭之の新研究 よみがえる右銀急戦")</f>
        <v>マイナビ将棋BOOKS 黒田尭之の新研究 よみがえる右銀急戦</v>
      </c>
      <c r="B28" s="3" t="s">
        <v>14</v>
      </c>
      <c r="C28" t="s">
        <v>45</v>
      </c>
      <c r="D28" t="s">
        <v>46</v>
      </c>
      <c r="E28" s="1">
        <v>44166</v>
      </c>
    </row>
    <row r="29" spans="1:5" x14ac:dyDescent="0.7">
      <c r="A29" t="str">
        <f>HYPERLINK("https://rocky-and-hopper.sakura.ne.jp/Kisho-Michelin/8399/978-4-8399-7494-7.htm","マイナビ将棋BOOKS 1手ずつ解説する 角換わり棒銀")</f>
        <v>マイナビ将棋BOOKS 1手ずつ解説する 角換わり棒銀</v>
      </c>
      <c r="B29" s="3" t="s">
        <v>14</v>
      </c>
      <c r="C29" t="s">
        <v>1</v>
      </c>
      <c r="D29" t="s">
        <v>47</v>
      </c>
      <c r="E29" s="1">
        <v>44166</v>
      </c>
    </row>
    <row r="30" spans="1:5" x14ac:dyDescent="0.7">
      <c r="A30" t="str">
        <f>HYPERLINK("https://rocky-and-hopper.sakura.ne.jp/Kisho-Michelin/8019/978-4-8019-2461-1.htm","山口恵梨子（えりりん）の女流棋士の日々 (1)〜(3)")</f>
        <v>山口恵梨子（えりりん）の女流棋士の日々 (1)〜(3)</v>
      </c>
      <c r="B30" s="3" t="s">
        <v>18</v>
      </c>
      <c r="D30" t="s">
        <v>48</v>
      </c>
      <c r="E30" s="1">
        <v>44136</v>
      </c>
    </row>
    <row r="31" spans="1:5" x14ac:dyDescent="0.7">
      <c r="A31" t="str">
        <f>HYPERLINK("https://rocky-and-hopper.sakura.ne.jp/Kisho-Michelin/8399/978-4-8399-7333-9.htm","現代将棋を読み解く 7つの理論 最先端の感覚を言語化する──これまでにない論理的将棋観")</f>
        <v>現代将棋を読み解く 7つの理論 最先端の感覚を言語化する──これまでにない論理的将棋観</v>
      </c>
      <c r="B31" s="3" t="s">
        <v>14</v>
      </c>
      <c r="C31" t="s">
        <v>426</v>
      </c>
      <c r="D31" t="s">
        <v>49</v>
      </c>
      <c r="E31" s="1">
        <v>44136</v>
      </c>
    </row>
    <row r="32" spans="1:5" x14ac:dyDescent="0.7">
      <c r="A32" t="str">
        <f>HYPERLINK("https://rocky-and-hopper.sakura.ne.jp/Kisho-Michelin/8399/978-4-8399-7493-0.htm","マイナビ将棋BOOKS 1手ずつ解説する四間飛車 ベーシックな振り飛車を級位者にもわかりやすく！")</f>
        <v>マイナビ将棋BOOKS 1手ずつ解説する四間飛車 ベーシックな振り飛車を級位者にもわかりやすく！</v>
      </c>
      <c r="B32" s="3" t="s">
        <v>18</v>
      </c>
      <c r="C32" t="s">
        <v>420</v>
      </c>
      <c r="D32" t="s">
        <v>50</v>
      </c>
      <c r="E32" s="1">
        <v>44136</v>
      </c>
    </row>
    <row r="33" spans="1:5" x14ac:dyDescent="0.7">
      <c r="A33" t="str">
        <f>HYPERLINK("https://rocky-and-hopper.sakura.ne.jp/Kisho-Michelin/8399/978-4-8399-7429-9.htm","マイナビ将棋BOOKS 本田奎の相掛かり研究")</f>
        <v>マイナビ将棋BOOKS 本田奎の相掛かり研究</v>
      </c>
      <c r="B33" s="3" t="s">
        <v>14</v>
      </c>
      <c r="D33" t="s">
        <v>51</v>
      </c>
      <c r="E33" s="1">
        <v>44105</v>
      </c>
    </row>
    <row r="34" spans="1:5" x14ac:dyDescent="0.7">
      <c r="A34" t="str">
        <f>HYPERLINK("https://rocky-and-hopper.sakura.ne.jp/Kisho-Michelin/8399/978-4-8399-6276-0.htm","マイナビ将棋BOOKS 超攻撃的振り飛車 新生・角頭歩戦法")</f>
        <v>マイナビ将棋BOOKS 超攻撃的振り飛車 新生・角頭歩戦法</v>
      </c>
      <c r="B34" s="3" t="s">
        <v>14</v>
      </c>
      <c r="C34" t="s">
        <v>45</v>
      </c>
      <c r="D34" t="s">
        <v>28</v>
      </c>
      <c r="E34" s="1">
        <v>43040</v>
      </c>
    </row>
    <row r="35" spans="1:5" x14ac:dyDescent="0.7">
      <c r="A35" t="str">
        <f>HYPERLINK("https://rocky-and-hopper.sakura.ne.jp/Kisho-Michelin/8399/978-4-8399-7421-3.htm","マイナビ将棋BOOKS 1冊でわかる ノーマル振り飛車 基礎から流行形まで")</f>
        <v>マイナビ将棋BOOKS 1冊でわかる ノーマル振り飛車 基礎から流行形まで</v>
      </c>
      <c r="B35" s="3" t="s">
        <v>52</v>
      </c>
      <c r="C35" t="s">
        <v>419</v>
      </c>
      <c r="D35" t="s">
        <v>53</v>
      </c>
      <c r="E35" s="1">
        <v>44075</v>
      </c>
    </row>
    <row r="36" spans="1:5" x14ac:dyDescent="0.7">
      <c r="A36" t="str">
        <f>HYPERLINK("https://rocky-and-hopper.sakura.ne.jp/Kisho-Michelin/594/978-4-594-08630-5.htm","将棋「初段になれるかな」大会議")</f>
        <v>将棋「初段になれるかな」大会議</v>
      </c>
      <c r="B36" s="3" t="s">
        <v>12</v>
      </c>
      <c r="C36" t="s">
        <v>427</v>
      </c>
      <c r="D36" t="s">
        <v>54</v>
      </c>
      <c r="E36" s="1">
        <v>44075</v>
      </c>
    </row>
    <row r="37" spans="1:5" x14ac:dyDescent="0.7">
      <c r="A37" t="str">
        <f>HYPERLINK("https://rocky-and-hopper.sakura.ne.jp/Kisho-Michelin/8399/978-4-8399-7414-5.htm","マイナビ将棋BOOKS 急戦矢倉でガンガン行こう！後手から攻める3つの作戦")</f>
        <v>マイナビ将棋BOOKS 急戦矢倉でガンガン行こう！後手から攻める3つの作戦</v>
      </c>
      <c r="B37" s="3" t="s">
        <v>55</v>
      </c>
      <c r="C37" t="s">
        <v>428</v>
      </c>
      <c r="D37" t="s">
        <v>19</v>
      </c>
      <c r="E37" s="1">
        <v>44075</v>
      </c>
    </row>
    <row r="38" spans="1:5" x14ac:dyDescent="0.7">
      <c r="A38" t="str">
        <f>HYPERLINK("https://rocky-and-hopper.sakura.ne.jp/Kisho-Michelin/8399/978-4-8399-7413-8.htm","マイナビ将棋BOOKS 固めてドカン！対四間飛車 ミレニアム＆トーチカ戦法")</f>
        <v>マイナビ将棋BOOKS 固めてドカン！対四間飛車 ミレニアム＆トーチカ戦法</v>
      </c>
      <c r="B38" s="3" t="s">
        <v>12</v>
      </c>
      <c r="C38" t="s">
        <v>8</v>
      </c>
      <c r="D38" t="s">
        <v>56</v>
      </c>
      <c r="E38" s="1">
        <v>44075</v>
      </c>
    </row>
    <row r="39" spans="1:5" x14ac:dyDescent="0.7">
      <c r="A39" t="str">
        <f>HYPERLINK("https://rocky-and-hopper.sakura.ne.jp/Kisho-Michelin/8399/978-4-8399-7453-4.htm","マイナビムック将棋世界Special愛蔵版 高校生二冠 藤井聡太 ─完全収録！第61期王位戦、第91期ヒューリック杯棋聖戦─")</f>
        <v>マイナビムック将棋世界Special愛蔵版 高校生二冠 藤井聡太 ─完全収録！第61期王位戦、第91期ヒューリック杯棋聖戦─</v>
      </c>
      <c r="B39" s="3" t="s">
        <v>14</v>
      </c>
      <c r="C39" t="s">
        <v>1</v>
      </c>
      <c r="D39" t="s">
        <v>39</v>
      </c>
      <c r="E39" s="1">
        <v>44075</v>
      </c>
    </row>
    <row r="40" spans="1:5" x14ac:dyDescent="0.7">
      <c r="A40" t="str">
        <f>HYPERLINK("https://rocky-and-hopper.sakura.ne.jp/Kisho-Michelin/8399/978-4-8399-7454-1.htm","マイナビムック将棋世界Special【写真集】 写真で追う 藤井聡太 最年少二冠までの軌跡")</f>
        <v>マイナビムック将棋世界Special【写真集】 写真で追う 藤井聡太 最年少二冠までの軌跡</v>
      </c>
      <c r="B40" s="3" t="s">
        <v>12</v>
      </c>
      <c r="D40" t="s">
        <v>57</v>
      </c>
      <c r="E40" s="1">
        <v>44075</v>
      </c>
    </row>
    <row r="41" spans="1:5" x14ac:dyDescent="0.7">
      <c r="A41" t="str">
        <f>HYPERLINK("https://rocky-and-hopper.sakura.ne.jp/Kisho-Michelin/86137/978-4-86137-051-9.htm","横歩取り勇気流")</f>
        <v>横歩取り勇気流</v>
      </c>
      <c r="B41" s="3" t="s">
        <v>0</v>
      </c>
      <c r="C41" t="s">
        <v>34</v>
      </c>
      <c r="D41" t="s">
        <v>58</v>
      </c>
      <c r="E41" s="1">
        <v>43952</v>
      </c>
    </row>
    <row r="42" spans="1:5" x14ac:dyDescent="0.7">
      <c r="A42" t="str">
        <f>HYPERLINK("https://rocky-and-hopper.sakura.ne.jp/Kisho-Michelin/8399/978-4-8399-7366-7.htm","マイナビ将棋BOOKS AI時代の新手法！対振り飛車 金無双急戦")</f>
        <v>マイナビ将棋BOOKS AI時代の新手法！対振り飛車 金無双急戦</v>
      </c>
      <c r="B42" s="3" t="s">
        <v>14</v>
      </c>
      <c r="C42" t="s">
        <v>419</v>
      </c>
      <c r="D42" t="s">
        <v>44</v>
      </c>
      <c r="E42" s="1">
        <v>44013</v>
      </c>
    </row>
    <row r="43" spans="1:5" x14ac:dyDescent="0.7">
      <c r="A43" t="s">
        <v>503</v>
      </c>
      <c r="B43" s="3" t="s">
        <v>14</v>
      </c>
      <c r="C43" t="s">
        <v>429</v>
      </c>
      <c r="D43" t="s">
        <v>60</v>
      </c>
      <c r="E43" s="1">
        <v>44044</v>
      </c>
    </row>
    <row r="44" spans="1:5" x14ac:dyDescent="0.7">
      <c r="A44" t="str">
        <f>HYPERLINK("https://rocky-and-hopper.sakura.ne.jp/Kisho-Michelin/8399/978-4-8399-7308-7.htm","マイナビ将棋BOOKS とっておきのエルモ")</f>
        <v>マイナビ将棋BOOKS とっておきのエルモ</v>
      </c>
      <c r="B44" s="3" t="s">
        <v>14</v>
      </c>
      <c r="C44" t="s">
        <v>430</v>
      </c>
      <c r="D44" t="s">
        <v>61</v>
      </c>
      <c r="E44" s="1">
        <v>44013</v>
      </c>
    </row>
    <row r="45" spans="1:5" x14ac:dyDescent="0.7">
      <c r="A45" t="str">
        <f>HYPERLINK("https://rocky-and-hopper.sakura.ne.jp/Kisho-Michelin/8399/978-4-8399-7354-4.htm","マイナビ将棋BOOKS 振り飛車を一刀両断！右四間飛車エルモ囲い")</f>
        <v>マイナビ将棋BOOKS 振り飛車を一刀両断！右四間飛車エルモ囲い</v>
      </c>
      <c r="B45" s="3" t="s">
        <v>14</v>
      </c>
      <c r="C45" t="s">
        <v>430</v>
      </c>
      <c r="D45" t="s">
        <v>62</v>
      </c>
      <c r="E45" s="1">
        <v>43983</v>
      </c>
    </row>
    <row r="46" spans="1:5" x14ac:dyDescent="0.7">
      <c r="A46" t="str">
        <f>HYPERLINK("https://rocky-and-hopper.sakura.ne.jp/Kisho-Michelin/8399/978-4-8399-7361-2.htm","マイナビ将棋BOOKS 最速で敵陣突破！角換わり早繰り銀")</f>
        <v>マイナビ将棋BOOKS 最速で敵陣突破！角換わり早繰り銀</v>
      </c>
      <c r="B46" s="3" t="s">
        <v>12</v>
      </c>
      <c r="C46" t="s">
        <v>1</v>
      </c>
      <c r="D46" t="s">
        <v>63</v>
      </c>
      <c r="E46" s="1">
        <v>43983</v>
      </c>
    </row>
    <row r="47" spans="1:5" x14ac:dyDescent="0.7">
      <c r="A47" t="str">
        <f>HYPERLINK("https://rocky-and-hopper.sakura.ne.jp/Kisho-Michelin/8399/978-4-8399-7289-9.htm","マイナビ将棋BOOKS 角交換振り飛車破りの決定版！ 地下鉄飛車徹底ガイド")</f>
        <v>マイナビ将棋BOOKS 角交換振り飛車破りの決定版！ 地下鉄飛車徹底ガイド</v>
      </c>
      <c r="B47" s="3" t="s">
        <v>12</v>
      </c>
      <c r="C47" t="s">
        <v>20</v>
      </c>
      <c r="D47" t="s">
        <v>17</v>
      </c>
      <c r="E47" s="1">
        <v>43952</v>
      </c>
    </row>
    <row r="48" spans="1:5" x14ac:dyDescent="0.7">
      <c r="A48" t="str">
        <f>HYPERLINK("https://rocky-and-hopper.sakura.ne.jp/Kisho-Michelin/8399/978-4-8399-7173-1.htm","マイナビ将棋BOOKS 堅陣で圧倒！ 対中飛車 一直線穴熊")</f>
        <v>マイナビ将棋BOOKS 堅陣で圧倒！ 対中飛車 一直線穴熊</v>
      </c>
      <c r="B48" s="3" t="s">
        <v>12</v>
      </c>
      <c r="C48" t="s">
        <v>64</v>
      </c>
      <c r="D48" t="s">
        <v>65</v>
      </c>
      <c r="E48" s="1">
        <v>43952</v>
      </c>
    </row>
    <row r="49" spans="1:5" x14ac:dyDescent="0.7">
      <c r="A49" t="str">
        <f>HYPERLINK("https://rocky-and-hopper.sakura.ne.jp/Kisho-Michelin/8399/978-4-8399-7288-2.htm","マイナビ将棋BOOKS 圧倒的破壊力！藤森流なんでも右四間飛車")</f>
        <v>マイナビ将棋BOOKS 圧倒的破壊力！藤森流なんでも右四間飛車</v>
      </c>
      <c r="B49" s="3" t="s">
        <v>14</v>
      </c>
      <c r="C49" t="s">
        <v>431</v>
      </c>
      <c r="D49" t="s">
        <v>66</v>
      </c>
      <c r="E49" s="1">
        <v>43922</v>
      </c>
    </row>
    <row r="50" spans="1:5" x14ac:dyDescent="0.7">
      <c r="A50" t="str">
        <f>HYPERLINK("https://rocky-and-hopper.sakura.ne.jp/Kisho-Michelin/8399/978-4-8399-7334-6.htm","マイナビ将棋BOOKS 耀龍四間飛車 美濃囲いから王様を一路ずらしてみたらビックリするほど勝てる陣形ができた")</f>
        <v>マイナビ将棋BOOKS 耀龍四間飛車 美濃囲いから王様を一路ずらしてみたらビックリするほど勝てる陣形ができた</v>
      </c>
      <c r="B50" s="3" t="s">
        <v>14</v>
      </c>
      <c r="C50" t="s">
        <v>8</v>
      </c>
      <c r="D50" t="s">
        <v>67</v>
      </c>
      <c r="E50" s="1">
        <v>43922</v>
      </c>
    </row>
    <row r="51" spans="1:5" x14ac:dyDescent="0.7">
      <c r="A51" t="str">
        <f>HYPERLINK("https://rocky-and-hopper.sakura.ne.jp/Kisho-Michelin/16/978-4-16-391200-4.htm","文春e-book うつ病九段")</f>
        <v>文春e-book うつ病九段</v>
      </c>
      <c r="B51" s="3" t="s">
        <v>0</v>
      </c>
      <c r="D51" t="s">
        <v>68</v>
      </c>
      <c r="E51" s="1">
        <v>43922</v>
      </c>
    </row>
    <row r="52" spans="1:5" x14ac:dyDescent="0.7">
      <c r="A52" t="str">
        <f>HYPERLINK("https://rocky-and-hopper.sakura.ne.jp/Kisho-Michelin/8399/978-4-8399-7287-5.htm","マイナビ将棋BOOKS 将棋革命！振り飛車ミレニアム戦法")</f>
        <v>マイナビ将棋BOOKS 将棋革命！振り飛車ミレニアム戦法</v>
      </c>
      <c r="B52" s="3" t="s">
        <v>18</v>
      </c>
      <c r="C52" t="s">
        <v>20</v>
      </c>
      <c r="D52" t="s">
        <v>69</v>
      </c>
      <c r="E52" s="1">
        <v>43891</v>
      </c>
    </row>
    <row r="53" spans="1:5" x14ac:dyDescent="0.7">
      <c r="A53" t="str">
        <f>HYPERLINK("https://rocky-and-hopper.sakura.ne.jp/Kisho-Michelin/8399/978-4-8399-7243-1.htm","マイナビ将棋BOOKS よくわかる雁木")</f>
        <v>マイナビ将棋BOOKS よくわかる雁木</v>
      </c>
      <c r="B53" s="3" t="s">
        <v>12</v>
      </c>
      <c r="C53" t="s">
        <v>1</v>
      </c>
      <c r="D53" t="s">
        <v>70</v>
      </c>
      <c r="E53" s="1">
        <v>43891</v>
      </c>
    </row>
    <row r="54" spans="1:5" x14ac:dyDescent="0.7">
      <c r="A54" t="str">
        <f>HYPERLINK("https://rocky-and-hopper.sakura.ne.jp/Kisho-Michelin/422/978-4-422-75149-8.htm","目からウロコ！今どき将棋格言")</f>
        <v>目からウロコ！今どき将棋格言</v>
      </c>
      <c r="B54" s="3" t="s">
        <v>12</v>
      </c>
      <c r="C54" t="s">
        <v>432</v>
      </c>
      <c r="D54" t="s">
        <v>71</v>
      </c>
      <c r="E54" s="1">
        <v>43891</v>
      </c>
    </row>
    <row r="55" spans="1:5" x14ac:dyDescent="0.7">
      <c r="A55" t="str">
        <f>HYPERLINK("https://rocky-and-hopper.sakura.ne.jp/Kisho-Michelin/8399/978-4-8399-7224-0.htm","斎藤慎太郎の 角換わり腰掛け銀研究")</f>
        <v>斎藤慎太郎の 角換わり腰掛け銀研究</v>
      </c>
      <c r="B55" s="3" t="s">
        <v>0</v>
      </c>
      <c r="C55" t="s">
        <v>1</v>
      </c>
      <c r="D55" t="s">
        <v>72</v>
      </c>
      <c r="E55" s="1">
        <v>43891</v>
      </c>
    </row>
    <row r="56" spans="1:5" x14ac:dyDescent="0.7">
      <c r="A56" t="str">
        <f>HYPERLINK("https://rocky-and-hopper.sakura.ne.jp/Kisho-Michelin/8399/978-4-8399-7196-0.htm","マイナビ将棋BOOKS 横歩取り▲5八玉＆▲6八玉戦法")</f>
        <v>マイナビ将棋BOOKS 横歩取り▲5八玉＆▲6八玉戦法</v>
      </c>
      <c r="B56" s="3" t="s">
        <v>18</v>
      </c>
      <c r="C56" t="s">
        <v>34</v>
      </c>
      <c r="D56" t="s">
        <v>19</v>
      </c>
      <c r="E56" s="1">
        <v>43862</v>
      </c>
    </row>
    <row r="57" spans="1:5" x14ac:dyDescent="0.7">
      <c r="A57" t="str">
        <f>HYPERLINK("https://rocky-and-hopper.sakura.ne.jp/Kisho-Michelin/8399/978-4-8399-7135-9.htm","マイナビ将棋BOOKS 中飛車粉砕！超速▲3七銀戦法のすべて")</f>
        <v>マイナビ将棋BOOKS 中飛車粉砕！超速▲3七銀戦法のすべて</v>
      </c>
      <c r="B57" s="3" t="s">
        <v>14</v>
      </c>
      <c r="C57" t="s">
        <v>64</v>
      </c>
      <c r="D57" t="s">
        <v>73</v>
      </c>
      <c r="E57" s="1">
        <v>43831</v>
      </c>
    </row>
    <row r="58" spans="1:5" x14ac:dyDescent="0.7">
      <c r="A58" t="str">
        <f>HYPERLINK("https://rocky-and-hopper.sakura.ne.jp/Kisho-Michelin/8399/978-4-8399-7138-0.htm","マイナビ将棋文庫 2手詰 相手の手を読む新感覚トレーニング")</f>
        <v>マイナビ将棋文庫 2手詰 相手の手を読む新感覚トレーニング</v>
      </c>
      <c r="B58" s="3" t="s">
        <v>14</v>
      </c>
      <c r="D58" t="s">
        <v>69</v>
      </c>
      <c r="E58" s="1">
        <v>43800</v>
      </c>
    </row>
    <row r="59" spans="1:5" x14ac:dyDescent="0.7">
      <c r="A59" t="str">
        <f>HYPERLINK("https://rocky-and-hopper.sakura.ne.jp/Kisho-Michelin/8399/978-4-8399-6791-8.htm","マイナビ将棋文庫 妙手に俗手、駒余りもあり！実戦詰め筋事典")</f>
        <v>マイナビ将棋文庫 妙手に俗手、駒余りもあり！実戦詰め筋事典</v>
      </c>
      <c r="B59" s="3" t="s">
        <v>14</v>
      </c>
      <c r="D59" t="s">
        <v>33</v>
      </c>
      <c r="E59" s="1">
        <v>43435</v>
      </c>
    </row>
    <row r="60" spans="1:5" x14ac:dyDescent="0.7">
      <c r="A60" t="str">
        <f>HYPERLINK("https://rocky-and-hopper.sakura.ne.jp/Kisho-Michelin/8399/978-4-8399-7134-2.htm","マイナビ将棋BOOKS 現代角換わりのすべて")</f>
        <v>マイナビ将棋BOOKS 現代角換わりのすべて</v>
      </c>
      <c r="B60" s="3" t="s">
        <v>0</v>
      </c>
      <c r="C60" t="s">
        <v>1</v>
      </c>
      <c r="D60" t="s">
        <v>23</v>
      </c>
      <c r="E60" s="1">
        <v>43800</v>
      </c>
    </row>
    <row r="61" spans="1:5" x14ac:dyDescent="0.7">
      <c r="A61" t="str">
        <f>HYPERLINK("https://rocky-and-hopper.sakura.ne.jp/Kisho-Michelin/8399/978-4-8399-7137-3.htm","令和新手白書 【振り飛車編】")</f>
        <v>令和新手白書 【振り飛車編】</v>
      </c>
      <c r="B61" s="3" t="s">
        <v>14</v>
      </c>
      <c r="C61" t="s">
        <v>425</v>
      </c>
      <c r="D61" t="s">
        <v>74</v>
      </c>
      <c r="E61" s="1">
        <v>43800</v>
      </c>
    </row>
    <row r="62" spans="1:5" x14ac:dyDescent="0.7">
      <c r="A62" t="str">
        <f>HYPERLINK("https://rocky-and-hopper.sakura.ne.jp/Kisho-Michelin/8399/978-4-8399-7126-7.htm","マイナビ将棋BOOKS 将棋 初段の常識手筋")</f>
        <v>マイナビ将棋BOOKS 将棋 初段の常識手筋</v>
      </c>
      <c r="B62" s="3" t="s">
        <v>12</v>
      </c>
      <c r="C62" t="s">
        <v>433</v>
      </c>
      <c r="D62" t="s">
        <v>75</v>
      </c>
      <c r="E62" s="1">
        <v>43800</v>
      </c>
    </row>
    <row r="63" spans="1:5" x14ac:dyDescent="0.7">
      <c r="A63" t="str">
        <f>HYPERLINK("https://rocky-and-hopper.sakura.ne.jp/Kisho-Michelin/8399/978-4-8399-7121-2.htm","マイナビ将棋BOOKS 英春流 かまいたち＆カメレオン戦法")</f>
        <v>マイナビ将棋BOOKS 英春流 かまいたち＆カメレオン戦法</v>
      </c>
      <c r="B63" s="3" t="s">
        <v>12</v>
      </c>
      <c r="C63" t="s">
        <v>20</v>
      </c>
      <c r="D63" t="s">
        <v>76</v>
      </c>
      <c r="E63" s="1">
        <v>43770</v>
      </c>
    </row>
    <row r="64" spans="1:5" x14ac:dyDescent="0.7">
      <c r="A64" t="str">
        <f>HYPERLINK("https://rocky-and-hopper.sakura.ne.jp/Kisho-Michelin/8399/978-4-8399-7104-5.htm","マイナビ将棋文庫 直感精読 加藤一二三の詰将棋")</f>
        <v>マイナビ将棋文庫 直感精読 加藤一二三の詰将棋</v>
      </c>
      <c r="B64" s="3" t="s">
        <v>14</v>
      </c>
      <c r="D64" t="s">
        <v>77</v>
      </c>
      <c r="E64" s="1">
        <v>43739</v>
      </c>
    </row>
    <row r="65" spans="1:5" x14ac:dyDescent="0.7">
      <c r="A65" t="str">
        <f>HYPERLINK("https://rocky-and-hopper.sakura.ne.jp/Kisho-Michelin/8399/978-4-8399-7124-3.htm","マイナビ将棋BOOKS ▲6七金左型矢倉 徹底ガイド")</f>
        <v>マイナビ将棋BOOKS ▲6七金左型矢倉 徹底ガイド</v>
      </c>
      <c r="B65" s="3" t="s">
        <v>18</v>
      </c>
      <c r="C65" t="s">
        <v>41</v>
      </c>
      <c r="D65" t="s">
        <v>44</v>
      </c>
      <c r="E65" s="1">
        <v>43770</v>
      </c>
    </row>
    <row r="66" spans="1:5" x14ac:dyDescent="0.7">
      <c r="A66" t="str">
        <f>HYPERLINK("https://rocky-and-hopper.sakura.ne.jp/Kisho-Michelin/8399/978-4-8399-7123-6.htm","マイナビ将棋BOOKS 受けが弱いと将棋は勝てない 今泉流受けの極意")</f>
        <v>マイナビ将棋BOOKS 受けが弱いと将棋は勝てない 今泉流受けの極意</v>
      </c>
      <c r="B66" s="3" t="s">
        <v>14</v>
      </c>
      <c r="D66" t="s">
        <v>78</v>
      </c>
      <c r="E66" s="1">
        <v>43770</v>
      </c>
    </row>
    <row r="67" spans="1:5" x14ac:dyDescent="0.7">
      <c r="A67" t="str">
        <f>HYPERLINK("https://rocky-and-hopper.sakura.ne.jp/Kisho-Michelin/8399/978-4-8399-7129-8.htm","マイナビ将棋文庫 3手詰修了検定")</f>
        <v>マイナビ将棋文庫 3手詰修了検定</v>
      </c>
      <c r="B67" s="3" t="s">
        <v>14</v>
      </c>
      <c r="D67" t="s">
        <v>79</v>
      </c>
      <c r="E67" s="1">
        <v>43770</v>
      </c>
    </row>
    <row r="68" spans="1:5" x14ac:dyDescent="0.7">
      <c r="A68" t="str">
        <f>HYPERLINK("https://rocky-and-hopper.sakura.ne.jp/Kisho-Michelin/8399/978-4-8399-7072-7.htm","マイナビ将棋BOOKS 角交換相振り飛車 徹底ガイド")</f>
        <v>マイナビ将棋BOOKS 角交換相振り飛車 徹底ガイド</v>
      </c>
      <c r="B68" s="3" t="s">
        <v>14</v>
      </c>
      <c r="C68" t="s">
        <v>422</v>
      </c>
      <c r="D68" t="s">
        <v>80</v>
      </c>
      <c r="E68" s="1">
        <v>43709</v>
      </c>
    </row>
    <row r="69" spans="1:5" x14ac:dyDescent="0.7">
      <c r="A69" t="str">
        <f>HYPERLINK("https://rocky-and-hopper.sakura.ne.jp/Kisho-Michelin/8399/978-4-8399-7090-1.htm","マイナビムック 将棋世界Special 将棋戦法事典100＋ 王道 流行 珍戦法 完全網羅！")</f>
        <v>マイナビムック 将棋世界Special 将棋戦法事典100＋ 王道 流行 珍戦法 完全網羅！</v>
      </c>
      <c r="B69" s="3" t="s">
        <v>14</v>
      </c>
      <c r="C69" t="s">
        <v>434</v>
      </c>
      <c r="D69" t="s">
        <v>57</v>
      </c>
      <c r="E69" s="1">
        <v>43709</v>
      </c>
    </row>
    <row r="70" spans="1:5" x14ac:dyDescent="0.7">
      <c r="A70" t="str">
        <f>HYPERLINK("https://rocky-and-hopper.sakura.ne.jp/Kisho-Michelin/8399/978-4-8399-6950-9.htm","マイナビ将棋BOOKS スリル＆ロマン 対振り飛車右玉")</f>
        <v>マイナビ将棋BOOKS スリル＆ロマン 対振り飛車右玉</v>
      </c>
      <c r="B70" s="3" t="s">
        <v>18</v>
      </c>
      <c r="C70" t="s">
        <v>419</v>
      </c>
      <c r="D70" t="s">
        <v>81</v>
      </c>
      <c r="E70" s="1">
        <v>43709</v>
      </c>
    </row>
    <row r="71" spans="1:5" x14ac:dyDescent="0.7">
      <c r="A71" t="str">
        <f>HYPERLINK("https://rocky-and-hopper.sakura.ne.jp/Kisho-Michelin/8399/978-4-8399-7033-8.htm","マイナビ将棋文庫 令和版 囲いの破り方")</f>
        <v>マイナビ将棋文庫 令和版 囲いの破り方</v>
      </c>
      <c r="B71" s="3" t="s">
        <v>14</v>
      </c>
      <c r="C71" t="s">
        <v>435</v>
      </c>
      <c r="D71" t="s">
        <v>75</v>
      </c>
      <c r="E71" s="1">
        <v>43647</v>
      </c>
    </row>
    <row r="72" spans="1:5" x14ac:dyDescent="0.7">
      <c r="A72" t="str">
        <f>HYPERLINK("https://rocky-and-hopper.sakura.ne.jp/Kisho-Michelin/8399/978-4-8399-7070-3.htm","マイナビ将棋BOOKS 相掛かり▲6八玉型 徹底ガイド")</f>
        <v>マイナビ将棋BOOKS 相掛かり▲6八玉型 徹底ガイド</v>
      </c>
      <c r="B72" s="3" t="s">
        <v>14</v>
      </c>
      <c r="C72" t="s">
        <v>59</v>
      </c>
      <c r="D72" t="s">
        <v>82</v>
      </c>
      <c r="E72" s="1">
        <v>43678</v>
      </c>
    </row>
    <row r="73" spans="1:5" x14ac:dyDescent="0.7">
      <c r="A73" t="str">
        <f>HYPERLINK("https://rocky-and-hopper.sakura.ne.jp/Kisho-Michelin/8399/978-4-8399-7000-0.htm","マイナビ将棋BOOKS △3三金型振り飛車 徹底ガイド")</f>
        <v>マイナビ将棋BOOKS △3三金型振り飛車 徹底ガイド</v>
      </c>
      <c r="B73" s="3" t="s">
        <v>14</v>
      </c>
      <c r="C73" t="s">
        <v>418</v>
      </c>
      <c r="D73" t="s">
        <v>83</v>
      </c>
      <c r="E73" s="1">
        <v>43647</v>
      </c>
    </row>
    <row r="74" spans="1:5" x14ac:dyDescent="0.7">
      <c r="A74" t="str">
        <f>HYPERLINK("https://rocky-and-hopper.sakura.ne.jp/Kisho-Michelin/8399/978-4-8399-6993-6.htm","マイナビ将棋BOOKS 誰も言わなかった右玉の破り方")</f>
        <v>マイナビ将棋BOOKS 誰も言わなかった右玉の破り方</v>
      </c>
      <c r="B74" s="3" t="s">
        <v>18</v>
      </c>
      <c r="C74" t="s">
        <v>45</v>
      </c>
      <c r="D74" t="s">
        <v>84</v>
      </c>
      <c r="E74" s="1">
        <v>43647</v>
      </c>
    </row>
    <row r="75" spans="1:5" x14ac:dyDescent="0.7">
      <c r="A75" t="str">
        <f>HYPERLINK("https://rocky-and-hopper.sakura.ne.jp/Kisho-Michelin/8399/978-4-8399-6998-1.htm","マイナビ将棋BOOKS 角交換四間飛車の新常識 最強△3三角型")</f>
        <v>マイナビ将棋BOOKS 角交換四間飛車の新常識 最強△3三角型</v>
      </c>
      <c r="B75" s="3" t="s">
        <v>18</v>
      </c>
      <c r="C75" t="s">
        <v>8</v>
      </c>
      <c r="D75" t="s">
        <v>85</v>
      </c>
      <c r="E75" s="1">
        <v>43647</v>
      </c>
    </row>
    <row r="76" spans="1:5" x14ac:dyDescent="0.7">
      <c r="A76" t="str">
        <f>HYPERLINK("https://rocky-and-hopper.sakura.ne.jp/Kisho-Michelin/594/978-4-594-08237-6.htm","扶桑社新書 将棋「観る将になれるかな」会議")</f>
        <v>扶桑社新書 将棋「観る将になれるかな」会議</v>
      </c>
      <c r="B76" s="3" t="s">
        <v>18</v>
      </c>
      <c r="C76" t="s">
        <v>420</v>
      </c>
      <c r="D76" t="s">
        <v>86</v>
      </c>
      <c r="E76" s="1">
        <v>43617</v>
      </c>
    </row>
    <row r="77" spans="1:5" x14ac:dyDescent="0.7">
      <c r="A77" t="str">
        <f>HYPERLINK("https://rocky-and-hopper.sakura.ne.jp/Kisho-Michelin/8399/978-4-8399-5569-4.htm","マイナビ将棋BOOKS 奇襲研究所 嬉野流編")</f>
        <v>マイナビ将棋BOOKS 奇襲研究所 嬉野流編</v>
      </c>
      <c r="B77" s="3" t="s">
        <v>14</v>
      </c>
      <c r="C77" t="s">
        <v>20</v>
      </c>
      <c r="D77" t="s">
        <v>87</v>
      </c>
      <c r="E77" s="1">
        <v>42125</v>
      </c>
    </row>
    <row r="78" spans="1:5" x14ac:dyDescent="0.7">
      <c r="A78" t="str">
        <f>HYPERLINK("https://rocky-and-hopper.sakura.ne.jp/Kisho-Michelin/8399/978-4-8399-6932-5.htm","マイナビ将棋BOOKS さわやか流疾風三間飛車")</f>
        <v>マイナビ将棋BOOKS さわやか流疾風三間飛車</v>
      </c>
      <c r="B78" s="3" t="s">
        <v>52</v>
      </c>
      <c r="C78" t="s">
        <v>22</v>
      </c>
      <c r="D78" t="s">
        <v>88</v>
      </c>
      <c r="E78" s="1">
        <v>43617</v>
      </c>
    </row>
    <row r="79" spans="1:5" x14ac:dyDescent="0.7">
      <c r="A79" t="str">
        <f>HYPERLINK("https://rocky-and-hopper.sakura.ne.jp/Kisho-Michelin/8399/978-4-8399-6574-7.htm","マイナビ将棋BOOKS 変幻自在！現代右玉のすべて")</f>
        <v>マイナビ将棋BOOKS 変幻自在！現代右玉のすべて</v>
      </c>
      <c r="B79" s="3" t="s">
        <v>14</v>
      </c>
      <c r="C79" t="s">
        <v>436</v>
      </c>
      <c r="D79" t="s">
        <v>30</v>
      </c>
      <c r="E79" s="1">
        <v>43221</v>
      </c>
    </row>
    <row r="80" spans="1:5" x14ac:dyDescent="0.7">
      <c r="A80" t="str">
        <f>HYPERLINK("https://rocky-and-hopper.sakura.ne.jp/Kisho-Michelin/8399/978-4-8399-6914-1.htm","マイナビ将棋BOOKS 急所を直撃！とっておきの雁木破り")</f>
        <v>マイナビ将棋BOOKS 急所を直撃！とっておきの雁木破り</v>
      </c>
      <c r="B80" s="3" t="s">
        <v>18</v>
      </c>
      <c r="C80" t="s">
        <v>437</v>
      </c>
      <c r="D80" t="s">
        <v>89</v>
      </c>
      <c r="E80" s="1">
        <v>43586</v>
      </c>
    </row>
    <row r="81" spans="1:5" x14ac:dyDescent="0.7">
      <c r="A81" t="str">
        <f>HYPERLINK("https://rocky-and-hopper.sakura.ne.jp/Kisho-Michelin/8399/978-4-8399-6843-4.htm","マイナビ将棋BOOKS もはや死角なし！進化版 極限早繰り銀")</f>
        <v>マイナビ将棋BOOKS もはや死角なし！進化版 極限早繰り銀</v>
      </c>
      <c r="B81" s="3" t="s">
        <v>18</v>
      </c>
      <c r="C81" t="s">
        <v>432</v>
      </c>
      <c r="D81" t="s">
        <v>90</v>
      </c>
      <c r="E81" s="1">
        <v>43556</v>
      </c>
    </row>
    <row r="82" spans="1:5" x14ac:dyDescent="0.7">
      <c r="A82" t="str">
        <f>HYPERLINK("https://rocky-and-hopper.sakura.ne.jp/Kisho-Michelin/8399/978-4-8399-6948-6.htm","マイナビ将棋BOOKS 大橋貴洸の新研究 耀龍ひねり飛車")</f>
        <v>マイナビ将棋BOOKS 大橋貴洸の新研究 耀龍ひねり飛車</v>
      </c>
      <c r="B82" s="3" t="s">
        <v>14</v>
      </c>
      <c r="C82" t="s">
        <v>34</v>
      </c>
      <c r="D82" t="s">
        <v>67</v>
      </c>
      <c r="E82" s="1">
        <v>43556</v>
      </c>
    </row>
    <row r="83" spans="1:5" x14ac:dyDescent="0.7">
      <c r="A83" t="str">
        <f>HYPERLINK("https://rocky-and-hopper.sakura.ne.jp/Kisho-Michelin/8399/978-4-8399-6912-7.htm","マイナビ将棋BOOKS 対振り飛車の大革命 エルモ囲い急戦")</f>
        <v>マイナビ将棋BOOKS 対振り飛車の大革命 エルモ囲い急戦</v>
      </c>
      <c r="B83" s="3" t="s">
        <v>12</v>
      </c>
      <c r="C83" t="s">
        <v>430</v>
      </c>
      <c r="D83" t="s">
        <v>69</v>
      </c>
      <c r="E83" s="1">
        <v>43556</v>
      </c>
    </row>
    <row r="84" spans="1:5" x14ac:dyDescent="0.7">
      <c r="A84" t="str">
        <f>HYPERLINK("https://rocky-and-hopper.sakura.ne.jp/Kisho-Michelin/8399/978-4-8399-6404-7.htm","マイナビ将棋BOOKS 徹底解明！横歩取りの最重要テーマ")</f>
        <v>マイナビ将棋BOOKS 徹底解明！横歩取りの最重要テーマ</v>
      </c>
      <c r="B84" s="3" t="s">
        <v>14</v>
      </c>
      <c r="C84" t="s">
        <v>34</v>
      </c>
      <c r="D84" t="s">
        <v>91</v>
      </c>
      <c r="E84" s="1">
        <v>43132</v>
      </c>
    </row>
    <row r="85" spans="1:5" x14ac:dyDescent="0.7">
      <c r="A85" t="str">
        <f>HYPERLINK("https://rocky-and-hopper.sakura.ne.jp/Kisho-Michelin/8399/978-4-8399-6812-0.htm","マイナビ将棋BOOKS 勝ちやすさNo.1！ 対振りなんでも居飛車穴熊")</f>
        <v>マイナビ将棋BOOKS 勝ちやすさNo.1！ 対振りなんでも居飛車穴熊</v>
      </c>
      <c r="B85" s="3" t="s">
        <v>12</v>
      </c>
      <c r="C85" t="s">
        <v>438</v>
      </c>
      <c r="D85" t="s">
        <v>17</v>
      </c>
      <c r="E85" s="1">
        <v>43525</v>
      </c>
    </row>
    <row r="86" spans="1:5" x14ac:dyDescent="0.7">
      <c r="A86" t="str">
        <f>HYPERLINK("https://rocky-and-hopper.sakura.ne.jp/Kisho-Michelin/8399/978-4-8399-6822-9.htm","マイナビ将棋BOOKS 振り飛車の新機軸！ 初手▲7八飛戦法")</f>
        <v>マイナビ将棋BOOKS 振り飛車の新機軸！ 初手▲7八飛戦法</v>
      </c>
      <c r="B86" s="3" t="s">
        <v>18</v>
      </c>
      <c r="C86" t="s">
        <v>45</v>
      </c>
      <c r="D86" t="s">
        <v>92</v>
      </c>
      <c r="E86" s="1">
        <v>43525</v>
      </c>
    </row>
    <row r="87" spans="1:5" x14ac:dyDescent="0.7">
      <c r="A87" t="str">
        <f>HYPERLINK("https://rocky-and-hopper.sakura.ne.jp/Kisho-Michelin/8399/978-4-8399-6880-9.htm","マイナビ将棋BOOKS 矢倉の新常識")</f>
        <v>マイナビ将棋BOOKS 矢倉の新常識</v>
      </c>
      <c r="B87" s="3" t="s">
        <v>14</v>
      </c>
      <c r="C87" t="s">
        <v>439</v>
      </c>
      <c r="D87" t="s">
        <v>47</v>
      </c>
      <c r="E87" s="1">
        <v>43525</v>
      </c>
    </row>
    <row r="88" spans="1:5" x14ac:dyDescent="0.7">
      <c r="A88" t="str">
        <f>HYPERLINK("https://rocky-and-hopper.sakura.ne.jp/Kisho-Michelin/8399/978-4-8399-6853-3.htm","マイナビ将棋BOOKS 将棋 平成新手白書 【居飛車編】 将棋は30年でどうかわったか？")</f>
        <v>マイナビ将棋BOOKS 将棋 平成新手白書 【居飛車編】 将棋は30年でどうかわったか？</v>
      </c>
      <c r="B88" s="3" t="s">
        <v>14</v>
      </c>
      <c r="C88" t="s">
        <v>59</v>
      </c>
      <c r="D88" t="s">
        <v>93</v>
      </c>
      <c r="E88" s="1">
        <v>43497</v>
      </c>
    </row>
    <row r="89" spans="1:5" x14ac:dyDescent="0.7">
      <c r="A89" t="str">
        <f>HYPERLINK("https://rocky-and-hopper.sakura.ne.jp/Kisho-Michelin/8399/978-4-8399-5193-1.htm","マイナビ将棋BOOKS 対振り革命 中飛車左穴熊")</f>
        <v>マイナビ将棋BOOKS 対振り革命 中飛車左穴熊</v>
      </c>
      <c r="B89" s="3" t="s">
        <v>0</v>
      </c>
      <c r="C89" t="s">
        <v>417</v>
      </c>
      <c r="D89" t="s">
        <v>80</v>
      </c>
      <c r="E89" s="1">
        <v>41791</v>
      </c>
    </row>
    <row r="90" spans="1:5" x14ac:dyDescent="0.7">
      <c r="A90" t="str">
        <f>HYPERLINK("https://rocky-and-hopper.sakura.ne.jp/Kisho-Michelin/8399/978-4-8399-6873-1.htm","マイナビ将棋BOOKS 藤森式 青野流 絶対退かない横歩取り")</f>
        <v>マイナビ将棋BOOKS 藤森式 青野流 絶対退かない横歩取り</v>
      </c>
      <c r="B90" s="3" t="s">
        <v>14</v>
      </c>
      <c r="C90" t="s">
        <v>34</v>
      </c>
      <c r="D90" t="s">
        <v>66</v>
      </c>
      <c r="E90" s="1">
        <v>43497</v>
      </c>
    </row>
    <row r="91" spans="1:5" x14ac:dyDescent="0.7">
      <c r="A91" t="str">
        <f>HYPERLINK("https://rocky-and-hopper.sakura.ne.jp/Kisho-Michelin/8399/978-4-8399-6526-6.htm","マイナビ将棋BOOKS 振り飛車最前線 対中飛車 角道不突き左美濃")</f>
        <v>マイナビ将棋BOOKS 振り飛車最前線 対中飛車 角道不突き左美濃</v>
      </c>
      <c r="B91" s="3" t="s">
        <v>12</v>
      </c>
      <c r="C91" t="s">
        <v>440</v>
      </c>
      <c r="D91" t="s">
        <v>31</v>
      </c>
      <c r="E91" s="1">
        <v>43132</v>
      </c>
    </row>
    <row r="92" spans="1:5" x14ac:dyDescent="0.7">
      <c r="A92" t="str">
        <f>HYPERLINK("https://rocky-and-hopper.sakura.ne.jp/Kisho-Michelin/07/978-4-07-431786-8.htm","初心者が初段になるための将棋学習法")</f>
        <v>初心者が初段になるための将棋学習法</v>
      </c>
      <c r="B92" s="3" t="s">
        <v>14</v>
      </c>
      <c r="C92" t="s">
        <v>441</v>
      </c>
      <c r="D92" t="s">
        <v>94</v>
      </c>
      <c r="E92" t="s">
        <v>95</v>
      </c>
    </row>
    <row r="93" spans="1:5" x14ac:dyDescent="0.7">
      <c r="A93" t="str">
        <f>HYPERLINK("https://rocky-and-hopper.sakura.ne.jp/Kisho-Michelin/8399/978-4-8399-6813-7.htm","マイナビ将棋BOOKS 必勝 三間飛車破り")</f>
        <v>マイナビ将棋BOOKS 必勝 三間飛車破り</v>
      </c>
      <c r="B93" s="3" t="s">
        <v>12</v>
      </c>
      <c r="C93" t="s">
        <v>96</v>
      </c>
      <c r="D93" t="s">
        <v>97</v>
      </c>
      <c r="E93" s="1">
        <v>43466</v>
      </c>
    </row>
    <row r="94" spans="1:5" x14ac:dyDescent="0.7">
      <c r="A94" t="str">
        <f>HYPERLINK("https://rocky-and-hopper.sakura.ne.jp/Kisho-Michelin/8399/978-4-8399-6839-7.htm","マイナビ将棋BOOKS 戸辺流 こだわりのゴキゲン中飛車")</f>
        <v>マイナビ将棋BOOKS 戸辺流 こだわりのゴキゲン中飛車</v>
      </c>
      <c r="B94" s="3" t="s">
        <v>14</v>
      </c>
      <c r="C94" t="s">
        <v>64</v>
      </c>
      <c r="D94" t="s">
        <v>98</v>
      </c>
      <c r="E94" s="1">
        <v>43466</v>
      </c>
    </row>
    <row r="95" spans="1:5" x14ac:dyDescent="0.7">
      <c r="A95" t="str">
        <f>HYPERLINK("https://rocky-and-hopper.sakura.ne.jp/Kisho-Michelin/8399/978-4-8399-6811-3.htm","マイナビ将棋BOOKS 将棋・勝利の方程式 必至の極意")</f>
        <v>マイナビ将棋BOOKS 将棋・勝利の方程式 必至の極意</v>
      </c>
      <c r="B95" s="3" t="s">
        <v>14</v>
      </c>
      <c r="D95" t="s">
        <v>19</v>
      </c>
      <c r="E95" s="1">
        <v>43466</v>
      </c>
    </row>
    <row r="96" spans="1:5" x14ac:dyDescent="0.7">
      <c r="A96" t="str">
        <f>HYPERLINK("https://rocky-and-hopper.sakura.ne.jp/Kisho-Michelin/8399/978-4-8399-6171-8.htm","マイナビ将棋BOOKS 矢倉の基本 駒組みと考え方")</f>
        <v>マイナビ将棋BOOKS 矢倉の基本 駒組みと考え方</v>
      </c>
      <c r="B96" s="3" t="s">
        <v>14</v>
      </c>
      <c r="C96" t="s">
        <v>427</v>
      </c>
      <c r="D96" t="s">
        <v>99</v>
      </c>
      <c r="E96" s="1">
        <v>42948</v>
      </c>
    </row>
    <row r="97" spans="1:5" x14ac:dyDescent="0.7">
      <c r="A97" t="str">
        <f>HYPERLINK("https://rocky-and-hopper.sakura.ne.jp/Kisho-Michelin/8399/978-4-8399-6588-4.htm","マイナビ将棋BOOKS コンピュータ発！現代将棋新定跡")</f>
        <v>マイナビ将棋BOOKS コンピュータ発！現代将棋新定跡</v>
      </c>
      <c r="B97" s="3" t="s">
        <v>14</v>
      </c>
      <c r="C97" t="s">
        <v>1</v>
      </c>
      <c r="D97" t="s">
        <v>100</v>
      </c>
      <c r="E97" s="1">
        <v>43252</v>
      </c>
    </row>
    <row r="98" spans="1:5" x14ac:dyDescent="0.7">
      <c r="A98" t="str">
        <f>HYPERLINK("https://rocky-and-hopper.sakura.ne.jp/Kisho-Michelin/8399/978-4-8399-5099-6.htm","マイナビ将棋BOOKS これからの相振り飛車")</f>
        <v>マイナビ将棋BOOKS これからの相振り飛車</v>
      </c>
      <c r="B98" s="3" t="s">
        <v>14</v>
      </c>
      <c r="C98" t="s">
        <v>430</v>
      </c>
      <c r="D98" t="s">
        <v>28</v>
      </c>
      <c r="E98" s="1">
        <v>41791</v>
      </c>
    </row>
    <row r="99" spans="1:5" x14ac:dyDescent="0.7">
      <c r="A99" t="str">
        <f>HYPERLINK("https://rocky-and-hopper.sakura.ne.jp/Kisho-Michelin/594/978-4-594-08126-3.htm","扶桑社新書 将棋「初段になれるかな」会議")</f>
        <v>扶桑社新書 将棋「初段になれるかな」会議</v>
      </c>
      <c r="B99" s="3" t="s">
        <v>14</v>
      </c>
      <c r="C99" t="s">
        <v>20</v>
      </c>
      <c r="D99" t="s">
        <v>101</v>
      </c>
      <c r="E99" s="1">
        <v>43435</v>
      </c>
    </row>
    <row r="100" spans="1:5" x14ac:dyDescent="0.7">
      <c r="A100" t="str">
        <f>HYPERLINK("https://rocky-and-hopper.sakura.ne.jp/Kisho-Michelin/8399/978-4-8399-6797-0.htm","マイナビ将棋BOOKS 神速！角換わり▲2五歩型 必勝ガイド")</f>
        <v>マイナビ将棋BOOKS 神速！角換わり▲2五歩型 必勝ガイド</v>
      </c>
      <c r="B100" s="3" t="s">
        <v>14</v>
      </c>
      <c r="C100" t="s">
        <v>1</v>
      </c>
      <c r="D100" t="s">
        <v>73</v>
      </c>
      <c r="E100" t="s">
        <v>102</v>
      </c>
    </row>
    <row r="101" spans="1:5" x14ac:dyDescent="0.7">
      <c r="A101" t="str">
        <f>HYPERLINK("https://rocky-and-hopper.sakura.ne.jp/Kisho-Michelin/8399/978-4-8399-6800-7.htm","マイナビ将棋BOOKS 攻めて勝つ！三間飛車の心得")</f>
        <v>マイナビ将棋BOOKS 攻めて勝つ！三間飛車の心得</v>
      </c>
      <c r="B101" s="3" t="s">
        <v>12</v>
      </c>
      <c r="C101" t="s">
        <v>22</v>
      </c>
      <c r="D101" t="s">
        <v>103</v>
      </c>
      <c r="E101" s="1">
        <v>43435</v>
      </c>
    </row>
    <row r="102" spans="1:5" x14ac:dyDescent="0.7">
      <c r="A102" t="str">
        <f>HYPERLINK("https://rocky-and-hopper.sakura.ne.jp/Kisho-Michelin/8399/978-4-8399-6768-0.htm","マイナビ将棋BOOKS 自由自在！中飛車の新常識")</f>
        <v>マイナビ将棋BOOKS 自由自在！中飛車の新常識</v>
      </c>
      <c r="B102" s="3" t="s">
        <v>12</v>
      </c>
      <c r="C102" t="s">
        <v>417</v>
      </c>
      <c r="D102" t="s">
        <v>78</v>
      </c>
      <c r="E102" s="1">
        <v>43405</v>
      </c>
    </row>
    <row r="103" spans="1:5" x14ac:dyDescent="0.7">
      <c r="A103" t="str">
        <f>HYPERLINK("https://rocky-and-hopper.sakura.ne.jp/Kisho-Michelin/8399/978-4-8399-6770-3.htm","マイナビ将棋BOOKS 先崎学＆中村太地 この名局を見よ！ 21世紀編")</f>
        <v>マイナビ将棋BOOKS 先崎学＆中村太地 この名局を見よ！ 21世紀編</v>
      </c>
      <c r="B103" s="3" t="s">
        <v>14</v>
      </c>
      <c r="C103" t="s">
        <v>442</v>
      </c>
      <c r="D103" t="s">
        <v>104</v>
      </c>
      <c r="E103" s="1">
        <v>43405</v>
      </c>
    </row>
    <row r="104" spans="1:5" x14ac:dyDescent="0.7">
      <c r="A104" t="str">
        <f>HYPERLINK("https://rocky-and-hopper.sakura.ne.jp/Kisho-Michelin/8399/978-4-8399-6769-7.htm","マイナビ将棋BOOKS 将棋・基本戦法まるわかり事典 振り飛車編")</f>
        <v>マイナビ将棋BOOKS 将棋・基本戦法まるわかり事典 振り飛車編</v>
      </c>
      <c r="B104" s="3" t="s">
        <v>14</v>
      </c>
      <c r="C104" t="s">
        <v>419</v>
      </c>
      <c r="D104" t="s">
        <v>83</v>
      </c>
      <c r="E104" s="1">
        <v>43101</v>
      </c>
    </row>
    <row r="105" spans="1:5" x14ac:dyDescent="0.7">
      <c r="A105" t="str">
        <f>HYPERLINK("https://rocky-and-hopper.sakura.ne.jp/Kisho-Michelin/8399/978-4-8399-5134-4.htm","マイナビ将棋BOOKS 最強アマ直伝！ 勝てる将棋、勝てる戦法")</f>
        <v>マイナビ将棋BOOKS 最強アマ直伝！ 勝てる将棋、勝てる戦法</v>
      </c>
      <c r="B105" s="3" t="s">
        <v>12</v>
      </c>
      <c r="C105" t="s">
        <v>64</v>
      </c>
      <c r="D105" t="s">
        <v>78</v>
      </c>
      <c r="E105" s="1">
        <v>41730</v>
      </c>
    </row>
    <row r="106" spans="1:5" x14ac:dyDescent="0.7">
      <c r="A106" t="str">
        <f>HYPERLINK("https://rocky-and-hopper.sakura.ne.jp/Kisho-Michelin/8399/978-4-8399-6631-7.htm","谷川浩司の将棋 矢倉篇")</f>
        <v>谷川浩司の将棋 矢倉篇</v>
      </c>
      <c r="B106" s="3" t="s">
        <v>14</v>
      </c>
      <c r="C106" t="s">
        <v>36</v>
      </c>
      <c r="D106" t="s">
        <v>105</v>
      </c>
      <c r="E106" s="1">
        <v>43374</v>
      </c>
    </row>
    <row r="107" spans="1:5" x14ac:dyDescent="0.7">
      <c r="A107" t="str">
        <f>HYPERLINK("https://rocky-and-hopper.sakura.ne.jp/Kisho-Michelin/8399/978-4-8399-6740-6.htm","マイナビ将棋BOOKS コンピュータは将棋をどう変えたか？")</f>
        <v>マイナビ将棋BOOKS コンピュータは将棋をどう変えたか？</v>
      </c>
      <c r="B107" s="3" t="s">
        <v>0</v>
      </c>
      <c r="C107" t="s">
        <v>443</v>
      </c>
      <c r="D107" t="s">
        <v>99</v>
      </c>
      <c r="E107" s="1">
        <v>43374</v>
      </c>
    </row>
    <row r="108" spans="1:5" x14ac:dyDescent="0.7">
      <c r="A108" t="str">
        <f>HYPERLINK("https://rocky-and-hopper.sakura.ne.jp/Kisho-Michelin/8399/978-4-8399-6752-9.htm","マイナビ将棋BOOKS 増田康宏の新・将棋観 堅さからバランスへ")</f>
        <v>マイナビ将棋BOOKS 増田康宏の新・将棋観 堅さからバランスへ</v>
      </c>
      <c r="B108" s="3" t="s">
        <v>12</v>
      </c>
      <c r="C108" t="s">
        <v>437</v>
      </c>
      <c r="D108" t="s">
        <v>106</v>
      </c>
      <c r="E108" s="1">
        <v>43374</v>
      </c>
    </row>
    <row r="109" spans="1:5" x14ac:dyDescent="0.7">
      <c r="A109" t="str">
        <f>HYPERLINK("https://rocky-and-hopper.sakura.ne.jp/Kisho-Michelin/344/978-4-344-97784-6.htm","つるの将棋 女流七番勝負")</f>
        <v>つるの将棋 女流七番勝負</v>
      </c>
      <c r="B109" s="3" t="s">
        <v>12</v>
      </c>
      <c r="C109" t="s">
        <v>440</v>
      </c>
      <c r="D109" t="s">
        <v>107</v>
      </c>
      <c r="E109" s="1">
        <v>41821</v>
      </c>
    </row>
    <row r="110" spans="1:5" x14ac:dyDescent="0.7">
      <c r="A110" t="str">
        <f>HYPERLINK("https://rocky-and-hopper.sakura.ne.jp/Kisho-Michelin/8399/978-4-8399-6696-6.htm","マイナビ将棋BOOKS 奇襲の王様 筋違い角のすべて")</f>
        <v>マイナビ将棋BOOKS 奇襲の王様 筋違い角のすべて</v>
      </c>
      <c r="B110" s="3" t="s">
        <v>14</v>
      </c>
      <c r="C110" t="s">
        <v>20</v>
      </c>
      <c r="D110" t="s">
        <v>108</v>
      </c>
      <c r="E110" s="1">
        <v>43344</v>
      </c>
    </row>
    <row r="111" spans="1:5" x14ac:dyDescent="0.7">
      <c r="A111" t="str">
        <f>HYPERLINK("https://rocky-and-hopper.sakura.ne.jp/Kisho-Michelin/8399/978-4-8399-6731-4.htm","マイナビ将棋BOOKS 将棋・究極の勝ち方 入玉の極意")</f>
        <v>マイナビ将棋BOOKS 将棋・究極の勝ち方 入玉の極意</v>
      </c>
      <c r="B111" s="3" t="s">
        <v>52</v>
      </c>
      <c r="C111" t="s">
        <v>41</v>
      </c>
      <c r="D111" t="s">
        <v>80</v>
      </c>
      <c r="E111" s="1">
        <v>43344</v>
      </c>
    </row>
    <row r="112" spans="1:5" x14ac:dyDescent="0.7">
      <c r="A112" t="str">
        <f>HYPERLINK("https://rocky-and-hopper.sakura.ne.jp/Kisho-Michelin/8399/978-4-8399-6650-8.htm","マイナビ将棋BOOKS 緩急自在の新戦法！ 三間飛車藤井システム")</f>
        <v>マイナビ将棋BOOKS 緩急自在の新戦法！ 三間飛車藤井システム</v>
      </c>
      <c r="B112" s="3" t="s">
        <v>0</v>
      </c>
      <c r="C112" t="s">
        <v>22</v>
      </c>
      <c r="D112" t="s">
        <v>109</v>
      </c>
      <c r="E112" s="1">
        <v>43344</v>
      </c>
    </row>
    <row r="113" spans="1:5" x14ac:dyDescent="0.7">
      <c r="A113" t="str">
        <f>HYPERLINK("https://rocky-and-hopper.sakura.ne.jp/Kisho-Michelin/8399/978-4-8399-6652-2.htm","マイナビ将棋BOOKS 現代将棋の核心に迫る！ 将棋指定局面バトル 居飛車編")</f>
        <v>マイナビ将棋BOOKS 現代将棋の核心に迫る！ 将棋指定局面バトル 居飛車編</v>
      </c>
      <c r="B113" s="3" t="s">
        <v>18</v>
      </c>
      <c r="C113" t="s">
        <v>36</v>
      </c>
      <c r="D113" t="s">
        <v>110</v>
      </c>
      <c r="E113" s="1">
        <v>43313</v>
      </c>
    </row>
    <row r="114" spans="1:5" x14ac:dyDescent="0.7">
      <c r="A114" t="str">
        <f>HYPERLINK("https://rocky-and-hopper.sakura.ne.jp/Kisho-Michelin/8399/978-4-8399-6710-9.htm","マイナビ将棋BOOKS 新型雁木のすべて")</f>
        <v>マイナビ将棋BOOKS 新型雁木のすべて</v>
      </c>
      <c r="B114" s="3" t="s">
        <v>12</v>
      </c>
      <c r="C114" t="s">
        <v>444</v>
      </c>
      <c r="D114" t="s">
        <v>111</v>
      </c>
      <c r="E114" s="1">
        <v>43313</v>
      </c>
    </row>
    <row r="115" spans="1:5" x14ac:dyDescent="0.7">
      <c r="A115" t="str">
        <f>HYPERLINK("https://rocky-and-hopper.sakura.ne.jp/Kisho-Michelin/8399/978-4-8399-6712-3.htm","マイナビ将棋BOOKS 振飛車最前線 石田流VS△1四歩型")</f>
        <v>マイナビ将棋BOOKS 振飛車最前線 石田流VS△1四歩型</v>
      </c>
      <c r="B115" s="3" t="s">
        <v>14</v>
      </c>
      <c r="C115" t="s">
        <v>445</v>
      </c>
      <c r="D115" t="s">
        <v>69</v>
      </c>
      <c r="E115" s="1">
        <v>43313</v>
      </c>
    </row>
    <row r="116" spans="1:5" x14ac:dyDescent="0.7">
      <c r="A116" t="str">
        <f>HYPERLINK("https://rocky-and-hopper.sakura.ne.jp/Kisho-Michelin/8399/978-4-8399-3335-7.htm","マイコミ将棋文庫SP 新・詰将棋道場 親しみやすい200題")</f>
        <v>マイコミ将棋文庫SP 新・詰将棋道場 親しみやすい200題</v>
      </c>
      <c r="B116" s="3" t="s">
        <v>14</v>
      </c>
      <c r="D116" t="s">
        <v>112</v>
      </c>
      <c r="E116" s="1">
        <v>40057</v>
      </c>
    </row>
    <row r="117" spans="1:5" x14ac:dyDescent="0.7">
      <c r="A117" t="str">
        <f>HYPERLINK("https://rocky-and-hopper.sakura.ne.jp/Kisho-Michelin/8399/978-4-8399-5246-4.htm","マイナビ将棋文庫SP ひと目の石田流")</f>
        <v>マイナビ将棋文庫SP ひと目の石田流</v>
      </c>
      <c r="B117" s="3" t="s">
        <v>14</v>
      </c>
      <c r="C117" t="s">
        <v>446</v>
      </c>
      <c r="D117" t="s">
        <v>73</v>
      </c>
      <c r="E117" s="1">
        <v>41821</v>
      </c>
    </row>
    <row r="118" spans="1:5" x14ac:dyDescent="0.7">
      <c r="A118" t="str">
        <f>HYPERLINK("https://rocky-and-hopper.sakura.ne.jp/Kisho-Michelin/7575/978-4-7575-4315-7.htm","ヤングガンガンコミックス よん駒！")</f>
        <v>ヤングガンガンコミックス よん駒！</v>
      </c>
      <c r="B118" s="3" t="s">
        <v>12</v>
      </c>
      <c r="D118" t="s">
        <v>113</v>
      </c>
      <c r="E118" s="1">
        <v>41760</v>
      </c>
    </row>
    <row r="119" spans="1:5" x14ac:dyDescent="0.7">
      <c r="A119" t="str">
        <f>HYPERLINK("https://rocky-and-hopper.sakura.ne.jp/Kisho-Michelin/8399/978-4-8399-5369-0.htm","マイナビ将棋BOOKS 現代横歩取りのすべて")</f>
        <v>マイナビ将棋BOOKS 現代横歩取りのすべて</v>
      </c>
      <c r="B119" s="3" t="s">
        <v>14</v>
      </c>
      <c r="C119" t="s">
        <v>34</v>
      </c>
      <c r="D119" t="s">
        <v>69</v>
      </c>
      <c r="E119" s="1">
        <v>41913</v>
      </c>
    </row>
    <row r="120" spans="1:5" x14ac:dyDescent="0.7">
      <c r="A120" t="str">
        <f>HYPERLINK("https://rocky-and-hopper.sakura.ne.jp/Kisho-Michelin/309/978-4-309-27511-6.htm","羽生善治の定跡の教科書")</f>
        <v>羽生善治の定跡の教科書</v>
      </c>
      <c r="B120" s="3" t="s">
        <v>12</v>
      </c>
      <c r="C120" t="s">
        <v>20</v>
      </c>
      <c r="D120" t="s">
        <v>21</v>
      </c>
      <c r="E120" s="1">
        <v>41821</v>
      </c>
    </row>
    <row r="121" spans="1:5" x14ac:dyDescent="0.7">
      <c r="A121" t="str">
        <f>HYPERLINK("https://rocky-and-hopper.sakura.ne.jp/Kisho-Michelin/8399/978-4-8399-5547-2.htm","マイナビ将棋文庫 将棋・必殺の決め手")</f>
        <v>マイナビ将棋文庫 将棋・必殺の決め手</v>
      </c>
      <c r="B121" s="3" t="s">
        <v>12</v>
      </c>
      <c r="D121" t="s">
        <v>114</v>
      </c>
      <c r="E121" s="1">
        <v>42095</v>
      </c>
    </row>
    <row r="122" spans="1:5" x14ac:dyDescent="0.7">
      <c r="A122" t="str">
        <f>HYPERLINK("https://rocky-and-hopper.sakura.ne.jp/Kisho-Michelin/8399/978-4-8399-5368-3.htm","マイナビ将棋文庫 全戦型対応！囲いの破り方 〜実戦でそのまま使える180手筋〜")</f>
        <v>マイナビ将棋文庫 全戦型対応！囲いの破り方 〜実戦でそのまま使える180手筋〜</v>
      </c>
      <c r="B122" s="3" t="s">
        <v>14</v>
      </c>
      <c r="C122" t="s">
        <v>1</v>
      </c>
      <c r="D122" t="s">
        <v>75</v>
      </c>
      <c r="E122" s="1">
        <v>41913</v>
      </c>
    </row>
    <row r="123" spans="1:5" x14ac:dyDescent="0.7">
      <c r="A123" t="str">
        <f>HYPERLINK("https://rocky-and-hopper.sakura.ne.jp/Kisho-Michelin/8399/978-4-8399-6571-6.htm","マイナビ将棋BOOKS 戦慄の▲7七金！ 奇襲きんとうん戦法")</f>
        <v>マイナビ将棋BOOKS 戦慄の▲7七金！ 奇襲きんとうん戦法</v>
      </c>
      <c r="B123" s="3" t="s">
        <v>12</v>
      </c>
      <c r="C123" t="s">
        <v>447</v>
      </c>
      <c r="D123" t="s">
        <v>115</v>
      </c>
      <c r="E123" s="1">
        <v>43191</v>
      </c>
    </row>
    <row r="124" spans="1:5" x14ac:dyDescent="0.7">
      <c r="A124" t="str">
        <f>HYPERLINK("https://rocky-and-hopper.sakura.ne.jp/Kisho-Michelin/8399/978-4-8399-6515-0.htm","マイナビ将棋BOOKS 相掛かりの新常識")</f>
        <v>マイナビ将棋BOOKS 相掛かりの新常識</v>
      </c>
      <c r="B124" s="3" t="s">
        <v>14</v>
      </c>
      <c r="C124" t="s">
        <v>448</v>
      </c>
      <c r="D124" t="s">
        <v>29</v>
      </c>
      <c r="E124" s="1">
        <v>43132</v>
      </c>
    </row>
    <row r="125" spans="1:5" x14ac:dyDescent="0.7">
      <c r="A125" t="str">
        <f>HYPERLINK("https://rocky-and-hopper.sakura.ne.jp/Kisho-Michelin/8399/978-4-8399-6420-7.htm","マイナビ将棋BOOKS 史上最速の攻撃戦法 極限早繰り銀")</f>
        <v>マイナビ将棋BOOKS 史上最速の攻撃戦法 極限早繰り銀</v>
      </c>
      <c r="B125" s="3" t="s">
        <v>12</v>
      </c>
      <c r="C125" t="s">
        <v>449</v>
      </c>
      <c r="D125" t="s">
        <v>90</v>
      </c>
      <c r="E125" s="1">
        <v>43101</v>
      </c>
    </row>
    <row r="126" spans="1:5" x14ac:dyDescent="0.7">
      <c r="A126" t="str">
        <f>HYPERLINK("https://rocky-and-hopper.sakura.ne.jp/Kisho-Michelin/8399/978-4-8399-6548-8.htm","マイナビ将棋BOOKS 振り飛車はどこに行くのか？ プロが教える全振り飛車の定跡最先端")</f>
        <v>マイナビ将棋BOOKS 振り飛車はどこに行くのか？ プロが教える全振り飛車の定跡最先端</v>
      </c>
      <c r="B126" s="3" t="s">
        <v>14</v>
      </c>
      <c r="C126" t="s">
        <v>419</v>
      </c>
      <c r="D126" t="s">
        <v>92</v>
      </c>
      <c r="E126" s="1">
        <v>43101</v>
      </c>
    </row>
    <row r="127" spans="1:5" x14ac:dyDescent="0.7">
      <c r="A127" t="str">
        <f>HYPERLINK("https://rocky-and-hopper.sakura.ne.jp/Kisho-Michelin/8399/978-4-8399-6524-2.htm","マイナビ将棋BOOKS 対抗形の急所がわかる！ 居飛車VS振り飛車の重要テーマ")</f>
        <v>マイナビ将棋BOOKS 対抗形の急所がわかる！ 居飛車VS振り飛車の重要テーマ</v>
      </c>
      <c r="B127" s="3" t="s">
        <v>14</v>
      </c>
      <c r="C127" t="s">
        <v>20</v>
      </c>
      <c r="D127" t="s">
        <v>35</v>
      </c>
      <c r="E127" s="1">
        <v>43101</v>
      </c>
    </row>
    <row r="128" spans="1:5" x14ac:dyDescent="0.7">
      <c r="A128" t="str">
        <f>HYPERLINK("https://rocky-and-hopper.sakura.ne.jp/Kisho-Michelin/86137/978-4-86137-048-9.htm","最強将棋レクチャーブックス 四間飛車上達法")</f>
        <v>最強将棋レクチャーブックス 四間飛車上達法</v>
      </c>
      <c r="B128" s="3" t="s">
        <v>14</v>
      </c>
      <c r="C128" t="s">
        <v>8</v>
      </c>
      <c r="D128" t="s">
        <v>117</v>
      </c>
      <c r="E128" s="1">
        <v>43070</v>
      </c>
    </row>
    <row r="129" spans="1:5" x14ac:dyDescent="0.7">
      <c r="A129" t="str">
        <f>HYPERLINK("https://rocky-and-hopper.sakura.ne.jp/Kisho-Michelin/422/978-4-422-75116-0.htm","将棋パワーアップシリーズ 持ち駒のない詰将棋5手")</f>
        <v>将棋パワーアップシリーズ 持ち駒のない詰将棋5手</v>
      </c>
      <c r="B129" s="3" t="s">
        <v>12</v>
      </c>
      <c r="D129" t="s">
        <v>56</v>
      </c>
      <c r="E129" s="1">
        <v>42217</v>
      </c>
    </row>
    <row r="130" spans="1:5" x14ac:dyDescent="0.7">
      <c r="A130" t="str">
        <f>HYPERLINK("https://rocky-and-hopper.sakura.ne.jp/Kisho-Michelin/8399/978-4-8399-6309-5.htm","マイナビ将棋BOOKS これが決定版！相中飛車徹底ガイド")</f>
        <v>マイナビ将棋BOOKS これが決定版！相中飛車徹底ガイド</v>
      </c>
      <c r="B130" s="3" t="s">
        <v>14</v>
      </c>
      <c r="C130" t="s">
        <v>64</v>
      </c>
      <c r="D130" t="s">
        <v>80</v>
      </c>
      <c r="E130" s="1">
        <v>43009</v>
      </c>
    </row>
    <row r="131" spans="1:5" x14ac:dyDescent="0.7">
      <c r="A131" t="str">
        <f>HYPERLINK("https://rocky-and-hopper.sakura.ne.jp/Kisho-Michelin/8163/978-4-8163-6337-5.htm","羽生善治の詰みと必至 1分トレーニング 最短距離で勝ちパターンが身につく")</f>
        <v>羽生善治の詰みと必至 1分トレーニング 最短距離で勝ちパターンが身につく</v>
      </c>
      <c r="B131" s="3" t="s">
        <v>0</v>
      </c>
      <c r="D131" t="s">
        <v>118</v>
      </c>
      <c r="E131" s="1">
        <v>43040</v>
      </c>
    </row>
    <row r="132" spans="1:5" x14ac:dyDescent="0.7">
      <c r="A132" t="str">
        <f>HYPERLINK("https://rocky-and-hopper.sakura.ne.jp/Kisho-Michelin/422/978-4-422-75115-3.htm","将棋パワーアップシリーズ 加藤一二三の5手詰め")</f>
        <v>将棋パワーアップシリーズ 加藤一二三の5手詰め</v>
      </c>
      <c r="B132" s="3" t="s">
        <v>12</v>
      </c>
      <c r="D132" t="s">
        <v>77</v>
      </c>
      <c r="E132" s="1">
        <v>42309</v>
      </c>
    </row>
    <row r="133" spans="1:5" x14ac:dyDescent="0.7">
      <c r="A133" t="str">
        <f>HYPERLINK("https://rocky-and-hopper.sakura.ne.jp/Kisho-Michelin/07/978-4-07-427520-5.htm","豊川孝弘の将棋オヤジギャグ大全集")</f>
        <v>豊川孝弘の将棋オヤジギャグ大全集</v>
      </c>
      <c r="B133" s="3" t="s">
        <v>12</v>
      </c>
      <c r="D133" t="s">
        <v>81</v>
      </c>
      <c r="E133" s="1">
        <v>43009</v>
      </c>
    </row>
    <row r="134" spans="1:5" x14ac:dyDescent="0.7">
      <c r="A134" t="str">
        <f>HYPERLINK("https://rocky-and-hopper.sakura.ne.jp/Kisho-Michelin/14/978-4-14-016255-2.htm","NHK将棋シリーズ 天彦流 中盤戦術 「局面の推移」と「形勢」で読みとく")</f>
        <v>NHK将棋シリーズ 天彦流 中盤戦術 「局面の推移」と「形勢」で読みとく</v>
      </c>
      <c r="B134" s="3" t="s">
        <v>14</v>
      </c>
      <c r="C134" t="s">
        <v>1</v>
      </c>
      <c r="D134" t="s">
        <v>119</v>
      </c>
      <c r="E134" s="1">
        <v>43009</v>
      </c>
    </row>
    <row r="135" spans="1:5" x14ac:dyDescent="0.7">
      <c r="A135" t="str">
        <f>HYPERLINK("https://rocky-and-hopper.sakura.ne.jp/Kisho-Michelin/480/4-480-67003-3.htm","一手決断・将棋戦法(3) 谷川流 速攻矢倉")</f>
        <v>一手決断・将棋戦法(3) 谷川流 速攻矢倉</v>
      </c>
      <c r="B135" s="3" t="s">
        <v>40</v>
      </c>
      <c r="D135" t="s">
        <v>105</v>
      </c>
      <c r="E135" s="1">
        <v>31413</v>
      </c>
    </row>
    <row r="136" spans="1:5" x14ac:dyDescent="0.7">
      <c r="A136" t="str">
        <f>HYPERLINK("https://rocky-and-hopper.sakura.ne.jp/Kisho-Michelin/8399/978-4-8399-6334-7.htm","サクサク解ける 詰将棋練習帳 風の巻")</f>
        <v>サクサク解ける 詰将棋練習帳 風の巻</v>
      </c>
      <c r="B136" s="3" t="s">
        <v>14</v>
      </c>
      <c r="D136" t="s">
        <v>120</v>
      </c>
      <c r="E136" s="1">
        <v>42887</v>
      </c>
    </row>
    <row r="137" spans="1:5" x14ac:dyDescent="0.7">
      <c r="A137" t="str">
        <f>HYPERLINK("https://rocky-and-hopper.sakura.ne.jp/Kisho-Michelin/537/978-4-537-21527-4.htm","藤井聡太 名人をこす少年")</f>
        <v>藤井聡太 名人をこす少年</v>
      </c>
      <c r="B137" s="3" t="s">
        <v>40</v>
      </c>
      <c r="C137" t="s">
        <v>45</v>
      </c>
      <c r="D137" t="s">
        <v>121</v>
      </c>
      <c r="E137" s="1">
        <v>42948</v>
      </c>
    </row>
    <row r="138" spans="1:5" x14ac:dyDescent="0.7">
      <c r="A138" t="str">
        <f>HYPERLINK("https://rocky-and-hopper.sakura.ne.jp/Kisho-Michelin/8399/978-4-8399-6380-4.htm","天才棋士降臨・藤井聡太 炎の七番勝負と連勝記録の衝撃")</f>
        <v>天才棋士降臨・藤井聡太 炎の七番勝負と連勝記録の衝撃</v>
      </c>
      <c r="B138" s="3" t="s">
        <v>12</v>
      </c>
      <c r="C138" t="s">
        <v>122</v>
      </c>
      <c r="D138" t="s">
        <v>123</v>
      </c>
      <c r="E138" s="1">
        <v>42948</v>
      </c>
    </row>
    <row r="139" spans="1:5" x14ac:dyDescent="0.7">
      <c r="A139" t="str">
        <f>HYPERLINK("https://rocky-and-hopper.sakura.ne.jp/Kisho-Michelin/408/978-4-408-41466-9.htm","森信雄の強くなる！将棋新格言40レッスン 目指すはあこがれの初段！ 著者創作の将棋新格言＋次の一手・詰将棋 入門から初段まで")</f>
        <v>森信雄の強くなる！将棋新格言40レッスン 目指すはあこがれの初段！ 著者創作の将棋新格言＋次の一手・詰将棋 入門から初段まで</v>
      </c>
      <c r="B139" s="3" t="s">
        <v>12</v>
      </c>
      <c r="C139" t="s">
        <v>45</v>
      </c>
      <c r="D139" t="s">
        <v>124</v>
      </c>
      <c r="E139" s="1">
        <v>42948</v>
      </c>
    </row>
    <row r="140" spans="1:5" x14ac:dyDescent="0.7">
      <c r="A140" t="str">
        <f>HYPERLINK("https://rocky-and-hopper.sakura.ne.jp/Kisho-Michelin/8002/978-4-8002-7585-1.htm","別冊宝島(2613) 中学生プロ棋士 藤井聡太 新たなる伝説 「50年に1度の天才棋士」その実力と素顔")</f>
        <v>別冊宝島(2613) 中学生プロ棋士 藤井聡太 新たなる伝説 「50年に1度の天才棋士」その実力と素顔</v>
      </c>
      <c r="B140" s="3" t="s">
        <v>14</v>
      </c>
      <c r="E140" s="1">
        <v>42948</v>
      </c>
    </row>
    <row r="141" spans="1:5" x14ac:dyDescent="0.7">
      <c r="A141" t="str">
        <f>HYPERLINK("https://rocky-and-hopper.sakura.ne.jp/Kisho-Michelin/8399/978-4-8399-6219-7.htm","マイナビ将棋BOOKS 横歩取りで勝つ 攻めの最強手筋ガイド")</f>
        <v>マイナビ将棋BOOKS 横歩取りで勝つ 攻めの最強手筋ガイド</v>
      </c>
      <c r="B141" s="3" t="s">
        <v>14</v>
      </c>
      <c r="C141" t="s">
        <v>34</v>
      </c>
      <c r="D141" t="s">
        <v>56</v>
      </c>
      <c r="E141" s="1">
        <v>42917</v>
      </c>
    </row>
    <row r="142" spans="1:5" x14ac:dyDescent="0.7">
      <c r="A142" t="str">
        <f>HYPERLINK("https://rocky-and-hopper.sakura.ne.jp/Kisho-Michelin/8399/4-8399-0224-0.htm","81マス どこでも詰ませる5･7･9手")</f>
        <v>81マス どこでも詰ませる5･7･9手</v>
      </c>
      <c r="B142" s="3" t="s">
        <v>12</v>
      </c>
      <c r="D142" t="s">
        <v>125</v>
      </c>
      <c r="E142" s="1">
        <v>36312</v>
      </c>
    </row>
    <row r="143" spans="1:5" x14ac:dyDescent="0.7">
      <c r="A143" t="str">
        <f>HYPERLINK("https://rocky-and-hopper.sakura.ne.jp/Kisho-Michelin/408/978-4-408-41444-7.htm","終盤力がアップする 詰めろ将棋273題")</f>
        <v>終盤力がアップする 詰めろ将棋273題</v>
      </c>
      <c r="B143" s="3" t="s">
        <v>14</v>
      </c>
      <c r="D143" t="s">
        <v>124</v>
      </c>
      <c r="E143" s="1">
        <v>42644</v>
      </c>
    </row>
    <row r="144" spans="1:5" x14ac:dyDescent="0.7">
      <c r="A144" t="str">
        <f>HYPERLINK("https://rocky-and-hopper.sakura.ne.jp/Kisho-Michelin/408/978-4-408-11186-5.htm","詰めろ将棋")</f>
        <v>詰めろ将棋</v>
      </c>
      <c r="B144" s="3" t="s">
        <v>0</v>
      </c>
      <c r="D144" t="s">
        <v>124</v>
      </c>
      <c r="E144" s="1">
        <v>42491</v>
      </c>
    </row>
    <row r="145" spans="1:5" x14ac:dyDescent="0.7">
      <c r="A145" t="str">
        <f>HYPERLINK("https://rocky-and-hopper.sakura.ne.jp/Kisho-Michelin/8399/978-4-8399-6119-0.htm","マイナビ将棋BOOKS 横歩取り最前線 いま、プロが注目する2つの手段")</f>
        <v>マイナビ将棋BOOKS 横歩取り最前線 いま、プロが注目する2つの手段</v>
      </c>
      <c r="B145" s="3" t="s">
        <v>12</v>
      </c>
      <c r="C145" t="s">
        <v>34</v>
      </c>
      <c r="D145" t="s">
        <v>126</v>
      </c>
      <c r="E145" s="1">
        <v>42644</v>
      </c>
    </row>
    <row r="146" spans="1:5" x14ac:dyDescent="0.7">
      <c r="A146" t="str">
        <f>HYPERLINK("https://rocky-and-hopper.sakura.ne.jp/Kisho-Michelin/8399/978-4-8399-6091-9.htm","マイナビ将棋BOOKS これで万全！奇襲破り事典")</f>
        <v>マイナビ将棋BOOKS これで万全！奇襲破り事典</v>
      </c>
      <c r="B146" s="3" t="s">
        <v>12</v>
      </c>
      <c r="C146" t="s">
        <v>450</v>
      </c>
      <c r="D146" t="s">
        <v>33</v>
      </c>
      <c r="E146" s="1">
        <v>42736</v>
      </c>
    </row>
    <row r="147" spans="1:5" x14ac:dyDescent="0.7">
      <c r="A147" t="str">
        <f>HYPERLINK("https://rocky-and-hopper.sakura.ne.jp/Kisho-Michelin/8399/978-4-8399-6041-4.htm","マイナビ将棋BOOKS 格言・用語で覚える 居飛車の基本手筋")</f>
        <v>マイナビ将棋BOOKS 格言・用語で覚える 居飛車の基本手筋</v>
      </c>
      <c r="B147" s="3" t="s">
        <v>14</v>
      </c>
      <c r="C147" t="s">
        <v>41</v>
      </c>
      <c r="D147" t="s">
        <v>127</v>
      </c>
      <c r="E147" s="1">
        <v>42675</v>
      </c>
    </row>
    <row r="148" spans="1:5" x14ac:dyDescent="0.7">
      <c r="A148" t="str">
        <f>HYPERLINK("https://rocky-and-hopper.sakura.ne.jp/Kisho-Michelin/8399/978-4-8399-5459-8.htm","マイナビ将棋文庫SP ひと目の角換わり")</f>
        <v>マイナビ将棋文庫SP ひと目の角換わり</v>
      </c>
      <c r="B148" s="3" t="s">
        <v>12</v>
      </c>
      <c r="C148" t="s">
        <v>1</v>
      </c>
      <c r="D148" t="s">
        <v>73</v>
      </c>
      <c r="E148" s="1">
        <v>42036</v>
      </c>
    </row>
    <row r="149" spans="1:5" x14ac:dyDescent="0.7">
      <c r="A149" t="str">
        <f>HYPERLINK("https://rocky-and-hopper.sakura.ne.jp/Kisho-Michelin/8399/978-4-8399-6159-6.htm","マイナビ将棋BOOKS 全戦型対応！ 将棋・端の攻め方、受け方")</f>
        <v>マイナビ将棋BOOKS 全戦型対応！ 将棋・端の攻め方、受け方</v>
      </c>
      <c r="B149" s="3" t="s">
        <v>14</v>
      </c>
      <c r="C149" t="s">
        <v>451</v>
      </c>
      <c r="D149" t="s">
        <v>83</v>
      </c>
      <c r="E149" s="1">
        <v>42705</v>
      </c>
    </row>
    <row r="150" spans="1:5" x14ac:dyDescent="0.7">
      <c r="A150" t="str">
        <f>HYPERLINK("https://rocky-and-hopper.sakura.ne.jp/Kisho-Michelin/8399/978-4-8399-5437-6.htm","マイナビ将棋BOOKS 将棋・詰みの基本手筋")</f>
        <v>マイナビ将棋BOOKS 将棋・詰みの基本手筋</v>
      </c>
      <c r="B150" s="3" t="s">
        <v>14</v>
      </c>
      <c r="D150" t="s">
        <v>128</v>
      </c>
      <c r="E150" s="1">
        <v>42705</v>
      </c>
    </row>
    <row r="151" spans="1:5" x14ac:dyDescent="0.7">
      <c r="A151" t="str">
        <f>HYPERLINK("https://rocky-and-hopper.sakura.ne.jp/Kisho-Michelin/415/978-4-415-31767-0.htm","もっと羽生流！ 初段 + プラスの詰将棋150題 5手詰から実戦「次の一手」まで羽生流を楽しむ！")</f>
        <v>もっと羽生流！ 初段 + プラスの詰将棋150題 5手詰から実戦「次の一手」まで羽生流を楽しむ！</v>
      </c>
      <c r="B151" s="3" t="s">
        <v>40</v>
      </c>
      <c r="D151" t="s">
        <v>21</v>
      </c>
      <c r="E151" s="1">
        <v>41640</v>
      </c>
    </row>
    <row r="152" spans="1:5" x14ac:dyDescent="0.7">
      <c r="A152" t="str">
        <f>HYPERLINK("https://rocky-and-hopper.sakura.ne.jp/Kisho-Michelin/422/978-4-422-75027-9.htm","将棋パワーアップシリーズ 青野照市の基本の詰将棋5手")</f>
        <v>将棋パワーアップシリーズ 青野照市の基本の詰将棋5手</v>
      </c>
      <c r="B152" s="3" t="s">
        <v>14</v>
      </c>
      <c r="D152" t="s">
        <v>71</v>
      </c>
      <c r="E152" s="1">
        <v>42339</v>
      </c>
    </row>
    <row r="153" spans="1:5" x14ac:dyDescent="0.7">
      <c r="A153" t="str">
        <f>HYPERLINK("https://rocky-and-hopper.sakura.ne.jp/Kisho-Michelin/415/978-4-415-32234-6.htm","康光流 超実戦の詰将棋 初段 150題 一段玉、二段玉、三段玉を攻める")</f>
        <v>康光流 超実戦の詰将棋 初段 150題 一段玉、二段玉、三段玉を攻める</v>
      </c>
      <c r="B153" s="3" t="s">
        <v>12</v>
      </c>
      <c r="D153" t="s">
        <v>129</v>
      </c>
      <c r="E153" s="1">
        <v>42675</v>
      </c>
    </row>
    <row r="154" spans="1:5" x14ac:dyDescent="0.7">
      <c r="A154" t="str">
        <f>HYPERLINK("https://rocky-and-hopper.sakura.ne.jp/Kisho-Michelin/415/978-4-415-32191-2.htm","ステップアップ詰将棋 3手・5手・7手 160題 解くスジがわかるから長い手にも挑戦できる！")</f>
        <v>ステップアップ詰将棋 3手・5手・7手 160題 解くスジがわかるから長い手にも挑戦できる！</v>
      </c>
      <c r="B154" s="3" t="s">
        <v>12</v>
      </c>
      <c r="D154" t="s">
        <v>71</v>
      </c>
      <c r="E154" s="1">
        <v>42552</v>
      </c>
    </row>
    <row r="155" spans="1:5" x14ac:dyDescent="0.7">
      <c r="A155" t="str">
        <f>HYPERLINK("https://rocky-and-hopper.sakura.ne.jp/Kisho-Michelin/8399/4-8399-1587-3.htm","新・プロの将棋シリーズ(3) コーヤン流三間飛車 実戦編")</f>
        <v>新・プロの将棋シリーズ(3) コーヤン流三間飛車 実戦編</v>
      </c>
      <c r="B155" s="3" t="s">
        <v>12</v>
      </c>
      <c r="C155" t="s">
        <v>96</v>
      </c>
      <c r="D155" t="s">
        <v>130</v>
      </c>
      <c r="E155" s="1">
        <v>38231</v>
      </c>
    </row>
    <row r="156" spans="1:5" x14ac:dyDescent="0.7">
      <c r="A156" t="str">
        <f>HYPERLINK("https://rocky-and-hopper.sakura.ne.jp/Kisho-Michelin/89563/4-89563-570-8.htm","秘法巻之五 真・石田伝説")</f>
        <v>秘法巻之五 真・石田伝説</v>
      </c>
      <c r="B156" s="3" t="s">
        <v>14</v>
      </c>
      <c r="C156" t="s">
        <v>131</v>
      </c>
      <c r="D156" t="s">
        <v>132</v>
      </c>
      <c r="E156" s="1">
        <v>33786</v>
      </c>
    </row>
    <row r="157" spans="1:5" x14ac:dyDescent="0.7">
      <c r="A157" t="str">
        <f>HYPERLINK("https://rocky-and-hopper.sakura.ne.jp/Kisho-Michelin/8399/4-8399-1007-3.htm","東大将棋ブックス 横歩取り道場 第五巻 続8五飛戦法")</f>
        <v>東大将棋ブックス 横歩取り道場 第五巻 続8五飛戦法</v>
      </c>
      <c r="B157" s="3" t="s">
        <v>14</v>
      </c>
      <c r="C157" t="s">
        <v>34</v>
      </c>
      <c r="D157" t="s">
        <v>44</v>
      </c>
      <c r="E157" s="1">
        <v>37681</v>
      </c>
    </row>
    <row r="158" spans="1:5" x14ac:dyDescent="0.7">
      <c r="A158" t="str">
        <f>HYPERLINK("https://rocky-and-hopper.sakura.ne.jp/Kisho-Michelin/8399/4-8399-0900-8.htm","東大将棋ブックス 横歩取り道場 第四巻 8五飛戦法")</f>
        <v>東大将棋ブックス 横歩取り道場 第四巻 8五飛戦法</v>
      </c>
      <c r="B158" s="3" t="s">
        <v>14</v>
      </c>
      <c r="C158" t="s">
        <v>34</v>
      </c>
      <c r="D158" t="s">
        <v>44</v>
      </c>
      <c r="E158" s="1">
        <v>37622</v>
      </c>
    </row>
    <row r="159" spans="1:5" x14ac:dyDescent="0.7">
      <c r="A159" t="str">
        <f>HYPERLINK("https://rocky-and-hopper.sakura.ne.jp/Kisho-Michelin/8399/4-8399-0033-7.htm","振り飛車新世紀(6) 杉本流四間飛車 ──封殺！居飛車穴熊")</f>
        <v>振り飛車新世紀(6) 杉本流四間飛車 ──封殺！居飛車穴熊</v>
      </c>
      <c r="B159" s="3" t="s">
        <v>12</v>
      </c>
      <c r="C159" t="s">
        <v>133</v>
      </c>
      <c r="D159" t="s">
        <v>80</v>
      </c>
      <c r="E159" s="1">
        <v>36130</v>
      </c>
    </row>
    <row r="160" spans="1:5" x14ac:dyDescent="0.7">
      <c r="A160" t="str">
        <f>HYPERLINK("https://rocky-and-hopper.sakura.ne.jp/Kisho-Michelin/89563/4-89563-692-5.htm","振り飛車新世紀(3) 久保流四間飛車（下） ──居飛穴粉砕！")</f>
        <v>振り飛車新世紀(3) 久保流四間飛車（下） ──居飛穴粉砕！</v>
      </c>
      <c r="B160" s="3" t="s">
        <v>12</v>
      </c>
      <c r="C160" t="s">
        <v>8</v>
      </c>
      <c r="D160" t="s">
        <v>134</v>
      </c>
      <c r="E160" s="1">
        <v>35765</v>
      </c>
    </row>
    <row r="161" spans="1:5" x14ac:dyDescent="0.7">
      <c r="A161" t="str">
        <f>HYPERLINK("https://rocky-and-hopper.sakura.ne.jp/Kisho-Michelin/89563/4-89563-671-2.htm","スーパー四間飛車・最新版(1) 急戦！居飛穴破り")</f>
        <v>スーパー四間飛車・最新版(1) 急戦！居飛穴破り</v>
      </c>
      <c r="B161" s="3" t="s">
        <v>12</v>
      </c>
      <c r="C161" t="s">
        <v>452</v>
      </c>
      <c r="D161" t="s">
        <v>135</v>
      </c>
      <c r="E161" s="1">
        <v>35462</v>
      </c>
    </row>
    <row r="162" spans="1:5" x14ac:dyDescent="0.7">
      <c r="A162" t="str">
        <f>HYPERLINK("https://rocky-and-hopper.sakura.ne.jp/Kisho-Michelin/278/4-278-08102-2.htm","現代三間飛車の定跡（�U）")</f>
        <v>現代三間飛車の定跡（�U）</v>
      </c>
      <c r="B162" s="3" t="s">
        <v>12</v>
      </c>
      <c r="C162" t="s">
        <v>22</v>
      </c>
      <c r="D162" t="s">
        <v>136</v>
      </c>
      <c r="E162" s="1">
        <v>28157</v>
      </c>
    </row>
    <row r="163" spans="1:5" x14ac:dyDescent="0.7">
      <c r="A163" t="str">
        <f>HYPERLINK("https://rocky-and-hopper.sakura.ne.jp/Kisho-Michelin/278/4-278-08101-4.htm","現代三間飛車の定跡（�T）")</f>
        <v>現代三間飛車の定跡（�T）</v>
      </c>
      <c r="B163" s="3" t="s">
        <v>14</v>
      </c>
      <c r="C163" t="s">
        <v>22</v>
      </c>
      <c r="D163" t="s">
        <v>136</v>
      </c>
      <c r="E163" s="1">
        <v>28095</v>
      </c>
    </row>
    <row r="164" spans="1:5" x14ac:dyDescent="0.7">
      <c r="A164" t="str">
        <f>HYPERLINK("https://rocky-and-hopper.sakura.ne.jp/Kisho-Michelin/88574/4-88574-429-6.htm","将棋の公式")</f>
        <v>将棋の公式</v>
      </c>
      <c r="B164" s="3" t="s">
        <v>0</v>
      </c>
      <c r="C164" t="s">
        <v>453</v>
      </c>
      <c r="D164" t="s">
        <v>137</v>
      </c>
      <c r="E164" t="s">
        <v>138</v>
      </c>
    </row>
    <row r="165" spans="1:5" x14ac:dyDescent="0.7">
      <c r="A165" t="str">
        <f>HYPERLINK("https://rocky-and-hopper.sakura.ne.jp/Kisho-Michelin/8197/4-8197-0360-9.htm","超過激！トラトラ新戦法 ぶっちぎりで勝つ")</f>
        <v>超過激！トラトラ新戦法 ぶっちぎりで勝つ</v>
      </c>
      <c r="B165" s="3" t="s">
        <v>12</v>
      </c>
      <c r="C165" t="s">
        <v>454</v>
      </c>
      <c r="D165" t="s">
        <v>139</v>
      </c>
      <c r="E165" s="1">
        <v>36495</v>
      </c>
    </row>
    <row r="166" spans="1:5" x14ac:dyDescent="0.7">
      <c r="A166" t="str">
        <f>HYPERLINK("https://rocky-and-hopper.sakura.ne.jp/Kisho-Michelin/8399/4-8399-0395-6.htm","高田流 新感覚振り飛車破り")</f>
        <v>高田流 新感覚振り飛車破り</v>
      </c>
      <c r="B166" s="3" t="s">
        <v>12</v>
      </c>
      <c r="C166" t="s">
        <v>455</v>
      </c>
      <c r="D166" t="s">
        <v>140</v>
      </c>
      <c r="E166" s="1">
        <v>36770</v>
      </c>
    </row>
    <row r="167" spans="1:5" x14ac:dyDescent="0.7">
      <c r="A167" t="str">
        <f>HYPERLINK("https://rocky-and-hopper.sakura.ne.jp/Kisho-Michelin/8197/4-8197-0371-4.htm","パワーアップシリーズ 鉄壁！トーチカ戦法")</f>
        <v>パワーアップシリーズ 鉄壁！トーチカ戦法</v>
      </c>
      <c r="B167" s="3" t="s">
        <v>12</v>
      </c>
      <c r="C167" t="s">
        <v>456</v>
      </c>
      <c r="D167" t="s">
        <v>141</v>
      </c>
      <c r="E167" s="1">
        <v>37895</v>
      </c>
    </row>
    <row r="168" spans="1:5" x14ac:dyDescent="0.7">
      <c r="A168" t="str">
        <f>HYPERLINK("https://rocky-and-hopper.sakura.ne.jp/Kisho-Michelin/89563/4-89563-698-4.htm","快勝！スーパー穴熊")</f>
        <v>快勝！スーパー穴熊</v>
      </c>
      <c r="B168" s="3" t="s">
        <v>12</v>
      </c>
      <c r="C168" t="s">
        <v>456</v>
      </c>
      <c r="D168" t="s">
        <v>135</v>
      </c>
      <c r="E168" s="1">
        <v>35827</v>
      </c>
    </row>
    <row r="169" spans="1:5" x14ac:dyDescent="0.7">
      <c r="A169" t="str">
        <f>HYPERLINK("https://rocky-and-hopper.sakura.ne.jp/Kisho-Michelin/8399/978-4-8399-5194-8.htm","マイナビ将棋BOOKS 三浦の矢倉研究 脇システム編")</f>
        <v>マイナビ将棋BOOKS 三浦の矢倉研究 脇システム編</v>
      </c>
      <c r="B169" s="3" t="s">
        <v>40</v>
      </c>
      <c r="D169" t="s">
        <v>141</v>
      </c>
      <c r="E169" s="1">
        <v>41760</v>
      </c>
    </row>
    <row r="170" spans="1:5" x14ac:dyDescent="0.7">
      <c r="A170" t="str">
        <f>HYPERLINK("https://rocky-and-hopper.sakura.ne.jp/Kisho-Michelin/89563/4-89563-682-8.htm","振り飛車新世紀(2) 久保流四間飛車(上) ──棒銀撃破！")</f>
        <v>振り飛車新世紀(2) 久保流四間飛車(上) ──棒銀撃破！</v>
      </c>
      <c r="B170" s="3" t="s">
        <v>12</v>
      </c>
      <c r="C170" t="s">
        <v>8</v>
      </c>
      <c r="D170" t="s">
        <v>134</v>
      </c>
      <c r="E170" s="1">
        <v>35674</v>
      </c>
    </row>
    <row r="171" spans="1:5" x14ac:dyDescent="0.7">
      <c r="A171" t="str">
        <f>HYPERLINK("https://rocky-and-hopper.sakura.ne.jp/Kisho-Michelin/422/4-422-75036-4.htm","先手三間飛車破り 急戦で仕掛ける方法を徹底解説")</f>
        <v>先手三間飛車破り 急戦で仕掛ける方法を徹底解説</v>
      </c>
      <c r="B171" s="3" t="s">
        <v>0</v>
      </c>
      <c r="C171" t="s">
        <v>22</v>
      </c>
      <c r="D171" t="s">
        <v>71</v>
      </c>
      <c r="E171" s="1">
        <v>32387</v>
      </c>
    </row>
    <row r="172" spans="1:5" x14ac:dyDescent="0.7">
      <c r="A172" t="str">
        <f>HYPERLINK("https://rocky-and-hopper.sakura.ne.jp/Kisho-Michelin/89563/4-89563-641-0.htm","勝負の視点 研究と実戦の間")</f>
        <v>勝負の視点 研究と実戦の間</v>
      </c>
      <c r="B172" s="3" t="s">
        <v>12</v>
      </c>
      <c r="C172" t="s">
        <v>457</v>
      </c>
      <c r="D172" t="s">
        <v>71</v>
      </c>
      <c r="E172" s="1">
        <v>34973</v>
      </c>
    </row>
    <row r="173" spans="1:5" x14ac:dyDescent="0.7">
      <c r="A173" t="str">
        <f>HYPERLINK("https://rocky-and-hopper.sakura.ne.jp/Kisho-Michelin/8197/4-8197-0103-7.htm","森安流四間飛車")</f>
        <v>森安流四間飛車</v>
      </c>
      <c r="B173" s="3" t="s">
        <v>14</v>
      </c>
      <c r="C173" t="s">
        <v>133</v>
      </c>
      <c r="D173" t="s">
        <v>142</v>
      </c>
      <c r="E173" s="1">
        <v>30590</v>
      </c>
    </row>
    <row r="174" spans="1:5" x14ac:dyDescent="0.7">
      <c r="A174" t="str">
        <f>HYPERLINK("https://rocky-and-hopper.sakura.ne.jp/Kisho-Michelin/8197/4-8197-0101-0.htm","疾風 谷川将棋")</f>
        <v>疾風 谷川将棋</v>
      </c>
      <c r="B174" s="3" t="s">
        <v>14</v>
      </c>
      <c r="C174" t="s">
        <v>438</v>
      </c>
      <c r="D174" t="s">
        <v>105</v>
      </c>
      <c r="E174" s="1">
        <v>30498</v>
      </c>
    </row>
    <row r="175" spans="1:5" x14ac:dyDescent="0.7">
      <c r="A175" t="str">
        <f>HYPERLINK("https://rocky-and-hopper.sakura.ne.jp/Kisho-Michelin/8399/978-4-8399-3264-0.htm","プロへの道")</f>
        <v>プロへの道</v>
      </c>
      <c r="B175" s="3" t="s">
        <v>14</v>
      </c>
      <c r="C175" t="s">
        <v>436</v>
      </c>
      <c r="D175" t="s">
        <v>38</v>
      </c>
      <c r="E175" s="1">
        <v>39934</v>
      </c>
    </row>
    <row r="176" spans="1:5" x14ac:dyDescent="0.7">
      <c r="A176" t="str">
        <f>HYPERLINK("https://rocky-and-hopper.sakura.ne.jp/Kisho-Michelin/8399/978-4-8399-5725-4.htm","研究で勝つ！相横歩取りのすべて")</f>
        <v>研究で勝つ！相横歩取りのすべて</v>
      </c>
      <c r="B176" s="3" t="s">
        <v>14</v>
      </c>
      <c r="C176" t="s">
        <v>34</v>
      </c>
      <c r="D176" t="s">
        <v>82</v>
      </c>
      <c r="E176" s="1">
        <v>42248</v>
      </c>
    </row>
    <row r="177" spans="1:5" x14ac:dyDescent="0.7">
      <c r="A177" t="str">
        <f>HYPERLINK("https://rocky-and-hopper.sakura.ne.jp/Kisho-Michelin/8399/978-4-8399-5685-1.htm","マイナビ将棋BOOKS 四間飛車の逆襲")</f>
        <v>マイナビ将棋BOOKS 四間飛車の逆襲</v>
      </c>
      <c r="B177" s="3" t="s">
        <v>14</v>
      </c>
      <c r="C177" t="s">
        <v>8</v>
      </c>
      <c r="D177" t="s">
        <v>26</v>
      </c>
      <c r="E177" s="1">
        <v>42217</v>
      </c>
    </row>
    <row r="178" spans="1:5" x14ac:dyDescent="0.7">
      <c r="A178" t="str">
        <f>HYPERLINK("https://rocky-and-hopper.sakura.ne.jp/Kisho-Michelin/8399/978-4-8399-5472-7.htm","マイナビ将棋BOOKS 誰も言わなかった居飛車穴熊撃滅戦法")</f>
        <v>マイナビ将棋BOOKS 誰も言わなかった居飛車穴熊撃滅戦法</v>
      </c>
      <c r="B178" s="3" t="s">
        <v>12</v>
      </c>
      <c r="C178" t="s">
        <v>41</v>
      </c>
      <c r="D178" t="s">
        <v>143</v>
      </c>
      <c r="E178" s="1">
        <v>42217</v>
      </c>
    </row>
    <row r="179" spans="1:5" x14ac:dyDescent="0.7">
      <c r="A179" t="str">
        <f>HYPERLINK("https://rocky-and-hopper.sakura.ne.jp/Kisho-Michelin/8399/978-4-8399-4664-7.htm","将棋連盟文庫 逆転の7手詰")</f>
        <v>将棋連盟文庫 逆転の7手詰</v>
      </c>
      <c r="B179" s="3" t="s">
        <v>14</v>
      </c>
      <c r="D179" t="s">
        <v>144</v>
      </c>
      <c r="E179" s="1">
        <v>41365</v>
      </c>
    </row>
    <row r="180" spans="1:5" x14ac:dyDescent="0.7">
      <c r="A180" t="str">
        <f>HYPERLINK("https://rocky-and-hopper.sakura.ne.jp/Kisho-Michelin/8399/978-4-8399-5503-8.htm","将棋連盟文庫 解いて役立つ5手詰200問")</f>
        <v>将棋連盟文庫 解いて役立つ5手詰200問</v>
      </c>
      <c r="B180" s="3" t="s">
        <v>14</v>
      </c>
      <c r="D180" t="s">
        <v>144</v>
      </c>
      <c r="E180" s="1">
        <v>42064</v>
      </c>
    </row>
    <row r="181" spans="1:5" x14ac:dyDescent="0.7">
      <c r="A181" t="str">
        <f>HYPERLINK("https://rocky-and-hopper.sakura.ne.jp/Kisho-Michelin/8399/978-4-8399-5435-2.htm","マイナビ将棋文庫 終盤が強くなる1手・3手必至")</f>
        <v>マイナビ将棋文庫 終盤が強くなる1手・3手必至</v>
      </c>
      <c r="B181" s="3" t="s">
        <v>14</v>
      </c>
      <c r="D181" t="s">
        <v>145</v>
      </c>
      <c r="E181" s="1">
        <v>42005</v>
      </c>
    </row>
    <row r="182" spans="1:5" x14ac:dyDescent="0.7">
      <c r="A182" t="str">
        <f>HYPERLINK("https://rocky-and-hopper.sakura.ne.jp/Kisho-Michelin/86137/978-4-86137-042-7.htm","最強将棋21 角交換四間飛車を指しこなす本")</f>
        <v>最強将棋21 角交換四間飛車を指しこなす本</v>
      </c>
      <c r="B182" s="3" t="s">
        <v>14</v>
      </c>
      <c r="C182" t="s">
        <v>8</v>
      </c>
      <c r="D182" t="s">
        <v>117</v>
      </c>
      <c r="E182" s="1">
        <v>41821</v>
      </c>
    </row>
    <row r="183" spans="1:5" x14ac:dyDescent="0.7">
      <c r="A183" t="str">
        <f>HYPERLINK("https://rocky-and-hopper.sakura.ne.jp/Kisho-Michelin/8399/978-4-8399-5370-6.htm","マイナビ将棋文庫 爽快！5手詰トレーニング200")</f>
        <v>マイナビ将棋文庫 爽快！5手詰トレーニング200</v>
      </c>
      <c r="B183" s="3" t="s">
        <v>14</v>
      </c>
      <c r="D183" t="s">
        <v>146</v>
      </c>
      <c r="E183" s="1">
        <v>41944</v>
      </c>
    </row>
    <row r="184" spans="1:5" x14ac:dyDescent="0.7">
      <c r="A184" t="str">
        <f>HYPERLINK("https://rocky-and-hopper.sakura.ne.jp/Kisho-Michelin/408/978-4-408-33313-7.htm","詰将棋一丁目三番地 1手・3手詰将棋＋上達アドバイス")</f>
        <v>詰将棋一丁目三番地 1手・3手詰将棋＋上達アドバイス</v>
      </c>
      <c r="B184" s="3" t="s">
        <v>14</v>
      </c>
      <c r="D184" t="s">
        <v>124</v>
      </c>
      <c r="E184" s="1">
        <v>41913</v>
      </c>
    </row>
    <row r="185" spans="1:5" x14ac:dyDescent="0.7">
      <c r="A185" t="str">
        <f>HYPERLINK("https://rocky-and-hopper.sakura.ne.jp/Kisho-Michelin/8399/978-4-8399-5247-1.htm","久保流 最強先手振り飛車")</f>
        <v>久保流 最強先手振り飛車</v>
      </c>
      <c r="B185" s="3" t="s">
        <v>40</v>
      </c>
      <c r="C185" t="s">
        <v>440</v>
      </c>
      <c r="D185" t="s">
        <v>134</v>
      </c>
      <c r="E185" s="1">
        <v>41821</v>
      </c>
    </row>
    <row r="186" spans="1:5" x14ac:dyDescent="0.7">
      <c r="A186" t="str">
        <f>HYPERLINK("https://rocky-and-hopper.sakura.ne.jp/Kisho-Michelin/422/978-4-422-75029-3.htm","手筋を覚える問題集196問")</f>
        <v>手筋を覚える問題集196問</v>
      </c>
      <c r="B186" s="3" t="s">
        <v>14</v>
      </c>
      <c r="D186" t="s">
        <v>71</v>
      </c>
      <c r="E186" s="1">
        <v>41883</v>
      </c>
    </row>
    <row r="187" spans="1:5" x14ac:dyDescent="0.7">
      <c r="A187" t="str">
        <f>HYPERLINK("https://rocky-and-hopper.sakura.ne.jp/Kisho-Michelin/8399/978-4-8399-5248-8.htm","駒落ちの教科書 八枚〜二枚落ち編")</f>
        <v>駒落ちの教科書 八枚〜二枚落ち編</v>
      </c>
      <c r="B187" s="3" t="s">
        <v>12</v>
      </c>
      <c r="C187" t="s">
        <v>458</v>
      </c>
      <c r="D187" t="s">
        <v>147</v>
      </c>
      <c r="E187" s="1">
        <v>41821</v>
      </c>
    </row>
    <row r="188" spans="1:5" x14ac:dyDescent="0.7">
      <c r="A188" t="str">
        <f>HYPERLINK("https://rocky-and-hopper.sakura.ne.jp/Kisho-Michelin/422/978-4-422-75117-7.htm","将棋パワーアップシリーズ 3手詰将棋")</f>
        <v>将棋パワーアップシリーズ 3手詰将棋</v>
      </c>
      <c r="B188" s="3" t="s">
        <v>12</v>
      </c>
      <c r="D188" t="s">
        <v>56</v>
      </c>
      <c r="E188" s="1">
        <v>41883</v>
      </c>
    </row>
    <row r="189" spans="1:5" x14ac:dyDescent="0.7">
      <c r="A189" t="str">
        <f>HYPERLINK("https://rocky-and-hopper.sakura.ne.jp/Kisho-Michelin/8399/978-4-8399-5192-4.htm","マイナビ将棋BOOKS 藤森流急戦矢倉")</f>
        <v>マイナビ将棋BOOKS 藤森流急戦矢倉</v>
      </c>
      <c r="B189" s="3" t="s">
        <v>14</v>
      </c>
      <c r="D189" t="s">
        <v>66</v>
      </c>
      <c r="E189" s="1">
        <v>41852</v>
      </c>
    </row>
    <row r="190" spans="1:5" x14ac:dyDescent="0.7">
      <c r="A190" t="str">
        <f>HYPERLINK("https://rocky-and-hopper.sakura.ne.jp/Kisho-Michelin/8399/978-4-8399-5372-0.htm","マイナビ将棋BOOKS 奇襲振り飛車戦法 〜その狙いと対策〜")</f>
        <v>マイナビ将棋BOOKS 奇襲振り飛車戦法 〜その狙いと対策〜</v>
      </c>
      <c r="B190" s="3" t="s">
        <v>12</v>
      </c>
      <c r="C190" t="s">
        <v>440</v>
      </c>
      <c r="D190" t="s">
        <v>148</v>
      </c>
      <c r="E190" s="1">
        <v>41974</v>
      </c>
    </row>
    <row r="191" spans="1:5" x14ac:dyDescent="0.7">
      <c r="A191" t="str">
        <f>HYPERLINK("https://rocky-and-hopper.sakura.ne.jp/Kisho-Michelin/8399/978-4-8399-5095-8.htm","マイナビ将棋BOOKS 早分かり 角道オープン四間飛車 定跡ガイド")</f>
        <v>マイナビ将棋BOOKS 早分かり 角道オープン四間飛車 定跡ガイド</v>
      </c>
      <c r="B191" s="3" t="s">
        <v>12</v>
      </c>
      <c r="C191" t="s">
        <v>8</v>
      </c>
      <c r="D191" t="s">
        <v>149</v>
      </c>
      <c r="E191" s="1">
        <v>41730</v>
      </c>
    </row>
    <row r="192" spans="1:5" x14ac:dyDescent="0.7">
      <c r="A192" t="str">
        <f>HYPERLINK("https://rocky-and-hopper.sakura.ne.jp/Kisho-Michelin/8399/978-4-8399-5059-0.htm","マイナビ将棋BOOKS 石田流破り 左美濃 徹底ガイド")</f>
        <v>マイナビ将棋BOOKS 石田流破り 左美濃 徹底ガイド</v>
      </c>
      <c r="B192" s="3" t="s">
        <v>14</v>
      </c>
      <c r="C192" t="s">
        <v>41</v>
      </c>
      <c r="D192" t="s">
        <v>91</v>
      </c>
      <c r="E192" s="1">
        <v>41671</v>
      </c>
    </row>
    <row r="193" spans="1:5" x14ac:dyDescent="0.7">
      <c r="A193" t="str">
        <f>HYPERLINK("https://rocky-and-hopper.sakura.ne.jp/Kisho-Michelin/8399/978-4-8399-4931-0.htm","早分かり 相矢倉定跡ガイド")</f>
        <v>早分かり 相矢倉定跡ガイド</v>
      </c>
      <c r="B193" s="3" t="s">
        <v>12</v>
      </c>
      <c r="D193" t="s">
        <v>150</v>
      </c>
      <c r="E193" s="1">
        <v>41609</v>
      </c>
    </row>
    <row r="194" spans="1:5" x14ac:dyDescent="0.7">
      <c r="A194" t="str">
        <f>HYPERLINK("https://rocky-and-hopper.sakura.ne.jp/Kisho-Michelin/8399/978-4-8399-4912-9.htm","杉本流相振りのセンス")</f>
        <v>杉本流相振りのセンス</v>
      </c>
      <c r="B194" s="3" t="s">
        <v>14</v>
      </c>
      <c r="C194" t="s">
        <v>440</v>
      </c>
      <c r="D194" t="s">
        <v>80</v>
      </c>
      <c r="E194" s="1">
        <v>41579</v>
      </c>
    </row>
    <row r="195" spans="1:5" x14ac:dyDescent="0.7">
      <c r="A195" t="str">
        <f>HYPERLINK("https://rocky-and-hopper.sakura.ne.jp/Kisho-Michelin/8399/978-4-8399-5000-2.htm","マイナビ将棋BOOKS 横歩取りマップ")</f>
        <v>マイナビ将棋BOOKS 横歩取りマップ</v>
      </c>
      <c r="B195" s="3" t="s">
        <v>14</v>
      </c>
      <c r="C195" t="s">
        <v>34</v>
      </c>
      <c r="D195" t="s">
        <v>151</v>
      </c>
      <c r="E195" s="1">
        <v>41609</v>
      </c>
    </row>
    <row r="196" spans="1:5" x14ac:dyDescent="0.7">
      <c r="A196" t="str">
        <f>HYPERLINK("https://rocky-and-hopper.sakura.ne.jp/Kisho-Michelin/8399/978-4-8399-5016-3.htm","マイナビ将棋BOOKS 全戦型対応 穴熊の戦い方")</f>
        <v>マイナビ将棋BOOKS 全戦型対応 穴熊の戦い方</v>
      </c>
      <c r="B196" s="3" t="s">
        <v>14</v>
      </c>
      <c r="C196" t="s">
        <v>20</v>
      </c>
      <c r="D196" t="s">
        <v>109</v>
      </c>
      <c r="E196" s="1">
        <v>41671</v>
      </c>
    </row>
    <row r="197" spans="1:5" x14ac:dyDescent="0.7">
      <c r="A197" t="str">
        <f>HYPERLINK("https://rocky-and-hopper.sakura.ne.jp/Kisho-Michelin/8399/978-4-8399-5049-1.htm","マイナビ将棋文庫SP ひと目の仕掛け 振り飛車編")</f>
        <v>マイナビ将棋文庫SP ひと目の仕掛け 振り飛車編</v>
      </c>
      <c r="B197" s="3" t="s">
        <v>12</v>
      </c>
      <c r="C197" t="s">
        <v>419</v>
      </c>
      <c r="D197" t="s">
        <v>152</v>
      </c>
      <c r="E197" s="1">
        <v>41640</v>
      </c>
    </row>
    <row r="198" spans="1:5" x14ac:dyDescent="0.7">
      <c r="A198" t="str">
        <f>HYPERLINK("https://rocky-and-hopper.sakura.ne.jp/Kisho-Michelin/8399/978-4-8399-5048-4.htm","マイナビ将棋BOOKS 豊島の将棋 実戦と研究")</f>
        <v>マイナビ将棋BOOKS 豊島の将棋 実戦と研究</v>
      </c>
      <c r="B198" s="3" t="s">
        <v>12</v>
      </c>
      <c r="C198" t="s">
        <v>459</v>
      </c>
      <c r="D198" t="s">
        <v>153</v>
      </c>
      <c r="E198" s="1">
        <v>41640</v>
      </c>
    </row>
    <row r="199" spans="1:5" x14ac:dyDescent="0.7">
      <c r="A199" t="str">
        <f>HYPERLINK("https://rocky-and-hopper.sakura.ne.jp/Kisho-Michelin/8399/978-4-8399-5074-3.htm","マイナビ将棋文庫SP ひと目の中飛車")</f>
        <v>マイナビ将棋文庫SP ひと目の中飛車</v>
      </c>
      <c r="B199" s="3" t="s">
        <v>14</v>
      </c>
      <c r="C199" t="s">
        <v>64</v>
      </c>
      <c r="D199" t="s">
        <v>73</v>
      </c>
      <c r="E199" s="1">
        <v>41671</v>
      </c>
    </row>
    <row r="200" spans="1:5" x14ac:dyDescent="0.7">
      <c r="A200" t="str">
        <f>HYPERLINK("https://rocky-and-hopper.sakura.ne.jp/Kisho-Michelin/8399/978-4-8399-4909-9.htm","マイナビ将棋BOOKS 角交換四間飛車 最新ガイド")</f>
        <v>マイナビ将棋BOOKS 角交換四間飛車 最新ガイド</v>
      </c>
      <c r="B200" s="3" t="s">
        <v>12</v>
      </c>
      <c r="C200" t="s">
        <v>431</v>
      </c>
      <c r="D200" t="s">
        <v>92</v>
      </c>
      <c r="E200" s="1">
        <v>41579</v>
      </c>
    </row>
    <row r="201" spans="1:5" x14ac:dyDescent="0.7">
      <c r="A201" t="str">
        <f>HYPERLINK("https://rocky-and-hopper.sakura.ne.jp/Kisho-Michelin/8399/978-4-8399-5080-4.htm","横歩取り超急戦のすべて")</f>
        <v>横歩取り超急戦のすべて</v>
      </c>
      <c r="B201" s="3" t="s">
        <v>14</v>
      </c>
      <c r="C201" t="s">
        <v>34</v>
      </c>
      <c r="D201" t="s">
        <v>82</v>
      </c>
      <c r="E201" s="1">
        <v>41699</v>
      </c>
    </row>
    <row r="202" spans="1:5" x14ac:dyDescent="0.7">
      <c r="A202" t="str">
        <f>HYPERLINK("https://rocky-and-hopper.sakura.ne.jp/Kisho-Michelin/14/978-4-14-016220-0.htm","NHK将棋シリーズ 藤井猛の攻めの基本戦略")</f>
        <v>NHK将棋シリーズ 藤井猛の攻めの基本戦略</v>
      </c>
      <c r="B202" s="3" t="s">
        <v>14</v>
      </c>
      <c r="C202" t="s">
        <v>436</v>
      </c>
      <c r="D202" t="s">
        <v>117</v>
      </c>
      <c r="E202" s="1">
        <v>41640</v>
      </c>
    </row>
    <row r="203" spans="1:5" x14ac:dyDescent="0.7">
      <c r="A203" t="str">
        <f>HYPERLINK("https://rocky-and-hopper.sakura.ne.jp/Kisho-Michelin/8399/978-4-8399-5015-6.htm","マイナビ将棋BOOKS これからの角換わり腰掛け銀")</f>
        <v>マイナビ将棋BOOKS これからの角換わり腰掛け銀</v>
      </c>
      <c r="B203" s="3" t="s">
        <v>14</v>
      </c>
      <c r="C203" t="s">
        <v>1</v>
      </c>
      <c r="D203" t="s">
        <v>154</v>
      </c>
      <c r="E203" s="1">
        <v>41640</v>
      </c>
    </row>
    <row r="204" spans="1:5" x14ac:dyDescent="0.7">
      <c r="A204" t="str">
        <f>HYPERLINK("https://rocky-and-hopper.sakura.ne.jp/Kisho-Michelin/8399/978-4-8399-4930-3.htm","久保の中飛車")</f>
        <v>久保の中飛車</v>
      </c>
      <c r="B204" s="3" t="s">
        <v>14</v>
      </c>
      <c r="C204" t="s">
        <v>64</v>
      </c>
      <c r="D204" t="s">
        <v>134</v>
      </c>
      <c r="E204" s="1">
        <v>41548</v>
      </c>
    </row>
    <row r="205" spans="1:5" x14ac:dyDescent="0.7">
      <c r="A205" t="str">
        <f>HYPERLINK("https://rocky-and-hopper.sakura.ne.jp/Kisho-Michelin/8399/978-4-8399-4981-5.htm","マイナビ将棋BOOKS 最強最速の将棋")</f>
        <v>マイナビ将棋BOOKS 最強最速の将棋</v>
      </c>
      <c r="B205" s="3" t="s">
        <v>12</v>
      </c>
      <c r="C205" t="s">
        <v>460</v>
      </c>
      <c r="D205" t="s">
        <v>72</v>
      </c>
      <c r="E205" s="1">
        <v>41609</v>
      </c>
    </row>
    <row r="206" spans="1:5" x14ac:dyDescent="0.7">
      <c r="A206" t="str">
        <f>HYPERLINK("https://rocky-and-hopper.sakura.ne.jp/Kisho-Michelin/8399/978-4-8399-5096-5.htm","将棋世界ムック 第3回将棋電王戦公式ガイドブック 〜世紀の対決を楽しもう〜")</f>
        <v>将棋世界ムック 第3回将棋電王戦公式ガイドブック 〜世紀の対決を楽しもう〜</v>
      </c>
      <c r="B206" s="3" t="s">
        <v>14</v>
      </c>
      <c r="D206" t="s">
        <v>155</v>
      </c>
      <c r="E206" s="1">
        <v>41671</v>
      </c>
    </row>
    <row r="207" spans="1:5" x14ac:dyDescent="0.7">
      <c r="A207" t="str">
        <f>HYPERLINK("https://rocky-and-hopper.sakura.ne.jp/Kisho-Michelin/8399/978-4-8399-4908-2.htm","菅井ノート 実戦編")</f>
        <v>菅井ノート 実戦編</v>
      </c>
      <c r="B207" s="3" t="s">
        <v>12</v>
      </c>
      <c r="C207" t="s">
        <v>427</v>
      </c>
      <c r="D207" t="s">
        <v>156</v>
      </c>
      <c r="E207" s="1">
        <v>41579</v>
      </c>
    </row>
    <row r="208" spans="1:5" x14ac:dyDescent="0.7">
      <c r="A208" t="str">
        <f>HYPERLINK("https://rocky-and-hopper.sakura.ne.jp/Kisho-Michelin/408/978-4-408-33306-9.htm","逃れ将棋")</f>
        <v>逃れ将棋</v>
      </c>
      <c r="B208" s="3" t="s">
        <v>14</v>
      </c>
      <c r="D208" t="s">
        <v>124</v>
      </c>
      <c r="E208" s="1">
        <v>41640</v>
      </c>
    </row>
    <row r="209" spans="1:5" x14ac:dyDescent="0.7">
      <c r="A209" t="str">
        <f>HYPERLINK("https://rocky-and-hopper.sakura.ne.jp/Kisho-Michelin/422/978-4-422-75130-6.htm","将棋パワーアップシリーズ 1手〜9手詰め 詰将棋202題")</f>
        <v>将棋パワーアップシリーズ 1手〜9手詰め 詰将棋202題</v>
      </c>
      <c r="B209" s="3" t="s">
        <v>12</v>
      </c>
      <c r="D209" t="s">
        <v>56</v>
      </c>
      <c r="E209" s="1">
        <v>41275</v>
      </c>
    </row>
    <row r="210" spans="1:5" x14ac:dyDescent="0.7">
      <c r="A210" t="str">
        <f>HYPERLINK("https://rocky-and-hopper.sakura.ne.jp/Kisho-Michelin/8399/978-4-8399-4925-9.htm","マイナビ将棋文庫SP 将棋・ひと目の鬼手")</f>
        <v>マイナビ将棋文庫SP 将棋・ひと目の鬼手</v>
      </c>
      <c r="B210" s="3" t="s">
        <v>12</v>
      </c>
      <c r="D210" t="s">
        <v>114</v>
      </c>
      <c r="E210" s="1">
        <v>41579</v>
      </c>
    </row>
    <row r="211" spans="1:5" x14ac:dyDescent="0.7">
      <c r="A211" t="str">
        <f>HYPERLINK("https://rocky-and-hopper.sakura.ne.jp/Kisho-Michelin/8399/978-4-8399-4857-3.htm","マイナビ将棋BOOKS 長岡研究ノート 相居飛車編")</f>
        <v>マイナビ将棋BOOKS 長岡研究ノート 相居飛車編</v>
      </c>
      <c r="B211" s="3" t="s">
        <v>14</v>
      </c>
      <c r="C211" t="s">
        <v>59</v>
      </c>
      <c r="D211" t="s">
        <v>73</v>
      </c>
      <c r="E211" s="1">
        <v>41548</v>
      </c>
    </row>
    <row r="212" spans="1:5" x14ac:dyDescent="0.7">
      <c r="A212" t="str">
        <f>HYPERLINK("https://rocky-and-hopper.sakura.ne.jp/Kisho-Michelin/8399/978-4-8399-4819-1.htm","マイナビ将棋BOOKS 相掛かり無敵定跡研究")</f>
        <v>マイナビ将棋BOOKS 相掛かり無敵定跡研究</v>
      </c>
      <c r="B212" s="3" t="s">
        <v>14</v>
      </c>
      <c r="C212" t="s">
        <v>59</v>
      </c>
      <c r="D212" t="s">
        <v>157</v>
      </c>
      <c r="E212" s="1">
        <v>41518</v>
      </c>
    </row>
    <row r="213" spans="1:5" x14ac:dyDescent="0.7">
      <c r="A213" t="str">
        <f>HYPERLINK("https://rocky-and-hopper.sakura.ne.jp/Kisho-Michelin/8399/978-4-8399-4907-5.htm","マイナビ将棋BOOKS SUPER自戦記シリーズ 阪口悟の順位戦昇級のキセキ")</f>
        <v>マイナビ将棋BOOKS SUPER自戦記シリーズ 阪口悟の順位戦昇級のキセキ</v>
      </c>
      <c r="B213" s="3" t="s">
        <v>12</v>
      </c>
      <c r="C213" t="s">
        <v>455</v>
      </c>
      <c r="D213" t="s">
        <v>158</v>
      </c>
      <c r="E213" s="1">
        <v>41548</v>
      </c>
    </row>
    <row r="214" spans="1:5" x14ac:dyDescent="0.7">
      <c r="A214" t="str">
        <f>HYPERLINK("https://rocky-and-hopper.sakura.ne.jp/Kisho-Michelin/8399/978-4-8399-4824-5.htm","矢倉・角換わりの教科書")</f>
        <v>矢倉・角換わりの教科書</v>
      </c>
      <c r="B214" s="3" t="s">
        <v>12</v>
      </c>
      <c r="C214" t="s">
        <v>1</v>
      </c>
      <c r="D214" t="s">
        <v>147</v>
      </c>
      <c r="E214" t="s">
        <v>159</v>
      </c>
    </row>
    <row r="215" spans="1:5" x14ac:dyDescent="0.7">
      <c r="A215" t="str">
        <f>HYPERLINK("https://rocky-and-hopper.sakura.ne.jp/Kisho-Michelin/8399/978-4-8399-4867-2.htm","広瀬流穴熊 終盤の極意")</f>
        <v>広瀬流穴熊 終盤の極意</v>
      </c>
      <c r="B215" s="3" t="s">
        <v>14</v>
      </c>
      <c r="C215" t="s">
        <v>20</v>
      </c>
      <c r="D215" t="s">
        <v>160</v>
      </c>
      <c r="E215" s="1">
        <v>41518</v>
      </c>
    </row>
    <row r="216" spans="1:5" x14ac:dyDescent="0.7">
      <c r="A216" t="str">
        <f>HYPERLINK("https://rocky-and-hopper.sakura.ne.jp/Kisho-Michelin/8399/978-4-8399-4820-7.htm","マイナビ将棋BOOKS 中飛車破り 一直線穴熊徹底ガイド")</f>
        <v>マイナビ将棋BOOKS 中飛車破り 一直線穴熊徹底ガイド</v>
      </c>
      <c r="B216" s="3" t="s">
        <v>14</v>
      </c>
      <c r="C216" t="s">
        <v>131</v>
      </c>
      <c r="D216" t="s">
        <v>161</v>
      </c>
      <c r="E216" s="1">
        <v>41487</v>
      </c>
    </row>
    <row r="217" spans="1:5" x14ac:dyDescent="0.7">
      <c r="A217" t="str">
        <f>HYPERLINK("https://rocky-and-hopper.sakura.ne.jp/Kisho-Michelin/8399/978-4-8399-4858-0.htm","マイナビ将棋BOOKS SUPER自戦記シリーズ 稲葉陽の熱闘順位戦")</f>
        <v>マイナビ将棋BOOKS SUPER自戦記シリーズ 稲葉陽の熱闘順位戦</v>
      </c>
      <c r="B217" s="3" t="s">
        <v>12</v>
      </c>
      <c r="C217" t="s">
        <v>461</v>
      </c>
      <c r="D217" t="s">
        <v>111</v>
      </c>
      <c r="E217" s="1">
        <v>41518</v>
      </c>
    </row>
    <row r="218" spans="1:5" x14ac:dyDescent="0.7">
      <c r="A218" t="str">
        <f>HYPERLINK("https://rocky-and-hopper.sakura.ne.jp/Kisho-Michelin/8399/978-4-8399-4822-1.htm","マイナビ将棋文庫 新手ポカ妙手選 振り飛車編")</f>
        <v>マイナビ将棋文庫 新手ポカ妙手選 振り飛車編</v>
      </c>
      <c r="B218" s="3" t="s">
        <v>12</v>
      </c>
      <c r="C218" t="s">
        <v>20</v>
      </c>
      <c r="D218" t="s">
        <v>162</v>
      </c>
      <c r="E218" s="1">
        <v>41518</v>
      </c>
    </row>
    <row r="219" spans="1:5" x14ac:dyDescent="0.7">
      <c r="A219" t="str">
        <f>HYPERLINK("https://rocky-and-hopper.sakura.ne.jp/Kisho-Michelin/89644/978-4-89644-845-0.htm","SUN-MAGAZINE MOOK 竜王が教える初心者必修の手筋！ 渡辺流 次の一手 インタビュー＆竜王の強さがわかる81の豆知識付き")</f>
        <v>SUN-MAGAZINE MOOK 竜王が教える初心者必修の手筋！ 渡辺流 次の一手 インタビュー＆竜王の強さがわかる81の豆知識付き</v>
      </c>
      <c r="B219" s="3" t="s">
        <v>40</v>
      </c>
      <c r="C219" t="s">
        <v>64</v>
      </c>
      <c r="D219" t="s">
        <v>146</v>
      </c>
      <c r="E219" s="1">
        <v>41548</v>
      </c>
    </row>
    <row r="220" spans="1:5" x14ac:dyDescent="0.7">
      <c r="A220" t="str">
        <f>HYPERLINK("https://rocky-and-hopper.sakura.ne.jp/Kisho-Michelin/422/978-4-422-75142-9.htm","将棋最強ブックス 相振り飛車で左玉戦法 居飛車で右玉戦法")</f>
        <v>将棋最強ブックス 相振り飛車で左玉戦法 居飛車で右玉戦法</v>
      </c>
      <c r="B220" s="3" t="s">
        <v>12</v>
      </c>
      <c r="C220" t="s">
        <v>20</v>
      </c>
      <c r="D220" t="s">
        <v>135</v>
      </c>
      <c r="E220" s="1">
        <v>41548</v>
      </c>
    </row>
    <row r="221" spans="1:5" x14ac:dyDescent="0.7">
      <c r="A221" t="str">
        <f>HYPERLINK("https://rocky-and-hopper.sakura.ne.jp/Kisho-Michelin/344/978-4-344-97756-3.htm","つるの将棋七番勝負 アマチュア三段が挑む夢の血涙対局！")</f>
        <v>つるの将棋七番勝負 アマチュア三段が挑む夢の血涙対局！</v>
      </c>
      <c r="B221" s="3" t="s">
        <v>12</v>
      </c>
      <c r="C221" t="s">
        <v>440</v>
      </c>
      <c r="D221" t="s">
        <v>107</v>
      </c>
      <c r="E221" s="1">
        <v>41548</v>
      </c>
    </row>
    <row r="222" spans="1:5" x14ac:dyDescent="0.7">
      <c r="A222" t="str">
        <f>HYPERLINK("https://rocky-and-hopper.sakura.ne.jp/Kisho-Michelin/422/978-4-422-75141-2.htm","将棋最強ブックス 後手番で勝つ戦法")</f>
        <v>将棋最強ブックス 後手番で勝つ戦法</v>
      </c>
      <c r="B222" s="3" t="s">
        <v>40</v>
      </c>
      <c r="C222" t="s">
        <v>462</v>
      </c>
      <c r="D222" t="s">
        <v>56</v>
      </c>
      <c r="E222" s="1">
        <v>41518</v>
      </c>
    </row>
    <row r="223" spans="1:5" x14ac:dyDescent="0.7">
      <c r="A223" t="str">
        <f>HYPERLINK("https://rocky-and-hopper.sakura.ne.jp/Kisho-Michelin/8399/978-4-8399-4823-8.htm","マイナビ将棋文庫SP 将棋・ひと目の決め手")</f>
        <v>マイナビ将棋文庫SP 将棋・ひと目の決め手</v>
      </c>
      <c r="B223" s="3" t="s">
        <v>12</v>
      </c>
      <c r="D223" t="s">
        <v>146</v>
      </c>
      <c r="E223" s="1">
        <v>41487</v>
      </c>
    </row>
    <row r="224" spans="1:5" x14ac:dyDescent="0.7">
      <c r="A224" t="str">
        <f>HYPERLINK("https://rocky-and-hopper.sakura.ne.jp/Kisho-Michelin/8399/978-4-8399-4788-0.htm","マイナビ将棋BOOKS ゴキゲン中飛車で行こう")</f>
        <v>マイナビ将棋BOOKS ゴキゲン中飛車で行こう</v>
      </c>
      <c r="B224" s="3" t="s">
        <v>14</v>
      </c>
      <c r="C224" t="s">
        <v>463</v>
      </c>
      <c r="D224" t="s">
        <v>163</v>
      </c>
      <c r="E224" s="1">
        <v>41487</v>
      </c>
    </row>
    <row r="225" spans="1:5" x14ac:dyDescent="0.7">
      <c r="A225" t="str">
        <f>HYPERLINK("https://rocky-and-hopper.sakura.ne.jp/Kisho-Michelin/8399/978-4-8399-2860-5.htm","新鋭居飛車実戦集")</f>
        <v>新鋭居飛車実戦集</v>
      </c>
      <c r="B225" s="3" t="s">
        <v>12</v>
      </c>
      <c r="C225" t="s">
        <v>41</v>
      </c>
      <c r="D225" t="s">
        <v>164</v>
      </c>
      <c r="E225" s="1">
        <v>39569</v>
      </c>
    </row>
    <row r="226" spans="1:5" x14ac:dyDescent="0.7">
      <c r="A226" t="str">
        <f>HYPERLINK("https://rocky-and-hopper.sakura.ne.jp/Kisho-Michelin/8399/978-4-8399-4787-3.htm","第2回電王戦のすべて")</f>
        <v>第2回電王戦のすべて</v>
      </c>
      <c r="B226" s="3" t="s">
        <v>14</v>
      </c>
      <c r="C226" t="s">
        <v>436</v>
      </c>
      <c r="E226" s="1">
        <v>41456</v>
      </c>
    </row>
    <row r="227" spans="1:5" x14ac:dyDescent="0.7">
      <c r="A227" t="str">
        <f>HYPERLINK("https://rocky-and-hopper.sakura.ne.jp/Kisho-Michelin/8399/978-4-8399-4786-6.htm","マイナビ将棋BOOKS 長岡研究ノート 振り飛車編")</f>
        <v>マイナビ将棋BOOKS 長岡研究ノート 振り飛車編</v>
      </c>
      <c r="B227" s="3" t="s">
        <v>14</v>
      </c>
      <c r="C227" t="s">
        <v>419</v>
      </c>
      <c r="D227" t="s">
        <v>73</v>
      </c>
      <c r="E227" s="1">
        <v>41456</v>
      </c>
    </row>
    <row r="228" spans="1:5" x14ac:dyDescent="0.7">
      <c r="A228" t="str">
        <f>HYPERLINK("https://rocky-and-hopper.sakura.ne.jp/Kisho-Michelin/8399/978-4-8399-4779-8.htm","マイナビ将棋BOOKS アマの知らない マル秘定跡")</f>
        <v>マイナビ将棋BOOKS アマの知らない マル秘定跡</v>
      </c>
      <c r="B228" s="3" t="s">
        <v>14</v>
      </c>
      <c r="C228" t="s">
        <v>464</v>
      </c>
      <c r="D228" t="s">
        <v>69</v>
      </c>
      <c r="E228" s="1">
        <v>41456</v>
      </c>
    </row>
    <row r="229" spans="1:5" x14ac:dyDescent="0.7">
      <c r="A229" t="str">
        <f>HYPERLINK("https://rocky-and-hopper.sakura.ne.jp/Kisho-Michelin/8399/978-4-8399-4746-0.htm","マイナビ将棋BOOKS 角交換四間飛車破り")</f>
        <v>マイナビ将棋BOOKS 角交換四間飛車破り</v>
      </c>
      <c r="B229" s="3" t="s">
        <v>40</v>
      </c>
      <c r="C229" t="s">
        <v>452</v>
      </c>
      <c r="D229" t="s">
        <v>165</v>
      </c>
      <c r="E229" s="1">
        <v>41426</v>
      </c>
    </row>
    <row r="230" spans="1:5" x14ac:dyDescent="0.7">
      <c r="A230" t="str">
        <f>HYPERLINK("https://rocky-and-hopper.sakura.ne.jp/Kisho-Michelin/8399/978-4-8399-4742-2.htm","木村の矢倉 3七銀戦法最新編")</f>
        <v>木村の矢倉 3七銀戦法最新編</v>
      </c>
      <c r="B230" s="3" t="s">
        <v>14</v>
      </c>
      <c r="D230" t="s">
        <v>166</v>
      </c>
      <c r="E230" s="1">
        <v>41426</v>
      </c>
    </row>
    <row r="231" spans="1:5" x14ac:dyDescent="0.7">
      <c r="A231" t="str">
        <f>HYPERLINK("https://rocky-and-hopper.sakura.ne.jp/Kisho-Michelin/8399/978-4-8399-4710-1.htm","相振り飛車の教科書")</f>
        <v>相振り飛車の教科書</v>
      </c>
      <c r="B231" s="3" t="s">
        <v>12</v>
      </c>
      <c r="C231" t="s">
        <v>45</v>
      </c>
      <c r="D231" t="s">
        <v>80</v>
      </c>
      <c r="E231" s="1">
        <v>41395</v>
      </c>
    </row>
    <row r="232" spans="1:5" x14ac:dyDescent="0.7">
      <c r="A232" t="str">
        <f>HYPERLINK("https://rocky-and-hopper.sakura.ne.jp/Kisho-Michelin/8399/978-4-8399-4763-7.htm","マイナビ将棋BOOKS ダイレクト向かい飛車徹底ガイド")</f>
        <v>マイナビ将棋BOOKS ダイレクト向かい飛車徹底ガイド</v>
      </c>
      <c r="B232" s="3" t="s">
        <v>12</v>
      </c>
      <c r="C232" t="s">
        <v>460</v>
      </c>
      <c r="D232" t="s">
        <v>63</v>
      </c>
      <c r="E232" s="1">
        <v>41426</v>
      </c>
    </row>
    <row r="233" spans="1:5" x14ac:dyDescent="0.7">
      <c r="A233" t="str">
        <f>HYPERLINK("https://rocky-and-hopper.sakura.ne.jp/Kisho-Michelin/8399/978-4-8399-4638-8.htm","将棋の教科書 現代振り飛車")</f>
        <v>将棋の教科書 現代振り飛車</v>
      </c>
      <c r="B233" s="3" t="s">
        <v>12</v>
      </c>
      <c r="C233" t="s">
        <v>45</v>
      </c>
      <c r="D233" t="s">
        <v>152</v>
      </c>
      <c r="E233" s="1">
        <v>41334</v>
      </c>
    </row>
    <row r="234" spans="1:5" x14ac:dyDescent="0.7">
      <c r="A234" t="str">
        <f>HYPERLINK("https://rocky-and-hopper.sakura.ne.jp/Kisho-Michelin/8399/978-4-8399-4640-1.htm","マイナビ将棋BOOKS すぐ勝てる！矢倉崩し")</f>
        <v>マイナビ将棋BOOKS すぐ勝てる！矢倉崩し</v>
      </c>
      <c r="B234" s="3" t="s">
        <v>12</v>
      </c>
      <c r="C234" t="s">
        <v>8</v>
      </c>
      <c r="D234" t="s">
        <v>167</v>
      </c>
      <c r="E234" s="1">
        <v>41334</v>
      </c>
    </row>
    <row r="235" spans="1:5" x14ac:dyDescent="0.7">
      <c r="A235" t="str">
        <f>HYPERLINK("https://rocky-and-hopper.sakura.ne.jp/Kisho-Michelin/8399/978-4-8399-4712-5.htm","マイナビ将棋BOOKS 若手精鋭が現代将棋を斬る")</f>
        <v>マイナビ将棋BOOKS 若手精鋭が現代将棋を斬る</v>
      </c>
      <c r="B235" s="3" t="s">
        <v>12</v>
      </c>
      <c r="C235" t="s">
        <v>415</v>
      </c>
      <c r="D235" t="s">
        <v>168</v>
      </c>
      <c r="E235" s="1">
        <v>41395</v>
      </c>
    </row>
    <row r="236" spans="1:5" x14ac:dyDescent="0.7">
      <c r="A236" t="str">
        <f>HYPERLINK("https://rocky-and-hopper.sakura.ne.jp/Kisho-Michelin/8399/978-4-8399-4656-2.htm","マイナビ将棋BOOKS 将棋・序盤完全ガイド 相居飛車編")</f>
        <v>マイナビ将棋BOOKS 将棋・序盤完全ガイド 相居飛車編</v>
      </c>
      <c r="B236" s="3" t="s">
        <v>0</v>
      </c>
      <c r="C236" t="s">
        <v>41</v>
      </c>
      <c r="D236" t="s">
        <v>169</v>
      </c>
      <c r="E236" s="1">
        <v>41334</v>
      </c>
    </row>
    <row r="237" spans="1:5" x14ac:dyDescent="0.7">
      <c r="A237" t="str">
        <f>HYPERLINK("https://rocky-and-hopper.sakura.ne.jp/Kisho-Michelin/8399/978-4-8399-4663-0.htm","マイナビ将棋BOOKS 角交換四間飛車 徹底ガイド")</f>
        <v>マイナビ将棋BOOKS 角交換四間飛車 徹底ガイド</v>
      </c>
      <c r="B237" s="3" t="s">
        <v>14</v>
      </c>
      <c r="C237" t="s">
        <v>8</v>
      </c>
      <c r="D237" t="s">
        <v>92</v>
      </c>
      <c r="E237" s="1">
        <v>41365</v>
      </c>
    </row>
    <row r="238" spans="1:5" x14ac:dyDescent="0.7">
      <c r="A238" t="str">
        <f>HYPERLINK("https://rocky-and-hopper.sakura.ne.jp/Kisho-Michelin/8399/978-4-8399-4639-5.htm","マイナビ将棋BOOKS 振り飛車4→3戦法")</f>
        <v>マイナビ将棋BOOKS 振り飛車4→3戦法</v>
      </c>
      <c r="B238" s="3" t="s">
        <v>14</v>
      </c>
      <c r="C238" t="s">
        <v>20</v>
      </c>
      <c r="D238" t="s">
        <v>98</v>
      </c>
      <c r="E238" s="1">
        <v>41334</v>
      </c>
    </row>
    <row r="239" spans="1:5" x14ac:dyDescent="0.7">
      <c r="A239" t="str">
        <f>HYPERLINK("https://rocky-and-hopper.sakura.ne.jp/Kisho-Michelin/8399/978-4-8399-4662-3.htm","マイナビ将棋BOOKS 将棋手筋 基本のキ")</f>
        <v>マイナビ将棋BOOKS 将棋手筋 基本のキ</v>
      </c>
      <c r="B239" s="3" t="s">
        <v>12</v>
      </c>
      <c r="D239" t="s">
        <v>170</v>
      </c>
      <c r="E239" s="1">
        <v>41365</v>
      </c>
    </row>
    <row r="240" spans="1:5" x14ac:dyDescent="0.7">
      <c r="A240" t="str">
        <f>HYPERLINK("https://rocky-and-hopper.sakura.ne.jp/Kisho-Michelin/88574/978-4-88574-434-1.htm","")</f>
        <v/>
      </c>
    </row>
    <row r="241" spans="1:5" x14ac:dyDescent="0.7">
      <c r="A241" t="str">
        <f>HYPERLINK("https://rocky-and-hopper.sakura.ne.jp/Kisho-Michelin/8399/978-4-8399-4607-4.htm","マイナビ将棋BOOKS すぐ勝てる！急戦矢倉")</f>
        <v>マイナビ将棋BOOKS すぐ勝てる！急戦矢倉</v>
      </c>
      <c r="B241" s="3" t="s">
        <v>14</v>
      </c>
      <c r="C241" t="s">
        <v>64</v>
      </c>
      <c r="D241" t="s">
        <v>75</v>
      </c>
      <c r="E241" s="1">
        <v>41306</v>
      </c>
    </row>
    <row r="242" spans="1:5" x14ac:dyDescent="0.7">
      <c r="A242" t="str">
        <f>HYPERLINK("https://rocky-and-hopper.sakura.ne.jp/Kisho-Michelin/8399/978-4-8399-4576-3.htm","マイナビ将棋BOOKS 逆転のメカニズム")</f>
        <v>マイナビ将棋BOOKS 逆転のメカニズム</v>
      </c>
      <c r="B242" s="3" t="s">
        <v>14</v>
      </c>
      <c r="C242" t="s">
        <v>424</v>
      </c>
      <c r="D242" t="s">
        <v>171</v>
      </c>
      <c r="E242" s="1">
        <v>41275</v>
      </c>
    </row>
    <row r="243" spans="1:5" x14ac:dyDescent="0.7">
      <c r="A243" t="str">
        <f>HYPERLINK("https://rocky-and-hopper.sakura.ne.jp/Kisho-Michelin/422/978-4-422-75140-5.htm","将棋最強ブックス 先手番で勝つ戦法")</f>
        <v>将棋最強ブックス 先手番で勝つ戦法</v>
      </c>
      <c r="B243" s="3" t="s">
        <v>40</v>
      </c>
      <c r="C243" t="s">
        <v>22</v>
      </c>
      <c r="D243" t="s">
        <v>56</v>
      </c>
      <c r="E243" s="1">
        <v>41365</v>
      </c>
    </row>
    <row r="244" spans="1:5" x14ac:dyDescent="0.7">
      <c r="A244" t="str">
        <f>HYPERLINK("https://rocky-and-hopper.sakura.ne.jp/Kisho-Michelin/8399/978-4-8399-4575-6.htm","マイナビ将棋BOOKS 菅井ノート 先手編")</f>
        <v>マイナビ将棋BOOKS 菅井ノート 先手編</v>
      </c>
      <c r="B244" s="3" t="s">
        <v>0</v>
      </c>
      <c r="C244" t="s">
        <v>440</v>
      </c>
      <c r="D244" t="s">
        <v>156</v>
      </c>
      <c r="E244" s="1">
        <v>41275</v>
      </c>
    </row>
    <row r="245" spans="1:5" x14ac:dyDescent="0.7">
      <c r="A245" t="str">
        <f>HYPERLINK("https://rocky-and-hopper.sakura.ne.jp/Kisho-Michelin/422/978-4-422-75128-3.htm","将棋パワーアップシリーズ 3手必至問題集")</f>
        <v>将棋パワーアップシリーズ 3手必至問題集</v>
      </c>
      <c r="B245" s="3" t="s">
        <v>12</v>
      </c>
      <c r="D245" t="s">
        <v>56</v>
      </c>
      <c r="E245" s="1">
        <v>41214</v>
      </c>
    </row>
    <row r="246" spans="1:5" x14ac:dyDescent="0.7">
      <c r="A246" t="str">
        <f>HYPERLINK("https://rocky-and-hopper.sakura.ne.jp/Kisho-Michelin/8399/978-4-8399-4573-2.htm","マイナビ将棋BOOKS 現代将棋の思想 〜一手損角換わり編〜")</f>
        <v>マイナビ将棋BOOKS 現代将棋の思想 〜一手損角換わり編〜</v>
      </c>
      <c r="B246" s="3" t="s">
        <v>14</v>
      </c>
      <c r="C246" t="s">
        <v>1</v>
      </c>
      <c r="D246" t="s">
        <v>172</v>
      </c>
      <c r="E246" s="1">
        <v>41275</v>
      </c>
    </row>
    <row r="247" spans="1:5" x14ac:dyDescent="0.7">
      <c r="A247" t="str">
        <f>HYPERLINK("https://rocky-and-hopper.sakura.ne.jp/Kisho-Michelin/8399/978-4-8399-4411-7.htm","マイナビ将棋BOOKS 終盤 寄せの妙手 基本編")</f>
        <v>マイナビ将棋BOOKS 終盤 寄せの妙手 基本編</v>
      </c>
      <c r="B247" s="3" t="s">
        <v>12</v>
      </c>
      <c r="D247" t="s">
        <v>173</v>
      </c>
      <c r="E247" s="1">
        <v>41214</v>
      </c>
    </row>
    <row r="248" spans="1:5" x14ac:dyDescent="0.7">
      <c r="A248" t="str">
        <f>HYPERLINK("https://rocky-and-hopper.sakura.ne.jp/Kisho-Michelin/86137/978-4-86137-038-0.htm","最強将棋21 中飛車の基本 【ゴキゲン中飛車編】")</f>
        <v>最強将棋21 中飛車の基本 【ゴキゲン中飛車編】</v>
      </c>
      <c r="B248" s="3" t="s">
        <v>14</v>
      </c>
      <c r="C248" t="s">
        <v>64</v>
      </c>
      <c r="D248" t="s">
        <v>152</v>
      </c>
      <c r="E248" s="1">
        <v>41275</v>
      </c>
    </row>
    <row r="249" spans="1:5" x14ac:dyDescent="0.7">
      <c r="A249" t="str">
        <f>HYPERLINK("https://rocky-and-hopper.sakura.ne.jp/Kisho-Michelin/8399/978-4-8399-4466-7.htm","将棋の教科書 対振り急戦")</f>
        <v>将棋の教科書 対振り急戦</v>
      </c>
      <c r="B249" s="3" t="s">
        <v>12</v>
      </c>
      <c r="C249" t="s">
        <v>445</v>
      </c>
      <c r="D249" t="s">
        <v>147</v>
      </c>
      <c r="E249" s="1">
        <v>41214</v>
      </c>
    </row>
    <row r="250" spans="1:5" x14ac:dyDescent="0.7">
      <c r="A250" t="str">
        <f>HYPERLINK("https://rocky-and-hopper.sakura.ne.jp/Kisho-Michelin/8399/978-4-8399-4609-8.htm","将棋連盟文庫 逆転の5手詰")</f>
        <v>将棋連盟文庫 逆転の5手詰</v>
      </c>
      <c r="B250" s="3" t="s">
        <v>14</v>
      </c>
      <c r="D250" t="s">
        <v>144</v>
      </c>
      <c r="E250" s="1">
        <v>40940</v>
      </c>
    </row>
    <row r="251" spans="1:5" x14ac:dyDescent="0.7">
      <c r="A251" t="str">
        <f>HYPERLINK("https://rocky-and-hopper.sakura.ne.jp/Kisho-Michelin/8197/4-8197-0331-5.htm","Perfect Series 康光流現代矢倉�T 先手3七銀戦法")</f>
        <v>Perfect Series 康光流現代矢倉�T 先手3七銀戦法</v>
      </c>
      <c r="B251" s="3" t="s">
        <v>12</v>
      </c>
      <c r="D251" t="s">
        <v>129</v>
      </c>
      <c r="E251" s="1">
        <v>35521</v>
      </c>
    </row>
    <row r="252" spans="1:5" x14ac:dyDescent="0.7">
      <c r="A252" t="str">
        <f>HYPERLINK("https://rocky-and-hopper.sakura.ne.jp/Kisho-Michelin/8399/4-8399-0678-5.htm","東大将棋ブックス 矢倉道場 第四巻 新3七銀")</f>
        <v>東大将棋ブックス 矢倉道場 第四巻 新3七銀</v>
      </c>
      <c r="B252" s="3" t="s">
        <v>12</v>
      </c>
      <c r="D252" t="s">
        <v>44</v>
      </c>
      <c r="E252" s="1">
        <v>37316</v>
      </c>
    </row>
    <row r="253" spans="1:5" x14ac:dyDescent="0.7">
      <c r="A253" t="str">
        <f>HYPERLINK("https://rocky-and-hopper.sakura.ne.jp/Kisho-Michelin/89563/4-89563-614-3.htm","単純明快 矢倉・脇システム")</f>
        <v>単純明快 矢倉・脇システム</v>
      </c>
      <c r="B253" s="3" t="s">
        <v>12</v>
      </c>
      <c r="D253" t="s">
        <v>174</v>
      </c>
      <c r="E253" s="1">
        <v>34639</v>
      </c>
    </row>
    <row r="254" spans="1:5" x14ac:dyDescent="0.7">
      <c r="A254" t="str">
        <f>HYPERLINK("https://rocky-and-hopper.sakura.ne.jp/Kisho-Michelin/8399/978-4-8399-4546-6.htm","木村の矢倉 3七銀戦法基礎編")</f>
        <v>木村の矢倉 3七銀戦法基礎編</v>
      </c>
      <c r="B254" s="3" t="s">
        <v>14</v>
      </c>
      <c r="D254" t="s">
        <v>166</v>
      </c>
      <c r="E254" s="1">
        <v>41244</v>
      </c>
    </row>
    <row r="255" spans="1:5" x14ac:dyDescent="0.7">
      <c r="A255" t="str">
        <f>HYPERLINK("https://rocky-and-hopper.sakura.ne.jp/Kisho-Michelin/8399/978-4-8399-4547-3.htm","将棋連盟文庫 逆転の3手詰")</f>
        <v>将棋連盟文庫 逆転の3手詰</v>
      </c>
      <c r="B255" s="3" t="s">
        <v>14</v>
      </c>
      <c r="D255" t="s">
        <v>124</v>
      </c>
      <c r="E255" s="1">
        <v>41244</v>
      </c>
    </row>
    <row r="256" spans="1:5" x14ac:dyDescent="0.7">
      <c r="A256" t="str">
        <f>HYPERLINK("https://rocky-and-hopper.sakura.ne.jp/Kisho-Michelin/8399/978-4-8399-4489-6.htm","マイナビ将棋BOOKS 永瀬流 負けない将棋")</f>
        <v>マイナビ将棋BOOKS 永瀬流 負けない将棋</v>
      </c>
      <c r="B256" s="3" t="s">
        <v>14</v>
      </c>
      <c r="C256" t="s">
        <v>417</v>
      </c>
      <c r="D256" t="s">
        <v>175</v>
      </c>
      <c r="E256" s="1">
        <v>41214</v>
      </c>
    </row>
    <row r="257" spans="1:5" x14ac:dyDescent="0.7">
      <c r="A257" t="str">
        <f>HYPERLINK("https://rocky-and-hopper.sakura.ne.jp/Kisho-Michelin/8399/978-4-8399-4467-4.htm","マイナビ将棋BOOKS 終盤のメカニズム")</f>
        <v>マイナビ将棋BOOKS 終盤のメカニズム</v>
      </c>
      <c r="B257" s="3" t="s">
        <v>12</v>
      </c>
      <c r="D257" t="s">
        <v>176</v>
      </c>
      <c r="E257" s="1">
        <v>41183</v>
      </c>
    </row>
    <row r="258" spans="1:5" x14ac:dyDescent="0.7">
      <c r="A258" t="str">
        <f>HYPERLINK("https://rocky-and-hopper.sakura.ne.jp/Kisho-Michelin/86137/978-4-86137-037-3.htm","最強将棋21 石田流の基本 【早石田と角交換型】")</f>
        <v>最強将棋21 石田流の基本 【早石田と角交換型】</v>
      </c>
      <c r="B258" s="3" t="s">
        <v>14</v>
      </c>
      <c r="C258" t="s">
        <v>415</v>
      </c>
      <c r="D258" t="s">
        <v>98</v>
      </c>
      <c r="E258" s="1">
        <v>41214</v>
      </c>
    </row>
    <row r="259" spans="1:5" x14ac:dyDescent="0.7">
      <c r="A259" t="str">
        <f>HYPERLINK("https://rocky-and-hopper.sakura.ne.jp/Kisho-Michelin/8399/978-4-8399-4478-0.htm","マイナビ将棋BOOKS すぐ勝てる！右四間飛車")</f>
        <v>マイナビ将棋BOOKS すぐ勝てる！右四間飛車</v>
      </c>
      <c r="B259" s="3" t="s">
        <v>40</v>
      </c>
      <c r="C259" t="s">
        <v>133</v>
      </c>
      <c r="D259" t="s">
        <v>167</v>
      </c>
      <c r="E259" s="1">
        <v>41183</v>
      </c>
    </row>
    <row r="260" spans="1:5" x14ac:dyDescent="0.7">
      <c r="A260" t="str">
        <f>HYPERLINK("https://rocky-and-hopper.sakura.ne.jp/Kisho-Michelin/8399/978-4-8399-4445-2.htm","マイナビ将棋BOOKS 四間飛車激減の理由")</f>
        <v>マイナビ将棋BOOKS 四間飛車激減の理由</v>
      </c>
      <c r="B260" s="3" t="s">
        <v>14</v>
      </c>
      <c r="C260" t="s">
        <v>8</v>
      </c>
      <c r="D260" t="s">
        <v>177</v>
      </c>
      <c r="E260" s="1">
        <v>41183</v>
      </c>
    </row>
    <row r="261" spans="1:5" x14ac:dyDescent="0.7">
      <c r="A261" t="str">
        <f>HYPERLINK("https://rocky-and-hopper.sakura.ne.jp/Kisho-Michelin/8399/978-4-8399-4465-0.htm","マイナビ将棋BOOKS 将棋・序盤完全ガイド 振り飛車編")</f>
        <v>マイナビ将棋BOOKS 将棋・序盤完全ガイド 振り飛車編</v>
      </c>
      <c r="B261" s="3" t="s">
        <v>0</v>
      </c>
      <c r="C261" t="s">
        <v>45</v>
      </c>
      <c r="D261" t="s">
        <v>169</v>
      </c>
      <c r="E261" s="1">
        <v>41183</v>
      </c>
    </row>
    <row r="262" spans="1:5" x14ac:dyDescent="0.7">
      <c r="A262" t="str">
        <f>HYPERLINK("https://rocky-and-hopper.sakura.ne.jp/Kisho-Michelin/8399/978-4-8399-4454-4.htm","将棋の教科書 振り飛車急戦")</f>
        <v>将棋の教科書 振り飛車急戦</v>
      </c>
      <c r="B262" s="3" t="s">
        <v>12</v>
      </c>
      <c r="C262" t="s">
        <v>45</v>
      </c>
      <c r="D262" t="s">
        <v>152</v>
      </c>
      <c r="E262" s="1">
        <v>41153</v>
      </c>
    </row>
    <row r="263" spans="1:5" x14ac:dyDescent="0.7">
      <c r="A263" t="str">
        <f>HYPERLINK("https://rocky-and-hopper.sakura.ne.jp/Kisho-Michelin/8399/978-4-8399-4453-7.htm","菅井ノート 後手編")</f>
        <v>菅井ノート 後手編</v>
      </c>
      <c r="B263" s="3" t="s">
        <v>0</v>
      </c>
      <c r="C263" t="s">
        <v>45</v>
      </c>
      <c r="D263" t="s">
        <v>156</v>
      </c>
      <c r="E263" s="1">
        <v>41153</v>
      </c>
    </row>
    <row r="264" spans="1:5" x14ac:dyDescent="0.7">
      <c r="A264" t="str">
        <f>HYPERLINK("https://rocky-and-hopper.sakura.ne.jp/Kisho-Michelin/14/978-4-14-016207-1.htm","NHK将棋シリーズ 佐藤康光の実戦で使える囲いの急所")</f>
        <v>NHK将棋シリーズ 佐藤康光の実戦で使える囲いの急所</v>
      </c>
      <c r="B264" s="3" t="s">
        <v>12</v>
      </c>
      <c r="C264" t="s">
        <v>451</v>
      </c>
      <c r="D264" t="s">
        <v>129</v>
      </c>
      <c r="E264" s="1">
        <v>41153</v>
      </c>
    </row>
    <row r="265" spans="1:5" x14ac:dyDescent="0.7">
      <c r="A265" t="str">
        <f>HYPERLINK("https://rocky-and-hopper.sakura.ne.jp/Kisho-Michelin/7804/978-4-7804-1159-1.htm","コツがわかる本 これで初段になれる！ 将棋実力アップのコツ50")</f>
        <v>コツがわかる本 これで初段になれる！ 将棋実力アップのコツ50</v>
      </c>
      <c r="B265" s="3" t="s">
        <v>14</v>
      </c>
      <c r="C265" t="s">
        <v>465</v>
      </c>
      <c r="D265" t="s">
        <v>56</v>
      </c>
      <c r="E265" s="1">
        <v>41030</v>
      </c>
    </row>
    <row r="266" spans="1:5" x14ac:dyDescent="0.7">
      <c r="A266" t="str">
        <f>HYPERLINK("https://rocky-and-hopper.sakura.ne.jp/Kisho-Michelin/07/978-4-07-283908-9.htm","動かす駒がすぐわかる！ 羽生善治のはじめて詰め将棋")</f>
        <v>動かす駒がすぐわかる！ 羽生善治のはじめて詰め将棋</v>
      </c>
      <c r="B266" s="3" t="s">
        <v>12</v>
      </c>
      <c r="D266" t="s">
        <v>178</v>
      </c>
      <c r="E266" s="1">
        <v>41091</v>
      </c>
    </row>
    <row r="267" spans="1:5" x14ac:dyDescent="0.7">
      <c r="A267" t="str">
        <f>HYPERLINK("https://rocky-and-hopper.sakura.ne.jp/Kisho-Michelin/422/978-4-422-75138-2.htm","将棋最強ブックス 最新振り飛車破り〈下〉 四間飛車破り・三間飛車破り・向かい飛車破り・中飛車破り")</f>
        <v>将棋最強ブックス 最新振り飛車破り〈下〉 四間飛車破り・三間飛車破り・向かい飛車破り・中飛車破り</v>
      </c>
      <c r="B267" s="3" t="s">
        <v>179</v>
      </c>
      <c r="C267" t="s">
        <v>419</v>
      </c>
      <c r="D267" t="s">
        <v>165</v>
      </c>
      <c r="E267" s="1">
        <v>41153</v>
      </c>
    </row>
    <row r="268" spans="1:5" x14ac:dyDescent="0.7">
      <c r="A268" t="str">
        <f>HYPERLINK("https://rocky-and-hopper.sakura.ne.jp/Kisho-Michelin/86137/978-4-86137-036-6.htm","最強将棋21 四間飛車穴熊の急所(2) 【相穴熊編】")</f>
        <v>最強将棋21 四間飛車穴熊の急所(2) 【相穴熊編】</v>
      </c>
      <c r="B268" s="3" t="s">
        <v>0</v>
      </c>
      <c r="C268" t="s">
        <v>8</v>
      </c>
      <c r="D268" t="s">
        <v>160</v>
      </c>
      <c r="E268" s="1">
        <v>41061</v>
      </c>
    </row>
    <row r="269" spans="1:5" x14ac:dyDescent="0.7">
      <c r="A269" t="str">
        <f>HYPERLINK("https://rocky-and-hopper.sakura.ne.jp/Kisho-Michelin/8399/978-4-8399-4401-8.htm","マイナビ将棋BOOKS すぐ勝てる！先手中飛車")</f>
        <v>マイナビ将棋BOOKS すぐ勝てる！先手中飛車</v>
      </c>
      <c r="B269" s="3" t="s">
        <v>12</v>
      </c>
      <c r="C269" t="s">
        <v>440</v>
      </c>
      <c r="D269" t="s">
        <v>180</v>
      </c>
      <c r="E269" s="1">
        <v>41091</v>
      </c>
    </row>
    <row r="270" spans="1:5" x14ac:dyDescent="0.7">
      <c r="A270" t="str">
        <f>HYPERLINK("https://rocky-and-hopper.sakura.ne.jp/Kisho-Michelin/8399/978-4-8399-4327-1.htm","マイナビ将棋BOOKS よくわかる矢倉")</f>
        <v>マイナビ将棋BOOKS よくわかる矢倉</v>
      </c>
      <c r="B270" s="3" t="s">
        <v>14</v>
      </c>
      <c r="C270" t="s">
        <v>41</v>
      </c>
      <c r="D270" t="s">
        <v>181</v>
      </c>
      <c r="E270" s="1">
        <v>41061</v>
      </c>
    </row>
    <row r="271" spans="1:5" x14ac:dyDescent="0.7">
      <c r="A271" t="str">
        <f>HYPERLINK("https://rocky-and-hopper.sakura.ne.jp/Kisho-Michelin/8399/978-4-8399-4377-6.htm","マイナビ将棋BOOKS 最新定跡村山レポート")</f>
        <v>マイナビ将棋BOOKS 最新定跡村山レポート</v>
      </c>
      <c r="B271" s="3" t="s">
        <v>14</v>
      </c>
      <c r="C271" t="s">
        <v>318</v>
      </c>
      <c r="D271" t="s">
        <v>182</v>
      </c>
      <c r="E271" s="1">
        <v>41091</v>
      </c>
    </row>
    <row r="272" spans="1:5" x14ac:dyDescent="0.7">
      <c r="A272" t="str">
        <f>HYPERLINK("https://rocky-and-hopper.sakura.ne.jp/Kisho-Michelin/8399/978-4-8399-2906-0.htm","マイコミ将棋BOOKS 関西新鋭棋士実戦集")</f>
        <v>マイコミ将棋BOOKS 関西新鋭棋士実戦集</v>
      </c>
      <c r="B272" s="3" t="s">
        <v>40</v>
      </c>
      <c r="C272" t="s">
        <v>433</v>
      </c>
      <c r="D272" t="s">
        <v>183</v>
      </c>
      <c r="E272" s="1">
        <v>39630</v>
      </c>
    </row>
    <row r="273" spans="1:5" x14ac:dyDescent="0.7">
      <c r="A273" t="str">
        <f>HYPERLINK("https://rocky-and-hopper.sakura.ne.jp/Kisho-Michelin/380/4-380-90211-0.htm","三一将棋シリーズ 必殺！19手定跡 英春流〈かまいたち〉戦法 居飛車編")</f>
        <v>三一将棋シリーズ 必殺！19手定跡 英春流〈かまいたち〉戦法 居飛車編</v>
      </c>
      <c r="B273" s="3" t="s">
        <v>12</v>
      </c>
      <c r="C273" t="s">
        <v>41</v>
      </c>
      <c r="D273" t="s">
        <v>76</v>
      </c>
      <c r="E273" s="1">
        <v>32964</v>
      </c>
    </row>
    <row r="274" spans="1:5" x14ac:dyDescent="0.7">
      <c r="A274" t="str">
        <f>HYPERLINK("https://rocky-and-hopper.sakura.ne.jp/Kisho-Michelin/2377/2377-906046-2732.htm","MAN TO MAN BOOKS スラスラ決める 将棋奇襲集 必殺の決め業を放つ─その手筋をあなたにソッと教えます！")</f>
        <v>MAN TO MAN BOOKS スラスラ決める 将棋奇襲集 必殺の決め業を放つ─その手筋をあなたにソッと教えます！</v>
      </c>
      <c r="B274" s="3" t="s">
        <v>40</v>
      </c>
      <c r="C274" t="s">
        <v>34</v>
      </c>
      <c r="D274" t="s">
        <v>184</v>
      </c>
      <c r="E274" s="1">
        <v>29160</v>
      </c>
    </row>
    <row r="275" spans="1:5" x14ac:dyDescent="0.7">
      <c r="A275" t="str">
        <f>HYPERLINK("https://rocky-and-hopper.sakura.ne.jp/Kisho-Michelin/86095/978-4-86095-501-4.htm","将棋はここから始まる！ 石橋幸緒の駒落ちレシピ [十枚〜八枚落ち]")</f>
        <v>将棋はここから始まる！ 石橋幸緒の駒落ちレシピ [十枚〜八枚落ち]</v>
      </c>
      <c r="B275" s="3" t="s">
        <v>12</v>
      </c>
      <c r="D275" t="s">
        <v>185</v>
      </c>
      <c r="E275" s="1">
        <v>41030</v>
      </c>
    </row>
    <row r="276" spans="1:5" x14ac:dyDescent="0.7">
      <c r="A276" t="str">
        <f>HYPERLINK("https://rocky-and-hopper.sakura.ne.jp/Kisho-Michelin/89644/978-4-89644-795-8.htm","SUN-MAGAZINE MOOK 最強棋士に学ぶ五手詰の基礎！ 羽生の五手詰 構想力、推察力、応用力を鍛える 名人インタビュー、名棋士列伝81人つき！")</f>
        <v>SUN-MAGAZINE MOOK 最強棋士に学ぶ五手詰の基礎！ 羽生の五手詰 構想力、推察力、応用力を鍛える 名人インタビュー、名棋士列伝81人つき！</v>
      </c>
      <c r="B276" s="3" t="s">
        <v>40</v>
      </c>
      <c r="D276" t="s">
        <v>21</v>
      </c>
      <c r="E276" s="1">
        <v>41030</v>
      </c>
    </row>
    <row r="277" spans="1:5" x14ac:dyDescent="0.7">
      <c r="A277" t="str">
        <f>HYPERLINK("https://rocky-and-hopper.sakura.ne.jp/Kisho-Michelin/8399/978-4-8399-4186-4.htm","早分かり 石田流定跡ガイド")</f>
        <v>早分かり 石田流定跡ガイド</v>
      </c>
      <c r="B277" s="3" t="s">
        <v>14</v>
      </c>
      <c r="C277" t="s">
        <v>466</v>
      </c>
      <c r="D277" t="s">
        <v>44</v>
      </c>
      <c r="E277" s="1">
        <v>41030</v>
      </c>
    </row>
    <row r="278" spans="1:5" x14ac:dyDescent="0.7">
      <c r="A278" t="str">
        <f>HYPERLINK("https://rocky-and-hopper.sakura.ne.jp/Kisho-Michelin/8399/978-4-8399-4289-2.htm","マイナビ将棋BOOKS よくわかる相掛かり")</f>
        <v>マイナビ将棋BOOKS よくわかる相掛かり</v>
      </c>
      <c r="B278" s="3" t="s">
        <v>14</v>
      </c>
      <c r="C278" t="s">
        <v>34</v>
      </c>
      <c r="D278" t="s">
        <v>29</v>
      </c>
      <c r="E278" s="1">
        <v>41000</v>
      </c>
    </row>
    <row r="279" spans="1:5" x14ac:dyDescent="0.7">
      <c r="A279" t="str">
        <f>HYPERLINK("https://rocky-and-hopper.sakura.ne.jp/Kisho-Michelin/422/978-4-422-75139-9.htm","将棋最強ブックス 勝てる矢倉戦法")</f>
        <v>将棋最強ブックス 勝てる矢倉戦法</v>
      </c>
      <c r="B279" s="3" t="s">
        <v>12</v>
      </c>
      <c r="D279" t="s">
        <v>56</v>
      </c>
      <c r="E279" s="1">
        <v>41030</v>
      </c>
    </row>
    <row r="280" spans="1:5" x14ac:dyDescent="0.7">
      <c r="A280" t="str">
        <f>HYPERLINK("https://rocky-and-hopper.sakura.ne.jp/Kisho-Michelin/8399/978-4-8399-4260-1.htm","孤高の大木 千駄ヶ谷市場2")</f>
        <v>孤高の大木 千駄ヶ谷市場2</v>
      </c>
      <c r="B280" s="3" t="s">
        <v>12</v>
      </c>
      <c r="D280" t="s">
        <v>186</v>
      </c>
      <c r="E280" s="1">
        <v>41000</v>
      </c>
    </row>
    <row r="281" spans="1:5" x14ac:dyDescent="0.7">
      <c r="A281" t="str">
        <f>HYPERLINK("https://rocky-and-hopper.sakura.ne.jp/Kisho-Michelin/8399/978-4-8399-4220-5.htm","KIMURA's YAGURA 木村の矢倉 急戦・森下システム")</f>
        <v>KIMURA's YAGURA 木村の矢倉 急戦・森下システム</v>
      </c>
      <c r="B281" s="3" t="s">
        <v>14</v>
      </c>
      <c r="C281" t="s">
        <v>428</v>
      </c>
      <c r="D281" t="s">
        <v>166</v>
      </c>
      <c r="E281" s="1">
        <v>40969</v>
      </c>
    </row>
    <row r="282" spans="1:5" x14ac:dyDescent="0.7">
      <c r="A282" t="str">
        <f>HYPERLINK("https://rocky-and-hopper.sakura.ne.jp/Kisho-Michelin/331/978-4-331-51622-5.htm","チャレンジシリーズ 一番わかりやすくて面白い！ 詰将棋ドリル(3) 3手詰初級編 3手詰を基礎から攻略 追撃の182問！")</f>
        <v>チャレンジシリーズ 一番わかりやすくて面白い！ 詰将棋ドリル(3) 3手詰初級編 3手詰を基礎から攻略 追撃の182問！</v>
      </c>
      <c r="B282" s="3" t="s">
        <v>12</v>
      </c>
      <c r="D282" t="s">
        <v>124</v>
      </c>
      <c r="E282" s="1">
        <v>40969</v>
      </c>
    </row>
    <row r="283" spans="1:5" x14ac:dyDescent="0.7">
      <c r="A283" t="str">
        <f>HYPERLINK("https://rocky-and-hopper.sakura.ne.jp/Kisho-Michelin/8399/978-4-8399-4136-9.htm","マイナビ将棋BOOKS よくわかる石田流")</f>
        <v>マイナビ将棋BOOKS よくわかる石田流</v>
      </c>
      <c r="B283" s="3" t="s">
        <v>14</v>
      </c>
      <c r="C283" t="s">
        <v>133</v>
      </c>
      <c r="D283" t="s">
        <v>187</v>
      </c>
      <c r="E283" s="1">
        <v>40909</v>
      </c>
    </row>
    <row r="284" spans="1:5" x14ac:dyDescent="0.7">
      <c r="A284" t="str">
        <f>HYPERLINK("https://rocky-and-hopper.sakura.ne.jp/Kisho-Michelin/86137/978-4-86137-034-2.htm","最強将棋21 石田流の基本 【本組みと7七角型】")</f>
        <v>最強将棋21 石田流の基本 【本組みと7七角型】</v>
      </c>
      <c r="B284" s="3" t="s">
        <v>14</v>
      </c>
      <c r="C284" t="s">
        <v>96</v>
      </c>
      <c r="D284" t="s">
        <v>98</v>
      </c>
      <c r="E284" s="1">
        <v>40940</v>
      </c>
    </row>
    <row r="285" spans="1:5" x14ac:dyDescent="0.7">
      <c r="A285" t="str">
        <f>HYPERLINK("https://rocky-and-hopper.sakura.ne.jp/Kisho-Michelin/8399/978-4-8399-4182-6.htm","マイナビ将棋文庫SP 将棋・ひと目の逆転")</f>
        <v>マイナビ将棋文庫SP 将棋・ひと目の逆転</v>
      </c>
      <c r="B285" s="3" t="s">
        <v>14</v>
      </c>
      <c r="D285" t="s">
        <v>132</v>
      </c>
      <c r="E285" s="1">
        <v>40969</v>
      </c>
    </row>
    <row r="286" spans="1:5" x14ac:dyDescent="0.7">
      <c r="A286" t="str">
        <f>HYPERLINK("https://rocky-and-hopper.sakura.ne.jp/Kisho-Michelin/8399/978-4-8399-4138-3.htm","脳トレ5手詰")</f>
        <v>脳トレ5手詰</v>
      </c>
      <c r="B286" s="3" t="s">
        <v>12</v>
      </c>
      <c r="D286" t="s">
        <v>128</v>
      </c>
      <c r="E286" s="1">
        <v>40969</v>
      </c>
    </row>
    <row r="287" spans="1:5" x14ac:dyDescent="0.7">
      <c r="A287" t="str">
        <f>HYPERLINK("https://rocky-and-hopper.sakura.ne.jp/Kisho-Michelin/8399/978-4-8399-4123-9.htm","こども向け将棋教室 やさしい詰みの形")</f>
        <v>こども向け将棋教室 やさしい詰みの形</v>
      </c>
      <c r="B287" s="3" t="s">
        <v>12</v>
      </c>
      <c r="D287" t="s">
        <v>188</v>
      </c>
      <c r="E287" s="1">
        <v>40909</v>
      </c>
    </row>
    <row r="288" spans="1:5" x14ac:dyDescent="0.7">
      <c r="A288" t="str">
        <f>HYPERLINK("https://rocky-and-hopper.sakura.ne.jp/Kisho-Michelin/8399/978-4-8399-4184-0.htm","将棋連盟文庫 内藤のカンタン必至")</f>
        <v>将棋連盟文庫 内藤のカンタン必至</v>
      </c>
      <c r="B288" s="3" t="s">
        <v>14</v>
      </c>
      <c r="D288" t="s">
        <v>189</v>
      </c>
      <c r="E288" s="1">
        <v>40940</v>
      </c>
    </row>
    <row r="289" spans="1:5" x14ac:dyDescent="0.7">
      <c r="A289" t="str">
        <f>HYPERLINK("https://rocky-and-hopper.sakura.ne.jp/Kisho-Michelin/8399/978-4-8399-4178-9.htm","マイナビ将棋BOOKS 横歩取り必勝ガイド")</f>
        <v>マイナビ将棋BOOKS 横歩取り必勝ガイド</v>
      </c>
      <c r="B289" s="3" t="s">
        <v>14</v>
      </c>
      <c r="C289" t="s">
        <v>34</v>
      </c>
      <c r="D289" t="s">
        <v>111</v>
      </c>
      <c r="E289" s="1">
        <v>40940</v>
      </c>
    </row>
    <row r="290" spans="1:5" x14ac:dyDescent="0.7">
      <c r="A290" t="str">
        <f>HYPERLINK("https://rocky-and-hopper.sakura.ne.jp/Kisho-Michelin/422/978-4-422-75137-5.htm","将棋最強ブックス 最新振り飛車破り〈上〉 ゴキゲン中飛車破り 角交換振り飛車破り 石田流破り")</f>
        <v>将棋最強ブックス 最新振り飛車破り〈上〉 ゴキゲン中飛車破り 角交換振り飛車破り 石田流破り</v>
      </c>
      <c r="B290" s="3" t="s">
        <v>40</v>
      </c>
      <c r="C290" t="s">
        <v>452</v>
      </c>
      <c r="D290" t="s">
        <v>165</v>
      </c>
      <c r="E290" s="1">
        <v>40969</v>
      </c>
    </row>
    <row r="291" spans="1:5" x14ac:dyDescent="0.7">
      <c r="A291" t="str">
        <f>HYPERLINK("https://rocky-and-hopper.sakura.ne.jp/Kisho-Michelin/8399/978-4-8399-4203-8.htm","東海の鬼 花村元司伝")</f>
        <v>東海の鬼 花村元司伝</v>
      </c>
      <c r="B291" s="3" t="s">
        <v>40</v>
      </c>
      <c r="D291" t="s">
        <v>190</v>
      </c>
      <c r="E291" s="1">
        <v>40940</v>
      </c>
    </row>
    <row r="292" spans="1:5" x14ac:dyDescent="0.7">
      <c r="A292" t="str">
        <f>HYPERLINK("https://rocky-and-hopper.sakura.ne.jp/Kisho-Michelin/8399/978-4-8399-4185-7.htm","マイナビ将棋BOOKS 最新戦法 マル秘定跡ファイル")</f>
        <v>マイナビ将棋BOOKS 最新戦法 マル秘定跡ファイル</v>
      </c>
      <c r="B292" s="3" t="s">
        <v>12</v>
      </c>
      <c r="C292" t="s">
        <v>467</v>
      </c>
      <c r="D292" t="s">
        <v>69</v>
      </c>
      <c r="E292" s="1">
        <v>40940</v>
      </c>
    </row>
    <row r="293" spans="1:5" x14ac:dyDescent="0.7">
      <c r="A293" t="str">
        <f>HYPERLINK("https://rocky-and-hopper.sakura.ne.jp/Kisho-Michelin/12/978-4-12-004356-7.htm","われ敗れたり コンピュータ棋戦のすべてを語る")</f>
        <v>われ敗れたり コンピュータ棋戦のすべてを語る</v>
      </c>
      <c r="B293" s="3" t="s">
        <v>12</v>
      </c>
      <c r="D293" t="s">
        <v>191</v>
      </c>
      <c r="E293" s="1">
        <v>40940</v>
      </c>
    </row>
    <row r="294" spans="1:5" x14ac:dyDescent="0.7">
      <c r="A294" t="str">
        <f>HYPERLINK("https://rocky-and-hopper.sakura.ne.jp/Kisho-Michelin/8399/978-4-8399-4139-0.htm","マイナビ将棋BOOKS 対矢倉 左美濃作戦")</f>
        <v>マイナビ将棋BOOKS 対矢倉 左美濃作戦</v>
      </c>
      <c r="B294" s="3" t="s">
        <v>14</v>
      </c>
      <c r="C294" t="s">
        <v>133</v>
      </c>
      <c r="D294" t="s">
        <v>192</v>
      </c>
      <c r="E294" s="1">
        <v>40909</v>
      </c>
    </row>
    <row r="295" spans="1:5" x14ac:dyDescent="0.7">
      <c r="A295" t="str">
        <f>HYPERLINK("https://rocky-and-hopper.sakura.ne.jp/Kisho-Michelin/331/978-4-331-51603-4.htm","チャレンジシリーズ 一番わかりやすくて面白い！ 詰将棋ドリル(2) 1手詰初・中級編 10級から1級にレベルアップ 飛躍の274問！")</f>
        <v>チャレンジシリーズ 一番わかりやすくて面白い！ 詰将棋ドリル(2) 1手詰初・中級編 10級から1級にレベルアップ 飛躍の274問！</v>
      </c>
      <c r="B295" s="3" t="s">
        <v>12</v>
      </c>
      <c r="D295" t="s">
        <v>124</v>
      </c>
      <c r="E295" s="1">
        <v>40909</v>
      </c>
    </row>
    <row r="296" spans="1:5" x14ac:dyDescent="0.7">
      <c r="A296" t="str">
        <f>HYPERLINK("https://rocky-and-hopper.sakura.ne.jp/Kisho-Michelin/86137/978-4-86137-033-5.htm","最強将棋21 ゴキゲン中飛車の急所")</f>
        <v>最強将棋21 ゴキゲン中飛車の急所</v>
      </c>
      <c r="B296" s="3" t="s">
        <v>14</v>
      </c>
      <c r="C296" t="s">
        <v>64</v>
      </c>
      <c r="D296" t="s">
        <v>182</v>
      </c>
      <c r="E296" s="1">
        <v>40878</v>
      </c>
    </row>
    <row r="297" spans="1:5" x14ac:dyDescent="0.7">
      <c r="A297" t="str">
        <f>HYPERLINK("https://rocky-and-hopper.sakura.ne.jp/Kisho-Michelin/904808/978-4-904808-03-0.htm","久保利明の最強振り飛車戦略 角交換振り飛車の久保システム")</f>
        <v>久保利明の最強振り飛車戦略 角交換振り飛車の久保システム</v>
      </c>
      <c r="B297" s="3" t="s">
        <v>14</v>
      </c>
      <c r="C297" t="s">
        <v>440</v>
      </c>
      <c r="D297" t="s">
        <v>134</v>
      </c>
      <c r="E297" s="1">
        <v>40878</v>
      </c>
    </row>
    <row r="298" spans="1:5" x14ac:dyDescent="0.7">
      <c r="A298" t="str">
        <f>HYPERLINK("https://rocky-and-hopper.sakura.ne.jp/Kisho-Michelin/8399/978-4-8399-4116-1.htm","マイナビ将棋BOOKS よくわかる横歩取り")</f>
        <v>マイナビ将棋BOOKS よくわかる横歩取り</v>
      </c>
      <c r="B298" s="3" t="s">
        <v>14</v>
      </c>
      <c r="C298" t="s">
        <v>34</v>
      </c>
      <c r="D298" t="s">
        <v>193</v>
      </c>
      <c r="E298" s="1">
        <v>40878</v>
      </c>
    </row>
    <row r="299" spans="1:5" x14ac:dyDescent="0.7">
      <c r="A299" t="str">
        <f>HYPERLINK("https://rocky-and-hopper.sakura.ne.jp/Kisho-Michelin/88574/978-4-88574-433-4.htm","新 将棋は歩から")</f>
        <v>新 将棋は歩から</v>
      </c>
      <c r="B299" s="3" t="s">
        <v>12</v>
      </c>
      <c r="C299" t="s">
        <v>41</v>
      </c>
      <c r="D299" t="s">
        <v>194</v>
      </c>
      <c r="E299" s="1">
        <v>40878</v>
      </c>
    </row>
    <row r="300" spans="1:5" x14ac:dyDescent="0.7">
      <c r="A300" t="str">
        <f>HYPERLINK("https://rocky-and-hopper.sakura.ne.jp/Kisho-Michelin/422/978-4-422-75126-9.htm","将棋パワーアップシリーズ 9手詰将棋")</f>
        <v>将棋パワーアップシリーズ 9手詰将棋</v>
      </c>
      <c r="B300" s="3" t="s">
        <v>14</v>
      </c>
      <c r="C300" t="s">
        <v>59</v>
      </c>
      <c r="D300" t="s">
        <v>56</v>
      </c>
      <c r="E300" s="1">
        <v>40878</v>
      </c>
    </row>
    <row r="301" spans="1:5" x14ac:dyDescent="0.7">
      <c r="A301" t="str">
        <f>HYPERLINK("https://rocky-and-hopper.sakura.ne.jp/Kisho-Michelin/88574/4-88574-411-3.htm","将棋は歩から 下巻")</f>
        <v>将棋は歩から 下巻</v>
      </c>
      <c r="B301" s="3" t="s">
        <v>14</v>
      </c>
      <c r="D301" t="s">
        <v>137</v>
      </c>
      <c r="E301" s="1">
        <v>25842</v>
      </c>
    </row>
    <row r="302" spans="1:5" x14ac:dyDescent="0.7">
      <c r="A302" t="str">
        <f>HYPERLINK("https://rocky-and-hopper.sakura.ne.jp/Kisho-Michelin/88574/4-88574-410-5.htm","将棋は歩から 中巻")</f>
        <v>将棋は歩から 中巻</v>
      </c>
      <c r="B302" s="3" t="s">
        <v>0</v>
      </c>
      <c r="C302" t="s">
        <v>318</v>
      </c>
      <c r="D302" t="s">
        <v>137</v>
      </c>
      <c r="E302" s="1">
        <v>25689</v>
      </c>
    </row>
    <row r="303" spans="1:5" x14ac:dyDescent="0.7">
      <c r="A303" t="str">
        <f>HYPERLINK("https://rocky-and-hopper.sakura.ne.jp/Kisho-Michelin/88574/4-88574-409-1.htm","将棋は歩から 上巻")</f>
        <v>将棋は歩から 上巻</v>
      </c>
      <c r="B303" s="3" t="s">
        <v>14</v>
      </c>
      <c r="C303" t="s">
        <v>468</v>
      </c>
      <c r="D303" t="s">
        <v>137</v>
      </c>
      <c r="E303" s="1">
        <v>25600</v>
      </c>
    </row>
    <row r="304" spans="1:5" x14ac:dyDescent="0.7">
      <c r="A304" t="str">
        <f>HYPERLINK("https://rocky-and-hopper.sakura.ne.jp/Kisho-Michelin/8399/978-4-8399-4081-2.htm","マイナビ将棋BOOKS 橋本流 中終盤 急所の一手")</f>
        <v>マイナビ将棋BOOKS 橋本流 中終盤 急所の一手</v>
      </c>
      <c r="B304" s="3" t="s">
        <v>12</v>
      </c>
      <c r="C304" t="s">
        <v>467</v>
      </c>
      <c r="D304" t="s">
        <v>196</v>
      </c>
      <c r="E304" s="1">
        <v>40848</v>
      </c>
    </row>
    <row r="305" spans="1:5" x14ac:dyDescent="0.7">
      <c r="A305" t="str">
        <f>HYPERLINK("https://rocky-and-hopper.sakura.ne.jp/Kisho-Michelin/8399/978-4-8399-4094-2.htm","マイナビ将棋BOOKS よくわかる四間飛車")</f>
        <v>マイナビ将棋BOOKS よくわかる四間飛車</v>
      </c>
      <c r="B305" s="3" t="s">
        <v>14</v>
      </c>
      <c r="C305" t="s">
        <v>133</v>
      </c>
      <c r="D305" t="s">
        <v>170</v>
      </c>
      <c r="E305" s="1">
        <v>40848</v>
      </c>
    </row>
    <row r="306" spans="1:5" x14ac:dyDescent="0.7">
      <c r="A306" t="str">
        <f>HYPERLINK("https://rocky-and-hopper.sakura.ne.jp/Kisho-Michelin/422/978-4-422-75136-8.htm","将棋最強ブックス 勝てる棒銀戦法")</f>
        <v>将棋最強ブックス 勝てる棒銀戦法</v>
      </c>
      <c r="B306" s="3" t="s">
        <v>12</v>
      </c>
      <c r="C306" t="s">
        <v>8</v>
      </c>
      <c r="D306" t="s">
        <v>71</v>
      </c>
      <c r="E306" s="1">
        <v>40848</v>
      </c>
    </row>
    <row r="307" spans="1:5" x14ac:dyDescent="0.7">
      <c r="A307" t="str">
        <f>HYPERLINK("https://rocky-and-hopper.sakura.ne.jp/Kisho-Michelin/05/4-05-102695-7.htm","シミュレーション将棋ブックス 王位と誌上対戦！ 谷川浩司の実戦将棋道場 ＜応用編＞ 無敵！四間飛車戦法 キミは谷川王位に勝てるか！")</f>
        <v>シミュレーション将棋ブックス 王位と誌上対戦！ 谷川浩司の実戦将棋道場 ＜応用編＞ 無敵！四間飛車戦法 キミは谷川王位に勝てるか！</v>
      </c>
      <c r="B307" s="3" t="s">
        <v>12</v>
      </c>
      <c r="C307" t="s">
        <v>8</v>
      </c>
      <c r="D307" t="s">
        <v>197</v>
      </c>
      <c r="E307" s="1">
        <v>32174</v>
      </c>
    </row>
    <row r="308" spans="1:5" x14ac:dyDescent="0.7">
      <c r="A308" t="str">
        <f>HYPERLINK("https://rocky-and-hopper.sakura.ne.jp/Kisho-Michelin/537/4-537-00216-6.htm","将棋−負けない指し方 本気で強くなりたい人のための 格言で覚える実戦手筋のすべて")</f>
        <v>将棋−負けない指し方 本気で強くなりたい人のための 格言で覚える実戦手筋のすべて</v>
      </c>
      <c r="B308" s="3" t="s">
        <v>12</v>
      </c>
      <c r="D308" t="s">
        <v>198</v>
      </c>
      <c r="E308" s="1">
        <v>31229</v>
      </c>
    </row>
    <row r="309" spans="1:5" x14ac:dyDescent="0.7">
      <c r="A309" t="str">
        <f>HYPERLINK("https://rocky-and-hopper.sakura.ne.jp/Kisho-Michelin/05/4-05-102694-9.htm","シミュレーション将棋ブックス 王位と誌上対戦！ 谷川浩司の実戦将棋道場 ＜入門編＞ 強腕！穴熊戦 キミは谷川王位に勝てるか！")</f>
        <v>シミュレーション将棋ブックス 王位と誌上対戦！ 谷川浩司の実戦将棋道場 ＜入門編＞ 強腕！穴熊戦 キミは谷川王位に勝てるか！</v>
      </c>
      <c r="B309" s="3" t="s">
        <v>12</v>
      </c>
      <c r="C309" t="s">
        <v>20</v>
      </c>
      <c r="D309" t="s">
        <v>199</v>
      </c>
      <c r="E309" s="1">
        <v>32174</v>
      </c>
    </row>
    <row r="310" spans="1:5" x14ac:dyDescent="0.7">
      <c r="A310" t="str">
        <f>HYPERLINK("https://rocky-and-hopper.sakura.ne.jp/Kisho-Michelin/8399/978-4-8399-4075-1.htm","マイナビ将棋BOOKS よくわかる相振り飛車")</f>
        <v>マイナビ将棋BOOKS よくわかる相振り飛車</v>
      </c>
      <c r="B310" s="3" t="s">
        <v>12</v>
      </c>
      <c r="C310" t="s">
        <v>430</v>
      </c>
      <c r="D310" t="s">
        <v>70</v>
      </c>
      <c r="E310" s="1">
        <v>40817</v>
      </c>
    </row>
    <row r="311" spans="1:5" x14ac:dyDescent="0.7">
      <c r="A311" t="str">
        <f>HYPERLINK("https://rocky-and-hopper.sakura.ne.jp/Kisho-Michelin/415/4-415-04646-0.htm","これだけできれば 将棋初段 （初段・1級の問題）")</f>
        <v>これだけできれば 将棋初段 （初段・1級の問題）</v>
      </c>
      <c r="B311" s="3" t="s">
        <v>12</v>
      </c>
      <c r="C311" t="s">
        <v>122</v>
      </c>
      <c r="D311" t="s">
        <v>139</v>
      </c>
      <c r="E311" s="1">
        <v>33817</v>
      </c>
    </row>
    <row r="312" spans="1:5" x14ac:dyDescent="0.7">
      <c r="A312" t="str">
        <f>HYPERLINK("https://rocky-and-hopper.sakura.ne.jp/Kisho-Michelin/8399/978-4-8399-3986-1.htm","プロ最前線シリーズ 最新の振り飛車対策")</f>
        <v>プロ最前線シリーズ 最新の振り飛車対策</v>
      </c>
      <c r="B312" s="3" t="s">
        <v>12</v>
      </c>
      <c r="C312" t="s">
        <v>440</v>
      </c>
      <c r="D312" t="s">
        <v>38</v>
      </c>
      <c r="E312" s="1">
        <v>40817</v>
      </c>
    </row>
    <row r="313" spans="1:5" x14ac:dyDescent="0.7">
      <c r="A313" t="str">
        <f>HYPERLINK("https://rocky-and-hopper.sakura.ne.jp/Kisho-Michelin/415/4-415-04648-7.htm","これだけできれば 将棋二級 （2･3･4級の問題）")</f>
        <v>これだけできれば 将棋二級 （2･3･4級の問題）</v>
      </c>
      <c r="B313" s="3" t="s">
        <v>12</v>
      </c>
      <c r="D313" t="s">
        <v>139</v>
      </c>
      <c r="E313" s="1">
        <v>33878</v>
      </c>
    </row>
    <row r="314" spans="1:5" x14ac:dyDescent="0.7">
      <c r="A314" t="str">
        <f>HYPERLINK("https://rocky-and-hopper.sakura.ne.jp/Kisho-Michelin/8399/978-4-8399-4045-4.htm","南の右玉 MINAMI'S MIGIGYOKU")</f>
        <v>南の右玉 MINAMI'S MIGIGYOKU</v>
      </c>
      <c r="B314" s="3" t="s">
        <v>40</v>
      </c>
      <c r="C314" t="s">
        <v>45</v>
      </c>
      <c r="D314" t="s">
        <v>200</v>
      </c>
      <c r="E314" s="1">
        <v>40787</v>
      </c>
    </row>
    <row r="315" spans="1:5" x14ac:dyDescent="0.7">
      <c r="A315" t="str">
        <f>HYPERLINK("https://rocky-and-hopper.sakura.ne.jp/Kisho-Michelin/331/978-4-331-51575-4.htm","チャレンジシリーズ 一番わかりやすくて面白い！ 詰将棋ドリル(1) 1手詰入門編 例題＆ドリルで勝てる実戦的300問！")</f>
        <v>チャレンジシリーズ 一番わかりやすくて面白い！ 詰将棋ドリル(1) 1手詰入門編 例題＆ドリルで勝てる実戦的300問！</v>
      </c>
      <c r="B315" s="3" t="s">
        <v>12</v>
      </c>
      <c r="D315" t="s">
        <v>124</v>
      </c>
      <c r="E315" s="1">
        <v>40787</v>
      </c>
    </row>
    <row r="316" spans="1:5" x14ac:dyDescent="0.7">
      <c r="A316" t="str">
        <f>HYPERLINK("https://rocky-and-hopper.sakura.ne.jp/Kisho-Michelin/415/4-415-04707-6.htm","将棋段級模擬テスト 七・八級問題集")</f>
        <v>将棋段級模擬テスト 七・八級問題集</v>
      </c>
      <c r="B316" s="3" t="s">
        <v>12</v>
      </c>
      <c r="C316" t="s">
        <v>41</v>
      </c>
      <c r="D316" t="s">
        <v>201</v>
      </c>
      <c r="E316" s="1">
        <v>29129</v>
      </c>
    </row>
    <row r="317" spans="1:5" x14ac:dyDescent="0.7">
      <c r="A317" t="str">
        <f>HYPERLINK("https://rocky-and-hopper.sakura.ne.jp/Kisho-Michelin/8399/978-4-8399-3987-8.htm","マイコミ将棋BOOKS 速攻！ゴキゲン中飛車破り")</f>
        <v>マイコミ将棋BOOKS 速攻！ゴキゲン中飛車破り</v>
      </c>
      <c r="B317" s="3" t="s">
        <v>14</v>
      </c>
      <c r="C317" t="s">
        <v>64</v>
      </c>
      <c r="D317" t="s">
        <v>202</v>
      </c>
      <c r="E317" s="1">
        <v>40787</v>
      </c>
    </row>
    <row r="318" spans="1:5" x14ac:dyDescent="0.7">
      <c r="A318" t="str">
        <f>HYPERLINK("https://rocky-and-hopper.sakura.ne.jp/Kisho-Michelin/422/978-4-422-75135-1.htm","将棋最強ブックス 速攻振り飛車大全")</f>
        <v>将棋最強ブックス 速攻振り飛車大全</v>
      </c>
      <c r="B318" s="3" t="s">
        <v>12</v>
      </c>
      <c r="C318" t="s">
        <v>419</v>
      </c>
      <c r="D318" t="s">
        <v>152</v>
      </c>
      <c r="E318" s="1">
        <v>40787</v>
      </c>
    </row>
    <row r="319" spans="1:5" x14ac:dyDescent="0.7">
      <c r="A319" t="str">
        <f>HYPERLINK("https://rocky-and-hopper.sakura.ne.jp/Kisho-Michelin/415/4-415-04706-8.htm","将棋段級模擬テスト 九・十級問題集")</f>
        <v>将棋段級模擬テスト 九・十級問題集</v>
      </c>
      <c r="B319" s="3" t="s">
        <v>12</v>
      </c>
      <c r="D319" t="s">
        <v>201</v>
      </c>
      <c r="E319" s="1">
        <v>28946</v>
      </c>
    </row>
    <row r="320" spans="1:5" x14ac:dyDescent="0.7">
      <c r="A320" t="str">
        <f>HYPERLINK("https://rocky-and-hopper.sakura.ne.jp/Kisho-Michelin/8399/978-4-8399-4015-7.htm","マイコミ将棋BOOKS よくわかる角交換振り飛車")</f>
        <v>マイコミ将棋BOOKS よくわかる角交換振り飛車</v>
      </c>
      <c r="B320" s="3" t="s">
        <v>12</v>
      </c>
      <c r="C320" t="s">
        <v>455</v>
      </c>
      <c r="D320" t="s">
        <v>203</v>
      </c>
      <c r="E320" s="1">
        <v>40756</v>
      </c>
    </row>
    <row r="321" spans="1:5" x14ac:dyDescent="0.7">
      <c r="A321" t="str">
        <f>HYPERLINK("https://rocky-and-hopper.sakura.ne.jp/Kisho-Michelin/422/978-4-422-75134-4.htm","将棋最強ブックス 超急戦横歩取り")</f>
        <v>将棋最強ブックス 超急戦横歩取り</v>
      </c>
      <c r="B321" s="3" t="s">
        <v>12</v>
      </c>
      <c r="C321" t="s">
        <v>34</v>
      </c>
      <c r="D321" t="s">
        <v>56</v>
      </c>
      <c r="E321" s="1">
        <v>40756</v>
      </c>
    </row>
    <row r="322" spans="1:5" x14ac:dyDescent="0.7">
      <c r="A322" t="str">
        <f>HYPERLINK("https://rocky-and-hopper.sakura.ne.jp/Kisho-Michelin/0376/0376-98235-3055.htm","将棋ポケット文庫(134) 将棋 段・級試験問題正解")</f>
        <v>将棋ポケット文庫(134) 将棋 段・級試験問題正解</v>
      </c>
      <c r="B322" s="3" t="s">
        <v>40</v>
      </c>
      <c r="D322" t="s">
        <v>204</v>
      </c>
      <c r="E322" t="s">
        <v>205</v>
      </c>
    </row>
    <row r="323" spans="1:5" x14ac:dyDescent="0.7">
      <c r="A323" t="str">
        <f>HYPERLINK("https://rocky-and-hopper.sakura.ne.jp/Kisho-Michelin/8399/978-4-8399-3985-4.htm","マイコミ将棋BOOKS よくわかる角換わり")</f>
        <v>マイコミ将棋BOOKS よくわかる角換わり</v>
      </c>
      <c r="B323" s="3" t="s">
        <v>14</v>
      </c>
      <c r="C323" t="s">
        <v>1</v>
      </c>
      <c r="D323" t="s">
        <v>99</v>
      </c>
      <c r="E323" s="1">
        <v>40756</v>
      </c>
    </row>
    <row r="324" spans="1:5" x14ac:dyDescent="0.7">
      <c r="A324" t="str">
        <f>HYPERLINK("https://rocky-and-hopper.sakura.ne.jp/Kisho-Michelin/14/978-4-14-016192-0.htm","NHK将棋シリーズ 棒銀と中飛車で駒落ちを勝て！")</f>
        <v>NHK将棋シリーズ 棒銀と中飛車で駒落ちを勝て！</v>
      </c>
      <c r="B324" s="3" t="s">
        <v>14</v>
      </c>
      <c r="C324" t="s">
        <v>64</v>
      </c>
      <c r="D324" t="s">
        <v>56</v>
      </c>
      <c r="E324" s="1">
        <v>40756</v>
      </c>
    </row>
    <row r="325" spans="1:5" x14ac:dyDescent="0.7">
      <c r="A325" t="str">
        <f>HYPERLINK("https://rocky-and-hopper.sakura.ne.jp/Kisho-Michelin/0376/0376-98236-3055.htm","将棋ポケット文庫 将棋手筋百題")</f>
        <v>将棋ポケット文庫 将棋手筋百題</v>
      </c>
      <c r="B325" s="3" t="s">
        <v>12</v>
      </c>
      <c r="D325" t="s">
        <v>204</v>
      </c>
      <c r="E325" t="s">
        <v>206</v>
      </c>
    </row>
    <row r="326" spans="1:5" x14ac:dyDescent="0.7">
      <c r="A326" t="str">
        <f>HYPERLINK("https://rocky-and-hopper.sakura.ne.jp/Kisho-Michelin/16/4-16-340480-5.htm","対決 &lt;熱闘七番&gt;")</f>
        <v>対決 &lt;熱闘七番&gt;</v>
      </c>
      <c r="B326" s="3" t="s">
        <v>12</v>
      </c>
      <c r="C326" t="s">
        <v>133</v>
      </c>
      <c r="D326" t="s">
        <v>207</v>
      </c>
      <c r="E326" s="1">
        <v>31533</v>
      </c>
    </row>
    <row r="327" spans="1:5" x14ac:dyDescent="0.7">
      <c r="A327" t="str">
        <f>HYPERLINK("https://rocky-and-hopper.sakura.ne.jp/Kisho-Michelin/16/4-16-340160-1.htm","対決 &lt;青春七番&gt;")</f>
        <v>対決 &lt;青春七番&gt;</v>
      </c>
      <c r="B327" s="3" t="s">
        <v>12</v>
      </c>
      <c r="C327" t="s">
        <v>469</v>
      </c>
      <c r="D327" t="s">
        <v>207</v>
      </c>
      <c r="E327" s="1">
        <v>31382</v>
      </c>
    </row>
    <row r="328" spans="1:5" x14ac:dyDescent="0.7">
      <c r="A328" t="str">
        <f>HYPERLINK("https://rocky-and-hopper.sakura.ne.jp/Kisho-Michelin/8399/978-4-8399-3920-5.htm","マイコミ将棋BOOKS 早分かり 中飛車定跡ガイド")</f>
        <v>マイコミ将棋BOOKS 早分かり 中飛車定跡ガイド</v>
      </c>
      <c r="B328" s="3" t="s">
        <v>14</v>
      </c>
      <c r="C328" t="s">
        <v>64</v>
      </c>
      <c r="D328" t="s">
        <v>208</v>
      </c>
      <c r="E328" s="1">
        <v>40695</v>
      </c>
    </row>
    <row r="329" spans="1:5" x14ac:dyDescent="0.7">
      <c r="A329" t="str">
        <f>HYPERLINK("https://rocky-and-hopper.sakura.ne.jp/Kisho-Michelin/381/4-381-10352-1.htm","マンガでおぼえる将棋入門 はじめてでもすぐ指せるようになる！")</f>
        <v>マンガでおぼえる将棋入門 はじめてでもすぐ指せるようになる！</v>
      </c>
      <c r="B329" s="3" t="s">
        <v>12</v>
      </c>
      <c r="D329" t="s">
        <v>209</v>
      </c>
      <c r="E329" s="1">
        <v>36526</v>
      </c>
    </row>
    <row r="330" spans="1:5" x14ac:dyDescent="0.7">
      <c r="A330" t="str">
        <f>HYPERLINK("https://rocky-and-hopper.sakura.ne.jp/Kisho-Michelin/569/978-4-569-79445-7.htm","はじめてでも勝てる将棋入門 60分でわかる！")</f>
        <v>はじめてでも勝てる将棋入門 60分でわかる！</v>
      </c>
      <c r="B330" s="3" t="s">
        <v>14</v>
      </c>
      <c r="C330" t="s">
        <v>64</v>
      </c>
      <c r="D330" t="s">
        <v>210</v>
      </c>
      <c r="E330" s="1">
        <v>40575</v>
      </c>
    </row>
    <row r="331" spans="1:5" x14ac:dyDescent="0.7">
      <c r="A331" t="str">
        <f>HYPERLINK("https://rocky-and-hopper.sakura.ne.jp/Kisho-Michelin/8399/978-4-8399-3919-9.htm","マイコミ将棋BOOKS 戸辺流現代振り飛車手筋集")</f>
        <v>マイコミ将棋BOOKS 戸辺流現代振り飛車手筋集</v>
      </c>
      <c r="B331" s="3" t="s">
        <v>14</v>
      </c>
      <c r="C331" t="s">
        <v>45</v>
      </c>
      <c r="D331" t="s">
        <v>98</v>
      </c>
      <c r="E331" s="1">
        <v>40695</v>
      </c>
    </row>
    <row r="332" spans="1:5" x14ac:dyDescent="0.7">
      <c r="A332" t="str">
        <f>HYPERLINK("https://rocky-and-hopper.sakura.ne.jp/Kisho-Michelin/422/4-422-75062-3.htm","初段に挑戦するシリーズ(12) 振り飛車破り 振り飛車なんかこわくない！")</f>
        <v>初段に挑戦するシリーズ(12) 振り飛車破り 振り飛車なんかこわくない！</v>
      </c>
      <c r="B332" s="3" t="s">
        <v>14</v>
      </c>
      <c r="C332" t="s">
        <v>45</v>
      </c>
      <c r="D332" t="s">
        <v>71</v>
      </c>
      <c r="E332" s="1">
        <v>31503</v>
      </c>
    </row>
    <row r="333" spans="1:5" x14ac:dyDescent="0.7">
      <c r="A333" t="str">
        <f>HYPERLINK("https://rocky-and-hopper.sakura.ne.jp/Kisho-Michelin/8399/978-4-8399-3927-4.htm","マイコミ将棋文庫SP 将棋 絶対手筋180 勝つために必要な将棋の鉄則")</f>
        <v>マイコミ将棋文庫SP 将棋 絶対手筋180 勝つために必要な将棋の鉄則</v>
      </c>
      <c r="B333" s="3" t="s">
        <v>12</v>
      </c>
      <c r="C333" t="s">
        <v>318</v>
      </c>
      <c r="D333" t="s">
        <v>211</v>
      </c>
      <c r="E333" s="1">
        <v>40695</v>
      </c>
    </row>
    <row r="334" spans="1:5" x14ac:dyDescent="0.7">
      <c r="A334" t="str">
        <f>HYPERLINK("https://rocky-and-hopper.sakura.ne.jp/Kisho-Michelin/0200/0200-011293-7617.htm","ベストセラーシリーズ〈ワニの本〉 ヘボ将棋に強い (1) はめ手入門")</f>
        <v>ベストセラーシリーズ〈ワニの本〉 ヘボ将棋に強い (1) はめ手入門</v>
      </c>
      <c r="B334" s="3" t="s">
        <v>12</v>
      </c>
      <c r="C334" t="s">
        <v>470</v>
      </c>
      <c r="D334" t="s">
        <v>213</v>
      </c>
      <c r="E334" s="1">
        <v>28034</v>
      </c>
    </row>
    <row r="335" spans="1:5" x14ac:dyDescent="0.7">
      <c r="A335" t="str">
        <f>HYPERLINK("https://rocky-and-hopper.sakura.ne.jp/Kisho-Michelin/14/4-14-016095-0.htm","コミック！将棋入門")</f>
        <v>コミック！将棋入門</v>
      </c>
      <c r="B335" s="3" t="s">
        <v>40</v>
      </c>
      <c r="C335" t="s">
        <v>471</v>
      </c>
      <c r="E335" s="1">
        <v>36951</v>
      </c>
    </row>
    <row r="336" spans="1:5" x14ac:dyDescent="0.7">
      <c r="A336" t="str">
        <f>HYPERLINK("https://rocky-and-hopper.sakura.ne.jp/Kisho-Michelin/422/978-4-422-75151-1.htm","マンガでおぼえる棒銀戦法 この本を読めば、友だちに勝てる！")</f>
        <v>マンガでおぼえる棒銀戦法 この本を読めば、友だちに勝てる！</v>
      </c>
      <c r="B336" s="3" t="s">
        <v>12</v>
      </c>
      <c r="E336" s="1">
        <v>40695</v>
      </c>
    </row>
    <row r="337" spans="1:5" x14ac:dyDescent="0.7">
      <c r="A337" t="str">
        <f>HYPERLINK("https://rocky-and-hopper.sakura.ne.jp/Kisho-Michelin/8399/978-4-8399-3895-6.htm","マイコミ将棋BOOKS よくわかる振り飛車穴熊")</f>
        <v>マイコミ将棋BOOKS よくわかる振り飛車穴熊</v>
      </c>
      <c r="B337" s="3" t="s">
        <v>14</v>
      </c>
      <c r="C337" t="s">
        <v>430</v>
      </c>
      <c r="D337" t="s">
        <v>109</v>
      </c>
      <c r="E337" s="1">
        <v>40664</v>
      </c>
    </row>
    <row r="338" spans="1:5" x14ac:dyDescent="0.7">
      <c r="A338" t="str">
        <f>HYPERLINK("https://rocky-and-hopper.sakura.ne.jp/Kisho-Michelin/86137/978-4-86137-031-1.htm","7手詰ハンドブック")</f>
        <v>7手詰ハンドブック</v>
      </c>
      <c r="B338" s="3" t="s">
        <v>14</v>
      </c>
      <c r="D338" t="s">
        <v>214</v>
      </c>
      <c r="E338" s="1">
        <v>40664</v>
      </c>
    </row>
    <row r="339" spans="1:5" x14ac:dyDescent="0.7">
      <c r="A339" t="str">
        <f>HYPERLINK("https://rocky-and-hopper.sakura.ne.jp/Kisho-Michelin/86095/978-4-86095-458-1.htm","出だし4手で知る 石橋幸緒の将棋レシピ 知ると、もっと楽しくなる将棋・序盤の指し方")</f>
        <v>出だし4手で知る 石橋幸緒の将棋レシピ 知ると、もっと楽しくなる将棋・序盤の指し方</v>
      </c>
      <c r="B339" s="3" t="s">
        <v>12</v>
      </c>
      <c r="C339" t="s">
        <v>472</v>
      </c>
      <c r="D339" t="s">
        <v>185</v>
      </c>
      <c r="E339" s="1">
        <v>40664</v>
      </c>
    </row>
    <row r="340" spans="1:5" x14ac:dyDescent="0.7">
      <c r="A340" t="str">
        <f>HYPERLINK("https://rocky-and-hopper.sakura.ne.jp/Kisho-Michelin/8399/978-4-8399-3162-9.htm","マイコミ将棋BOOKS 戸辺流相振りなんでも三間飛車")</f>
        <v>マイコミ将棋BOOKS 戸辺流相振りなんでも三間飛車</v>
      </c>
      <c r="B340" s="3" t="s">
        <v>14</v>
      </c>
      <c r="C340" t="s">
        <v>22</v>
      </c>
      <c r="D340" t="s">
        <v>98</v>
      </c>
      <c r="E340" s="1">
        <v>39904</v>
      </c>
    </row>
    <row r="341" spans="1:5" x14ac:dyDescent="0.7">
      <c r="A341" t="str">
        <f>HYPERLINK("https://rocky-and-hopper.sakura.ne.jp/Kisho-Michelin/89644/978-4-89644-764-4.htm","SUN-MAGAZINE MOOK 名人直伝 これぞ実力UPの近道 羽生の三手詰 三手の読みで集中力・持続力・判断力を鍛えよう！")</f>
        <v>SUN-MAGAZINE MOOK 名人直伝 これぞ実力UPの近道 羽生の三手詰 三手の読みで集中力・持続力・判断力を鍛えよう！</v>
      </c>
      <c r="B341" s="3" t="s">
        <v>12</v>
      </c>
      <c r="D341" t="s">
        <v>21</v>
      </c>
      <c r="E341" s="1">
        <v>40664</v>
      </c>
    </row>
    <row r="342" spans="1:5" x14ac:dyDescent="0.7">
      <c r="A342" t="str">
        <f>HYPERLINK("https://rocky-and-hopper.sakura.ne.jp/Kisho-Michelin/8399/4-8399-2157-1.htm","MYCOM将棋ブックス 神戸発 珍戦法で行こう")</f>
        <v>MYCOM将棋ブックス 神戸発 珍戦法で行こう</v>
      </c>
      <c r="B342" s="3" t="s">
        <v>12</v>
      </c>
      <c r="C342" t="s">
        <v>434</v>
      </c>
      <c r="D342" t="s">
        <v>115</v>
      </c>
      <c r="E342" s="1">
        <v>38961</v>
      </c>
    </row>
    <row r="343" spans="1:5" x14ac:dyDescent="0.7">
      <c r="A343" t="str">
        <f>HYPERLINK("https://rocky-and-hopper.sakura.ne.jp/Kisho-Michelin/8069/978-4-8069-1108-1.htm","マンガで覚える図解 将棋の基本")</f>
        <v>マンガで覚える図解 将棋の基本</v>
      </c>
      <c r="B343" s="3" t="s">
        <v>215</v>
      </c>
      <c r="C343" t="s">
        <v>20</v>
      </c>
      <c r="D343" t="s">
        <v>216</v>
      </c>
      <c r="E343" s="1">
        <v>40118</v>
      </c>
    </row>
    <row r="344" spans="1:5" x14ac:dyDescent="0.7">
      <c r="A344" t="str">
        <f>HYPERLINK("https://rocky-and-hopper.sakura.ne.jp/Kisho-Michelin/8399/978-4-8399-3855-0.htm","マイコミ将棋BOOKS 西川流振り飛車 居飛車穴熊破り")</f>
        <v>マイコミ将棋BOOKS 西川流振り飛車 居飛車穴熊破り</v>
      </c>
      <c r="B344" s="3" t="s">
        <v>12</v>
      </c>
      <c r="C344" t="s">
        <v>446</v>
      </c>
      <c r="D344" t="s">
        <v>28</v>
      </c>
      <c r="E344" s="1">
        <v>40634</v>
      </c>
    </row>
    <row r="345" spans="1:5" x14ac:dyDescent="0.7">
      <c r="A345" t="str">
        <f>HYPERLINK("https://rocky-and-hopper.sakura.ne.jp/Kisho-Michelin/528/4-528-00472-0.htm","初心者のための大内延介の将棋必勝定跡")</f>
        <v>初心者のための大内延介の将棋必勝定跡</v>
      </c>
      <c r="B345" s="3" t="s">
        <v>12</v>
      </c>
      <c r="C345" t="s">
        <v>20</v>
      </c>
      <c r="D345" t="s">
        <v>217</v>
      </c>
      <c r="E345" s="1">
        <v>34516</v>
      </c>
    </row>
    <row r="346" spans="1:5" x14ac:dyDescent="0.7">
      <c r="A346" t="str">
        <f>HYPERLINK("https://rocky-and-hopper.sakura.ne.jp/Kisho-Michelin/522/4-522-01233-0.htm","将棋入門シリーズ(21) やさしい将棋の手筋 初心者のための基本手筋集")</f>
        <v>将棋入門シリーズ(21) やさしい将棋の手筋 初心者のための基本手筋集</v>
      </c>
      <c r="B346" s="3" t="s">
        <v>12</v>
      </c>
      <c r="D346" t="s">
        <v>213</v>
      </c>
      <c r="E346" s="1">
        <v>28550</v>
      </c>
    </row>
    <row r="347" spans="1:5" x14ac:dyDescent="0.7">
      <c r="A347" t="str">
        <f>HYPERLINK("https://rocky-and-hopper.sakura.ne.jp/Kisho-Michelin/8399/4-8399-1209-2.htm","東大将棋ブックス 矢倉道場 第五巻 森下システム")</f>
        <v>東大将棋ブックス 矢倉道場 第五巻 森下システム</v>
      </c>
      <c r="B347" s="3" t="s">
        <v>14</v>
      </c>
      <c r="D347" t="s">
        <v>44</v>
      </c>
      <c r="E347" s="1">
        <v>37865</v>
      </c>
    </row>
    <row r="348" spans="1:5" x14ac:dyDescent="0.7">
      <c r="A348" t="str">
        <f>HYPERLINK("https://rocky-and-hopper.sakura.ne.jp/Kisho-Michelin/89287/4-89287-039-0.htm","王将ブックス ポケット版 ─ ハメ手シリーズ�W 振飛車破りの棒銀")</f>
        <v>王将ブックス ポケット版 ─ ハメ手シリーズ�W 振飛車破りの棒銀</v>
      </c>
      <c r="B348" s="3" t="s">
        <v>40</v>
      </c>
      <c r="C348" t="s">
        <v>473</v>
      </c>
      <c r="D348" t="s">
        <v>218</v>
      </c>
      <c r="E348" t="s">
        <v>219</v>
      </c>
    </row>
    <row r="349" spans="1:5" x14ac:dyDescent="0.7">
      <c r="A349" t="str">
        <f>HYPERLINK("https://rocky-and-hopper.sakura.ne.jp/Kisho-Michelin/422/978-4-422-75108-5.htm","スーパー将棋講座 右四間飛車戦法 【四間飛車破りの決定版！】")</f>
        <v>スーパー将棋講座 右四間飛車戦法 【四間飛車破りの決定版！】</v>
      </c>
      <c r="B349" s="3" t="s">
        <v>12</v>
      </c>
      <c r="C349" t="s">
        <v>8</v>
      </c>
      <c r="D349" t="s">
        <v>186</v>
      </c>
      <c r="E349" s="1">
        <v>39173</v>
      </c>
    </row>
    <row r="350" spans="1:5" x14ac:dyDescent="0.7">
      <c r="A350" t="str">
        <f>HYPERLINK("https://rocky-and-hopper.sakura.ne.jp/Kisho-Michelin/89287/4-89287-067-6.htm","王将ブックス ポケット版 特殊戦法シリーズII 矢倉はずしの振飛車")</f>
        <v>王将ブックス ポケット版 特殊戦法シリーズII 矢倉はずしの振飛車</v>
      </c>
      <c r="B350" s="3" t="s">
        <v>40</v>
      </c>
      <c r="C350" t="s">
        <v>428</v>
      </c>
      <c r="D350" t="s">
        <v>220</v>
      </c>
      <c r="E350" t="s">
        <v>221</v>
      </c>
    </row>
    <row r="351" spans="1:5" x14ac:dyDescent="0.7">
      <c r="A351" t="str">
        <f>HYPERLINK("https://rocky-and-hopper.sakura.ne.jp/Kisho-Michelin/86137/978-4-86137-030-4.htm","最強将棋21 四間飛車穴熊の急所")</f>
        <v>最強将棋21 四間飛車穴熊の急所</v>
      </c>
      <c r="B351" s="3" t="s">
        <v>0</v>
      </c>
      <c r="C351" t="s">
        <v>8</v>
      </c>
      <c r="D351" t="s">
        <v>160</v>
      </c>
      <c r="E351" s="1">
        <v>40634</v>
      </c>
    </row>
    <row r="352" spans="1:5" x14ac:dyDescent="0.7">
      <c r="A352" t="str">
        <f>HYPERLINK("https://rocky-and-hopper.sakura.ne.jp/Kisho-Michelin/528/978-4-528-01519-7.htm","羽生善治の実戦驚きの一手最強100題 将棋の必勝手筋がグングン身につく！どんどん強くなる！")</f>
        <v>羽生善治の実戦驚きの一手最強100題 将棋の必勝手筋がグングン身につく！どんどん強くなる！</v>
      </c>
      <c r="B352" s="3" t="s">
        <v>179</v>
      </c>
      <c r="D352" t="s">
        <v>194</v>
      </c>
      <c r="E352" s="1">
        <v>40603</v>
      </c>
    </row>
    <row r="353" spans="1:5" x14ac:dyDescent="0.7">
      <c r="A353" t="str">
        <f>HYPERLINK("https://rocky-and-hopper.sakura.ne.jp/Kisho-Michelin/8399/978-4-8399-3725-6.htm","KUBO'S ISHIDARYU 久保の石田流")</f>
        <v>KUBO'S ISHIDARYU 久保の石田流</v>
      </c>
      <c r="B353" s="3" t="s">
        <v>14</v>
      </c>
      <c r="C353" t="s">
        <v>446</v>
      </c>
      <c r="D353" t="s">
        <v>134</v>
      </c>
      <c r="E353" s="1">
        <v>40603</v>
      </c>
    </row>
    <row r="354" spans="1:5" x14ac:dyDescent="0.7">
      <c r="A354" t="str">
        <f>HYPERLINK("https://rocky-and-hopper.sakura.ne.jp/Kisho-Michelin/8399/978-4-8399-3842-0.htm","SATO Yasumitsu's SHOGI 佐藤康光の矢倉")</f>
        <v>SATO Yasumitsu's SHOGI 佐藤康光の矢倉</v>
      </c>
      <c r="B354" s="3" t="s">
        <v>12</v>
      </c>
      <c r="C354" t="s">
        <v>458</v>
      </c>
      <c r="D354" t="s">
        <v>129</v>
      </c>
      <c r="E354" s="1">
        <v>40603</v>
      </c>
    </row>
    <row r="355" spans="1:5" x14ac:dyDescent="0.7">
      <c r="A355" t="str">
        <f>HYPERLINK("https://rocky-and-hopper.sakura.ne.jp/Kisho-Michelin/8399/4-8399-1373-0.htm","東大将棋ブックス 中飛車道場 第一巻 ゴキゲン中飛車超急戦")</f>
        <v>東大将棋ブックス 中飛車道場 第一巻 ゴキゲン中飛車超急戦</v>
      </c>
      <c r="B355" s="3" t="s">
        <v>14</v>
      </c>
      <c r="C355" t="s">
        <v>64</v>
      </c>
      <c r="D355" t="s">
        <v>44</v>
      </c>
      <c r="E355" s="1">
        <v>37987</v>
      </c>
    </row>
    <row r="356" spans="1:5" x14ac:dyDescent="0.7">
      <c r="A356" t="str">
        <f>HYPERLINK("https://rocky-and-hopper.sakura.ne.jp/Kisho-Michelin/537/978-4-537-20726-2.htm","一人で学べる！強くなる将棋入門 基本の攻め方・囲い方から、強くなるために欠かせないノウハウまでをくわしく紹介！")</f>
        <v>一人で学べる！強くなる将棋入門 基本の攻め方・囲い方から、強くなるために欠かせないノウハウまでをくわしく紹介！</v>
      </c>
      <c r="B356" s="3" t="s">
        <v>40</v>
      </c>
      <c r="C356" t="s">
        <v>434</v>
      </c>
      <c r="D356" t="s">
        <v>222</v>
      </c>
      <c r="E356" s="1">
        <v>39845</v>
      </c>
    </row>
    <row r="357" spans="1:5" x14ac:dyDescent="0.7">
      <c r="A357" t="str">
        <f>HYPERLINK("https://rocky-and-hopper.sakura.ne.jp/Kisho-Michelin/89287/4-89287-009-9.htm","王将ブックス ポケット版 ─居飛車シリーズ�V 矢倉戦法(下)")</f>
        <v>王将ブックス ポケット版 ─居飛車シリーズ�V 矢倉戦法(下)</v>
      </c>
      <c r="B357" s="3" t="s">
        <v>40</v>
      </c>
      <c r="C357" t="s">
        <v>41</v>
      </c>
      <c r="D357" t="s">
        <v>218</v>
      </c>
      <c r="E357" t="s">
        <v>223</v>
      </c>
    </row>
    <row r="358" spans="1:5" x14ac:dyDescent="0.7">
      <c r="A358" t="str">
        <f>HYPERLINK("https://rocky-and-hopper.sakura.ne.jp/Kisho-Michelin/8399/978-4-8399-3852-9.htm","マイコミ将棋文庫SP 将棋・ひと目の必死")</f>
        <v>マイコミ将棋文庫SP 将棋・ひと目の必死</v>
      </c>
      <c r="B358" s="3" t="s">
        <v>0</v>
      </c>
      <c r="D358" t="s">
        <v>224</v>
      </c>
      <c r="E358" s="1">
        <v>40603</v>
      </c>
    </row>
    <row r="359" spans="1:5" x14ac:dyDescent="0.7">
      <c r="A359" t="str">
        <f>HYPERLINK("https://rocky-and-hopper.sakura.ne.jp/Kisho-Michelin/8399/4-8399-0866-4.htm","東大将棋ブックス 横歩取り道場 第三巻 4五角戦法")</f>
        <v>東大将棋ブックス 横歩取り道場 第三巻 4五角戦法</v>
      </c>
      <c r="B359" s="3" t="s">
        <v>14</v>
      </c>
      <c r="C359" t="s">
        <v>34</v>
      </c>
      <c r="D359" t="s">
        <v>44</v>
      </c>
      <c r="E359" s="1">
        <v>37561</v>
      </c>
    </row>
    <row r="360" spans="1:5" x14ac:dyDescent="0.7">
      <c r="A360" t="str">
        <f>HYPERLINK("https://rocky-and-hopper.sakura.ne.jp/Kisho-Michelin/8399/978-4-8399-3740-9.htm","プロ最前線シリーズ 最新の矢倉3七銀戦法")</f>
        <v>プロ最前線シリーズ 最新の矢倉3七銀戦法</v>
      </c>
      <c r="B360" s="3" t="s">
        <v>14</v>
      </c>
      <c r="C360" t="s">
        <v>36</v>
      </c>
      <c r="D360" t="s">
        <v>165</v>
      </c>
      <c r="E360" s="1">
        <v>40513</v>
      </c>
    </row>
    <row r="361" spans="1:5" x14ac:dyDescent="0.7">
      <c r="A361" t="str">
        <f>HYPERLINK("https://rocky-and-hopper.sakura.ne.jp/Kisho-Michelin/422/978-4-422-75049-1.htm","手筋事典 あなたの将棋が9割変わる！")</f>
        <v>手筋事典 あなたの将棋が9割変わる！</v>
      </c>
      <c r="B361" s="3" t="s">
        <v>12</v>
      </c>
      <c r="D361" t="s">
        <v>71</v>
      </c>
      <c r="E361" s="1">
        <v>40575</v>
      </c>
    </row>
    <row r="362" spans="1:5" x14ac:dyDescent="0.7">
      <c r="A362" t="str">
        <f>HYPERLINK("https://rocky-and-hopper.sakura.ne.jp/Kisho-Michelin/8399/978-4-8399-3741-6.htm","マイコミ将棋BOOKS 乱戦！相横歩取り")</f>
        <v>マイコミ将棋BOOKS 乱戦！相横歩取り</v>
      </c>
      <c r="B362" s="3" t="s">
        <v>14</v>
      </c>
      <c r="C362" t="s">
        <v>34</v>
      </c>
      <c r="D362" t="s">
        <v>17</v>
      </c>
      <c r="E362" s="1">
        <v>40575</v>
      </c>
    </row>
    <row r="363" spans="1:5" x14ac:dyDescent="0.7">
      <c r="A363" t="str">
        <f>HYPERLINK("https://rocky-and-hopper.sakura.ne.jp/Kisho-Michelin/8399/978-4-8399-3747-8.htm","速攻!! 次の一手基本集")</f>
        <v>速攻!! 次の一手基本集</v>
      </c>
      <c r="B363" s="3" t="s">
        <v>12</v>
      </c>
      <c r="C363" t="s">
        <v>8</v>
      </c>
      <c r="D363" t="s">
        <v>21</v>
      </c>
      <c r="E363" s="1">
        <v>40483</v>
      </c>
    </row>
    <row r="364" spans="1:5" x14ac:dyDescent="0.7">
      <c r="A364" t="str">
        <f>HYPERLINK("https://rocky-and-hopper.sakura.ne.jp/Kisho-Michelin/8399/4-8399-0818-4.htm","東大将棋ブックス 横歩取り道場 第二巻 相横歩取り")</f>
        <v>東大将棋ブックス 横歩取り道場 第二巻 相横歩取り</v>
      </c>
      <c r="B364" s="3" t="s">
        <v>14</v>
      </c>
      <c r="C364" t="s">
        <v>34</v>
      </c>
      <c r="D364" t="s">
        <v>44</v>
      </c>
      <c r="E364" s="1">
        <v>37500</v>
      </c>
    </row>
    <row r="365" spans="1:5" x14ac:dyDescent="0.7">
      <c r="A365" t="str">
        <f>HYPERLINK("https://rocky-and-hopper.sakura.ne.jp/Kisho-Michelin/8399/978-4-8399-3137-7.htm","週将ブックス 上級者の力")</f>
        <v>週将ブックス 上級者の力</v>
      </c>
      <c r="B365" s="3" t="s">
        <v>40</v>
      </c>
      <c r="D365" t="s">
        <v>132</v>
      </c>
      <c r="E365" s="1">
        <v>39845</v>
      </c>
    </row>
    <row r="366" spans="1:5" x14ac:dyDescent="0.7">
      <c r="A366" t="str">
        <f>HYPERLINK("https://rocky-and-hopper.sakura.ne.jp/Kisho-Michelin/8399/978-4-8399-3794-2.htm","マイコミ将棋BOOKS 豊島将之の定跡研究")</f>
        <v>マイコミ将棋BOOKS 豊島将之の定跡研究</v>
      </c>
      <c r="B366" s="3" t="s">
        <v>12</v>
      </c>
      <c r="C366" t="s">
        <v>318</v>
      </c>
      <c r="D366" t="s">
        <v>153</v>
      </c>
      <c r="E366" s="1">
        <v>40544</v>
      </c>
    </row>
    <row r="367" spans="1:5" x14ac:dyDescent="0.7">
      <c r="A367" t="str">
        <f>HYPERLINK("https://rocky-and-hopper.sakura.ne.jp/Kisho-Michelin/86191/978-4-86191-699-1.htm","初段になるための将棋勉強法")</f>
        <v>初段になるための将棋勉強法</v>
      </c>
      <c r="B367" s="3" t="s">
        <v>14</v>
      </c>
      <c r="C367" t="s">
        <v>8</v>
      </c>
      <c r="D367" t="s">
        <v>214</v>
      </c>
      <c r="E367" s="1">
        <v>40544</v>
      </c>
    </row>
    <row r="368" spans="1:5" x14ac:dyDescent="0.7">
      <c r="A368" t="str">
        <f>HYPERLINK("https://rocky-and-hopper.sakura.ne.jp/Kisho-Michelin/569/978-4-569-79435-8.htm","PHP新書(711) コンピュータvsプロ棋士 名人に勝つ日はいつか")</f>
        <v>PHP新書(711) コンピュータvsプロ棋士 名人に勝つ日はいつか</v>
      </c>
      <c r="B368" s="3" t="s">
        <v>12</v>
      </c>
      <c r="C368" t="s">
        <v>41</v>
      </c>
      <c r="D368" t="s">
        <v>225</v>
      </c>
      <c r="E368" s="1">
        <v>40544</v>
      </c>
    </row>
    <row r="369" spans="1:5" x14ac:dyDescent="0.7">
      <c r="A369" t="str">
        <f>HYPERLINK("https://rocky-and-hopper.sakura.ne.jp/Kisho-Michelin/8399/978-4-8399-2806-3.htm","週将ブックス 三段の力")</f>
        <v>週将ブックス 三段の力</v>
      </c>
      <c r="B369" s="3" t="s">
        <v>40</v>
      </c>
      <c r="D369" t="s">
        <v>132</v>
      </c>
      <c r="E369" s="1">
        <v>39508</v>
      </c>
    </row>
    <row r="370" spans="1:5" x14ac:dyDescent="0.7">
      <c r="A370" t="str">
        <f>HYPERLINK("https://rocky-and-hopper.sakura.ne.jp/Kisho-Michelin/422/978-4-422-75133-7.htm","将棋最強ブックス 最新版 勝てる石田流")</f>
        <v>将棋最強ブックス 最新版 勝てる石田流</v>
      </c>
      <c r="B370" s="3" t="s">
        <v>12</v>
      </c>
      <c r="C370" t="s">
        <v>474</v>
      </c>
      <c r="D370" t="s">
        <v>152</v>
      </c>
      <c r="E370" s="1">
        <v>40544</v>
      </c>
    </row>
    <row r="371" spans="1:5" x14ac:dyDescent="0.7">
      <c r="A371" t="str">
        <f>HYPERLINK("https://rocky-and-hopper.sakura.ne.jp/Kisho-Michelin/8399/978-4-8399-3756-0.htm","マイコミ将棋文庫SP 将棋・ひと目の攻防")</f>
        <v>マイコミ将棋文庫SP 将棋・ひと目の攻防</v>
      </c>
      <c r="B371" s="3" t="s">
        <v>14</v>
      </c>
      <c r="D371" t="s">
        <v>132</v>
      </c>
      <c r="E371" s="1">
        <v>40544</v>
      </c>
    </row>
    <row r="372" spans="1:5" x14ac:dyDescent="0.7">
      <c r="A372" t="str">
        <f>HYPERLINK("https://rocky-and-hopper.sakura.ne.jp/Kisho-Michelin/86137/978-4-86137-029-8.htm","最強将棋レクチャーブックス(6) 美濃崩し200")</f>
        <v>最強将棋レクチャーブックス(6) 美濃崩し200</v>
      </c>
      <c r="B372" s="3" t="s">
        <v>0</v>
      </c>
      <c r="C372" t="s">
        <v>8</v>
      </c>
      <c r="D372" t="s">
        <v>224</v>
      </c>
      <c r="E372" s="1">
        <v>40513</v>
      </c>
    </row>
    <row r="373" spans="1:5" x14ac:dyDescent="0.7">
      <c r="A373" t="str">
        <f>HYPERLINK("https://rocky-and-hopper.sakura.ne.jp/Kisho-Michelin/8399/978-4-8399-3765-2.htm","マイコミ将棋BOOKS よくわかる中飛車")</f>
        <v>マイコミ将棋BOOKS よくわかる中飛車</v>
      </c>
      <c r="B373" s="3" t="s">
        <v>12</v>
      </c>
      <c r="C373" t="s">
        <v>440</v>
      </c>
      <c r="D373" t="s">
        <v>170</v>
      </c>
      <c r="E373" s="1">
        <v>40513</v>
      </c>
    </row>
    <row r="374" spans="1:5" x14ac:dyDescent="0.7">
      <c r="A374" t="str">
        <f>HYPERLINK("https://rocky-and-hopper.sakura.ne.jp/Kisho-Michelin/8399/978-4-8399-3333-3.htm","将棋世界BOOKS 四段コース問題集 実力養成！")</f>
        <v>将棋世界BOOKS 四段コース問題集 実力養成！</v>
      </c>
      <c r="B374" s="3" t="s">
        <v>12</v>
      </c>
      <c r="D374" t="s">
        <v>226</v>
      </c>
      <c r="E374" s="1">
        <v>40057</v>
      </c>
    </row>
    <row r="375" spans="1:5" x14ac:dyDescent="0.7">
      <c r="A375" t="str">
        <f>HYPERLINK("https://rocky-and-hopper.sakura.ne.jp/Kisho-Michelin/8399/978-4-8399-3581-8.htm","将棋世界BOOKS 三段コース問題集")</f>
        <v>将棋世界BOOKS 三段コース問題集</v>
      </c>
      <c r="B375" s="3" t="s">
        <v>12</v>
      </c>
      <c r="D375" t="s">
        <v>226</v>
      </c>
      <c r="E375" s="1">
        <v>40299</v>
      </c>
    </row>
    <row r="376" spans="1:5" x14ac:dyDescent="0.7">
      <c r="A376" t="str">
        <f>HYPERLINK("https://rocky-and-hopper.sakura.ne.jp/Kisho-Michelin/8399/978-4-8399-3377-7.htm","マイコミ将棋BOOKS 遠山流中飛車持久戦ガイド")</f>
        <v>マイコミ将棋BOOKS 遠山流中飛車持久戦ガイド</v>
      </c>
      <c r="B376" s="3" t="s">
        <v>14</v>
      </c>
      <c r="C376" t="s">
        <v>64</v>
      </c>
      <c r="D376" t="s">
        <v>227</v>
      </c>
      <c r="E376" s="1">
        <v>40118</v>
      </c>
    </row>
    <row r="377" spans="1:5" x14ac:dyDescent="0.7">
      <c r="A377" t="str">
        <f>HYPERLINK("https://rocky-and-hopper.sakura.ne.jp/Kisho-Michelin/14/978-4-14-016187-6.htm","NHK将棋シリーズ 阿久津主税の中盤感覚をみがこう")</f>
        <v>NHK将棋シリーズ 阿久津主税の中盤感覚をみがこう</v>
      </c>
      <c r="B377" s="3" t="s">
        <v>14</v>
      </c>
      <c r="C377" t="s">
        <v>20</v>
      </c>
      <c r="D377" t="s">
        <v>147</v>
      </c>
      <c r="E377" s="1">
        <v>40513</v>
      </c>
    </row>
    <row r="378" spans="1:5" x14ac:dyDescent="0.7">
      <c r="A378" t="str">
        <f>HYPERLINK("https://rocky-and-hopper.sakura.ne.jp/Kisho-Michelin/12/978-4-12-004177-8.htm","どうして羽生さんだけが、そんなに強いんですか？ 現代将棋と進化の物語")</f>
        <v>どうして羽生さんだけが、そんなに強いんですか？ 現代将棋と進化の物語</v>
      </c>
      <c r="B378" s="3" t="s">
        <v>14</v>
      </c>
      <c r="C378" t="s">
        <v>429</v>
      </c>
      <c r="D378" t="s">
        <v>228</v>
      </c>
      <c r="E378" s="1">
        <v>40483</v>
      </c>
    </row>
    <row r="379" spans="1:5" x14ac:dyDescent="0.7">
      <c r="A379" t="str">
        <f>HYPERLINK("https://rocky-and-hopper.sakura.ne.jp/Kisho-Michelin/415/978-4-415-30687-2.htm","9級から初段までの基本詰将棋160題 詰みの基本手筋が見事に身につく！")</f>
        <v>9級から初段までの基本詰将棋160題 詰みの基本手筋が見事に身につく！</v>
      </c>
      <c r="B379" s="3" t="s">
        <v>12</v>
      </c>
      <c r="D379" t="s">
        <v>71</v>
      </c>
      <c r="E379" s="1">
        <v>40148</v>
      </c>
    </row>
    <row r="380" spans="1:5" x14ac:dyDescent="0.7">
      <c r="A380" t="str">
        <f>HYPERLINK("https://rocky-and-hopper.sakura.ne.jp/Kisho-Michelin/02/978-4-02-100185-7.htm","第68期将棋名人戦七番勝負全記録 羽生、2度目の3連覇")</f>
        <v>第68期将棋名人戦七番勝負全記録 羽生、2度目の3連覇</v>
      </c>
      <c r="B380" s="3" t="s">
        <v>40</v>
      </c>
      <c r="C380" t="s">
        <v>34</v>
      </c>
      <c r="D380" t="s">
        <v>229</v>
      </c>
      <c r="E380" s="1">
        <v>40391</v>
      </c>
    </row>
    <row r="381" spans="1:5" x14ac:dyDescent="0.7">
      <c r="A381" t="str">
        <f>HYPERLINK("https://rocky-and-hopper.sakura.ne.jp/Kisho-Michelin/8399/978-4-8399-3755-3.htm","マイコミ将棋BOOKS 相振りレボリューション")</f>
        <v>マイコミ将棋BOOKS 相振りレボリューション</v>
      </c>
      <c r="B381" s="3" t="s">
        <v>14</v>
      </c>
      <c r="C381" t="s">
        <v>415</v>
      </c>
      <c r="D381" t="s">
        <v>80</v>
      </c>
      <c r="E381" s="1">
        <v>40483</v>
      </c>
    </row>
    <row r="382" spans="1:5" x14ac:dyDescent="0.7">
      <c r="A382" t="str">
        <f>HYPERLINK("https://rocky-and-hopper.sakura.ne.jp/Kisho-Michelin/8399/978-4-8399-3334-0.htm","プロ最前線シリーズ 最新の8五飛戦法")</f>
        <v>プロ最前線シリーズ 最新の8五飛戦法</v>
      </c>
      <c r="B382" s="3" t="s">
        <v>14</v>
      </c>
      <c r="C382" t="s">
        <v>34</v>
      </c>
      <c r="D382" t="s">
        <v>56</v>
      </c>
      <c r="E382" s="1">
        <v>40148</v>
      </c>
    </row>
    <row r="383" spans="1:5" x14ac:dyDescent="0.7">
      <c r="A383" t="str">
        <f>HYPERLINK("https://rocky-and-hopper.sakura.ne.jp/Kisho-Michelin/8399/978-4-8399-3464-4.htm","新・東大将棋ブックス 定跡道場 一手損角換わりVS腰掛け銀")</f>
        <v>新・東大将棋ブックス 定跡道場 一手損角換わりVS腰掛け銀</v>
      </c>
      <c r="B383" s="3" t="s">
        <v>12</v>
      </c>
      <c r="C383" t="s">
        <v>1</v>
      </c>
      <c r="D383" t="s">
        <v>44</v>
      </c>
      <c r="E383" s="1">
        <v>40210</v>
      </c>
    </row>
    <row r="384" spans="1:5" x14ac:dyDescent="0.7">
      <c r="A384" t="str">
        <f>HYPERLINK("https://rocky-and-hopper.sakura.ne.jp/Kisho-Michelin/422/978-4-422-75125-2.htm","将棋パワーアップシリーズ 7手詰将棋")</f>
        <v>将棋パワーアップシリーズ 7手詰将棋</v>
      </c>
      <c r="B384" s="3" t="s">
        <v>14</v>
      </c>
      <c r="C384" t="s">
        <v>59</v>
      </c>
      <c r="D384" t="s">
        <v>56</v>
      </c>
      <c r="E384" s="1">
        <v>40452</v>
      </c>
    </row>
    <row r="385" spans="1:5" x14ac:dyDescent="0.7">
      <c r="A385" t="str">
        <f>HYPERLINK("https://rocky-and-hopper.sakura.ne.jp/Kisho-Michelin/8399/978-4-8399-3689-1.htm","マイコミ将棋BOOKS 神出鬼没!! 窪田流3三角戦法 対居飛穴編")</f>
        <v>マイコミ将棋BOOKS 神出鬼没!! 窪田流3三角戦法 対居飛穴編</v>
      </c>
      <c r="B385" s="3" t="s">
        <v>14</v>
      </c>
      <c r="C385" t="s">
        <v>456</v>
      </c>
      <c r="D385" t="s">
        <v>230</v>
      </c>
      <c r="E385" s="1">
        <v>40452</v>
      </c>
    </row>
    <row r="386" spans="1:5" x14ac:dyDescent="0.7">
      <c r="A386" t="str">
        <f>HYPERLINK("https://rocky-and-hopper.sakura.ne.jp/Kisho-Michelin/8399/978-4-8399-3446-0.htm","SATO Yasumitsu's SHOGI 佐藤康光の力戦振り飛車")</f>
        <v>SATO Yasumitsu's SHOGI 佐藤康光の力戦振り飛車</v>
      </c>
      <c r="B386" s="3" t="s">
        <v>12</v>
      </c>
      <c r="C386" t="s">
        <v>45</v>
      </c>
      <c r="D386" t="s">
        <v>129</v>
      </c>
      <c r="E386" s="1">
        <v>40179</v>
      </c>
    </row>
    <row r="387" spans="1:5" x14ac:dyDescent="0.7">
      <c r="A387" t="str">
        <f>HYPERLINK("https://rocky-and-hopper.sakura.ne.jp/Kisho-Michelin/8399/978-4-8399-3699-0.htm","将棋連盟文庫オリジナル あっという間の3手詰")</f>
        <v>将棋連盟文庫オリジナル あっという間の3手詰</v>
      </c>
      <c r="B387" s="3" t="s">
        <v>12</v>
      </c>
      <c r="D387" t="s">
        <v>124</v>
      </c>
      <c r="E387" s="1">
        <v>40422</v>
      </c>
    </row>
    <row r="388" spans="1:5" x14ac:dyDescent="0.7">
      <c r="A388" t="str">
        <f>HYPERLINK("https://rocky-and-hopper.sakura.ne.jp/Kisho-Michelin/86137/978-4-86137-026-7.htm","最強将棋21 パワー中飛車で攻めつぶす本")</f>
        <v>最強将棋21 パワー中飛車で攻めつぶす本</v>
      </c>
      <c r="B388" s="3" t="s">
        <v>14</v>
      </c>
      <c r="C388" t="s">
        <v>131</v>
      </c>
      <c r="D388" t="s">
        <v>152</v>
      </c>
      <c r="E388" s="1">
        <v>40148</v>
      </c>
    </row>
    <row r="389" spans="1:5" x14ac:dyDescent="0.7">
      <c r="A389" t="str">
        <f>HYPERLINK("https://rocky-and-hopper.sakura.ne.jp/Kisho-Michelin/8399/978-4-8399-3476-7.htm","プロ最前線シリーズ 最新の相掛かり戦法")</f>
        <v>プロ最前線シリーズ 最新の相掛かり戦法</v>
      </c>
      <c r="B389" s="3" t="s">
        <v>14</v>
      </c>
      <c r="C389" t="s">
        <v>34</v>
      </c>
      <c r="D389" t="s">
        <v>193</v>
      </c>
      <c r="E389" s="1">
        <v>40210</v>
      </c>
    </row>
    <row r="390" spans="1:5" x14ac:dyDescent="0.7">
      <c r="A390" t="str">
        <f>HYPERLINK("https://rocky-and-hopper.sakura.ne.jp/Kisho-Michelin/8399/978-4-8399-3698-3.htm","マイコミ将棋BOOKS ライバルに勝つ最新定跡")</f>
        <v>マイコミ将棋BOOKS ライバルに勝つ最新定跡</v>
      </c>
      <c r="B390" s="3" t="s">
        <v>12</v>
      </c>
      <c r="C390" t="s">
        <v>318</v>
      </c>
      <c r="D390" t="s">
        <v>182</v>
      </c>
      <c r="E390" s="1">
        <v>40422</v>
      </c>
    </row>
    <row r="391" spans="1:5" x14ac:dyDescent="0.7">
      <c r="A391" t="str">
        <f>HYPERLINK("https://rocky-and-hopper.sakura.ne.jp/Kisho-Michelin/8399/978-4-8399-3496-5.htm","マイコミ将棋BOOKS 高崎一生の最強向かい飛車")</f>
        <v>マイコミ将棋BOOKS 高崎一生の最強向かい飛車</v>
      </c>
      <c r="B391" s="3" t="s">
        <v>12</v>
      </c>
      <c r="C391" t="s">
        <v>427</v>
      </c>
      <c r="D391" t="s">
        <v>187</v>
      </c>
      <c r="E391" s="1">
        <v>40238</v>
      </c>
    </row>
    <row r="392" spans="1:5" x14ac:dyDescent="0.7">
      <c r="A392" t="str">
        <f>HYPERLINK("https://rocky-and-hopper.sakura.ne.jp/Kisho-Michelin/8062/978-4-8062-0614-9.htm","盤上の攻防 将棋 王位戦五十年")</f>
        <v>盤上の攻防 将棋 王位戦五十年</v>
      </c>
      <c r="B392" s="3" t="s">
        <v>40</v>
      </c>
      <c r="D392" t="s">
        <v>231</v>
      </c>
      <c r="E392" s="1">
        <v>40391</v>
      </c>
    </row>
    <row r="393" spans="1:5" x14ac:dyDescent="0.7">
      <c r="A393" t="str">
        <f>HYPERLINK("https://rocky-and-hopper.sakura.ne.jp/Kisho-Michelin/14/978-4-14-016178-4.htm","NHK将棋シリーズ 橋本崇載の勝利をつかむ受け")</f>
        <v>NHK将棋シリーズ 橋本崇載の勝利をつかむ受け</v>
      </c>
      <c r="B393" s="3" t="s">
        <v>12</v>
      </c>
      <c r="D393" t="s">
        <v>196</v>
      </c>
      <c r="E393" s="1">
        <v>40210</v>
      </c>
    </row>
    <row r="394" spans="1:5" x14ac:dyDescent="0.7">
      <c r="A394" t="str">
        <f>HYPERLINK("https://rocky-and-hopper.sakura.ne.jp/Kisho-Michelin/8399/978-4-8399-3640-2.htm","SATO Yasumitsu's SHOGI 佐藤康光の一手損角換わり")</f>
        <v>SATO Yasumitsu's SHOGI 佐藤康光の一手損角換わり</v>
      </c>
      <c r="B394" s="3" t="s">
        <v>12</v>
      </c>
      <c r="C394" t="s">
        <v>1</v>
      </c>
      <c r="D394" t="s">
        <v>129</v>
      </c>
      <c r="E394" s="1">
        <v>40391</v>
      </c>
    </row>
    <row r="395" spans="1:5" x14ac:dyDescent="0.7">
      <c r="A395" t="str">
        <f>HYPERLINK("https://rocky-and-hopper.sakura.ne.jp/Kisho-Michelin/8399/978-4-8399-3463-7.htm","マイコミ将棋BOOKS 対急戦矢倉必勝ガイド")</f>
        <v>マイコミ将棋BOOKS 対急戦矢倉必勝ガイド</v>
      </c>
      <c r="B395" s="3" t="s">
        <v>12</v>
      </c>
      <c r="C395" t="s">
        <v>428</v>
      </c>
      <c r="D395" t="s">
        <v>181</v>
      </c>
      <c r="E395" s="1">
        <v>40391</v>
      </c>
    </row>
    <row r="396" spans="1:5" x14ac:dyDescent="0.7">
      <c r="A396" t="str">
        <f>HYPERLINK("https://rocky-and-hopper.sakura.ne.jp/Kisho-Michelin/8399/978-4-8399-3638-9.htm","将棋連盟文庫 羽生の頭脳(5) 横歩取り")</f>
        <v>将棋連盟文庫 羽生の頭脳(5) 横歩取り</v>
      </c>
      <c r="B396" s="3" t="s">
        <v>14</v>
      </c>
      <c r="C396" t="s">
        <v>34</v>
      </c>
      <c r="D396" t="s">
        <v>21</v>
      </c>
      <c r="E396" s="1">
        <v>40391</v>
      </c>
    </row>
    <row r="397" spans="1:5" x14ac:dyDescent="0.7">
      <c r="A397" t="str">
        <f>HYPERLINK("https://rocky-and-hopper.sakura.ne.jp/Kisho-Michelin/575/978-4-575-30222-6.htm","女流名人・倉敷藤花 里見香奈 好きな道なら楽しく歩け")</f>
        <v>女流名人・倉敷藤花 里見香奈 好きな道なら楽しく歩け</v>
      </c>
      <c r="B397" s="3" t="s">
        <v>232</v>
      </c>
      <c r="D397" t="s">
        <v>233</v>
      </c>
      <c r="E397" s="1">
        <v>40360</v>
      </c>
    </row>
    <row r="398" spans="1:5" x14ac:dyDescent="0.7">
      <c r="A398" t="str">
        <f>HYPERLINK("https://rocky-and-hopper.sakura.ne.jp/Kisho-Michelin/8399/978-4-8399-3641-9.htm","マイコミ将棋BOOKS 遠山流中飛車急戦ガイド")</f>
        <v>マイコミ将棋BOOKS 遠山流中飛車急戦ガイド</v>
      </c>
      <c r="B398" s="3" t="s">
        <v>14</v>
      </c>
      <c r="C398" t="s">
        <v>64</v>
      </c>
      <c r="D398" t="s">
        <v>227</v>
      </c>
      <c r="E398" s="1">
        <v>40360</v>
      </c>
    </row>
    <row r="399" spans="1:5" x14ac:dyDescent="0.7">
      <c r="A399" t="str">
        <f>HYPERLINK("https://rocky-and-hopper.sakura.ne.jp/Kisho-Michelin/415/4-415-04633-9.htm","十級からの詰将棋")</f>
        <v>十級からの詰将棋</v>
      </c>
      <c r="B399" s="3" t="s">
        <v>40</v>
      </c>
      <c r="D399" t="s">
        <v>234</v>
      </c>
      <c r="E399" s="1">
        <v>30348</v>
      </c>
    </row>
    <row r="400" spans="1:5" x14ac:dyDescent="0.7">
      <c r="A400" t="str">
        <f>HYPERLINK("https://rocky-and-hopper.sakura.ne.jp/Kisho-Michelin/344/978-4-344-97733-4.htm","どうぶつしょうぎのほん")</f>
        <v>どうぶつしょうぎのほん</v>
      </c>
      <c r="B400" s="3" t="s">
        <v>12</v>
      </c>
      <c r="E400" s="1">
        <v>40360</v>
      </c>
    </row>
    <row r="401" spans="1:5" x14ac:dyDescent="0.7">
      <c r="A401" t="str">
        <f>HYPERLINK("https://rocky-and-hopper.sakura.ne.jp/Kisho-Michelin/8399/978-4-8399-3655-6.htm","脳トレ9手詰")</f>
        <v>脳トレ9手詰</v>
      </c>
      <c r="B401" s="3" t="s">
        <v>12</v>
      </c>
      <c r="D401" t="s">
        <v>128</v>
      </c>
      <c r="E401" s="1">
        <v>40360</v>
      </c>
    </row>
    <row r="402" spans="1:5" x14ac:dyDescent="0.7">
      <c r="A402" t="str">
        <f>HYPERLINK("https://rocky-and-hopper.sakura.ne.jp/Kisho-Michelin/89287/4-89287-008-0.htm","王将ブックス ポケット版 ─居飛車シリーズ�U 矢倉戦法(上)")</f>
        <v>王将ブックス ポケット版 ─居飛車シリーズ�U 矢倉戦法(上)</v>
      </c>
      <c r="B402" s="3" t="s">
        <v>40</v>
      </c>
      <c r="C402" t="s">
        <v>131</v>
      </c>
      <c r="D402" t="s">
        <v>218</v>
      </c>
      <c r="E402" t="s">
        <v>223</v>
      </c>
    </row>
    <row r="403" spans="1:5" x14ac:dyDescent="0.7">
      <c r="A403" t="str">
        <f>HYPERLINK("https://rocky-and-hopper.sakura.ne.jp/Kisho-Michelin/422/978-4-422-75048-4.htm","将棋 あなたの一手、プロならこう指す！")</f>
        <v>将棋 あなたの一手、プロならこう指す！</v>
      </c>
      <c r="B403" s="3" t="s">
        <v>12</v>
      </c>
      <c r="C403" t="s">
        <v>475</v>
      </c>
      <c r="D403" t="s">
        <v>56</v>
      </c>
      <c r="E403" s="1">
        <v>40360</v>
      </c>
    </row>
    <row r="404" spans="1:5" x14ac:dyDescent="0.7">
      <c r="A404" t="str">
        <f>HYPERLINK("https://rocky-and-hopper.sakura.ne.jp/Kisho-Michelin/262/978-4-262-10136-1.htm","1・3・5手実戦型詰将棋 詰みの基本手筋が身につく")</f>
        <v>1・3・5手実戦型詰将棋 詰みの基本手筋が身につく</v>
      </c>
      <c r="B404" s="3" t="s">
        <v>12</v>
      </c>
      <c r="D404" t="s">
        <v>235</v>
      </c>
      <c r="E404" s="1">
        <v>40360</v>
      </c>
    </row>
    <row r="405" spans="1:5" x14ac:dyDescent="0.7">
      <c r="A405" t="str">
        <f>HYPERLINK("https://rocky-and-hopper.sakura.ne.jp/Kisho-Michelin/8399/978-4-8399-3637-2.htm","将棋連盟文庫 羽生の頭脳(4) 角換わり・ヒネリ飛車")</f>
        <v>将棋連盟文庫 羽生の頭脳(4) 角換わり・ヒネリ飛車</v>
      </c>
      <c r="B405" s="3" t="s">
        <v>14</v>
      </c>
      <c r="C405" t="s">
        <v>1</v>
      </c>
      <c r="D405" t="s">
        <v>21</v>
      </c>
      <c r="E405" s="1">
        <v>40360</v>
      </c>
    </row>
    <row r="406" spans="1:5" x14ac:dyDescent="0.7">
      <c r="A406" t="str">
        <f>HYPERLINK("https://rocky-and-hopper.sakura.ne.jp/Kisho-Michelin/14/978-4-14-016184-5.htm","NHK将棋シリーズ 先崎学のすぐわかる現代将棋")</f>
        <v>NHK将棋シリーズ 先崎学のすぐわかる現代将棋</v>
      </c>
      <c r="B406" s="3" t="s">
        <v>14</v>
      </c>
      <c r="C406" t="s">
        <v>422</v>
      </c>
      <c r="D406" t="s">
        <v>236</v>
      </c>
      <c r="E406" s="1">
        <v>40360</v>
      </c>
    </row>
    <row r="407" spans="1:5" x14ac:dyDescent="0.7">
      <c r="A407" t="str">
        <f>HYPERLINK("https://rocky-and-hopper.sakura.ne.jp/Kisho-Michelin/422/978-4-422-75132-0.htm","将棋最強ブックス 対居飛車 右四間飛車戦法")</f>
        <v>将棋最強ブックス 対居飛車 右四間飛車戦法</v>
      </c>
      <c r="B407" s="3" t="s">
        <v>40</v>
      </c>
      <c r="C407" t="s">
        <v>476</v>
      </c>
      <c r="D407" t="s">
        <v>165</v>
      </c>
      <c r="E407" s="1">
        <v>40360</v>
      </c>
    </row>
    <row r="408" spans="1:5" x14ac:dyDescent="0.7">
      <c r="A408" t="str">
        <f>HYPERLINK("https://rocky-and-hopper.sakura.ne.jp/Kisho-Michelin/89287/4-89287-019-6.htm","王将ブックス ポケット版 ─振飛車 シリーズ�W 四間飛車戦法")</f>
        <v>王将ブックス ポケット版 ─振飛車 シリーズ�W 四間飛車戦法</v>
      </c>
      <c r="B408" s="3" t="s">
        <v>12</v>
      </c>
      <c r="C408" t="s">
        <v>8</v>
      </c>
      <c r="D408" t="s">
        <v>237</v>
      </c>
      <c r="E408" t="s">
        <v>223</v>
      </c>
    </row>
    <row r="409" spans="1:5" x14ac:dyDescent="0.7">
      <c r="A409" t="str">
        <f>HYPERLINK("https://rocky-and-hopper.sakura.ne.jp/Kisho-Michelin/522/4-522-01232-2.htm","将棋入門シリーズ 三手と五手の詰将棋 実力養成104題")</f>
        <v>将棋入門シリーズ 三手と五手の詰将棋 実力養成104題</v>
      </c>
      <c r="B409" s="3" t="s">
        <v>40</v>
      </c>
      <c r="D409" t="s">
        <v>112</v>
      </c>
      <c r="E409" s="1">
        <v>28185</v>
      </c>
    </row>
    <row r="410" spans="1:5" x14ac:dyDescent="0.7">
      <c r="A410" t="str">
        <f>HYPERLINK("https://rocky-and-hopper.sakura.ne.jp/Kisho-Michelin/86137/978-4-86137-028-1.htm","最強将棋21 相振り中飛車で攻めつぶす本")</f>
        <v>最強将棋21 相振り中飛車で攻めつぶす本</v>
      </c>
      <c r="B410" s="3" t="s">
        <v>14</v>
      </c>
      <c r="C410" t="s">
        <v>473</v>
      </c>
      <c r="D410" t="s">
        <v>152</v>
      </c>
      <c r="E410" s="1">
        <v>40330</v>
      </c>
    </row>
    <row r="411" spans="1:5" x14ac:dyDescent="0.7">
      <c r="A411" t="str">
        <f>HYPERLINK("https://rocky-and-hopper.sakura.ne.jp/Kisho-Michelin/8399/978-4-8399-3586-3.htm","必至基本問題集")</f>
        <v>必至基本問題集</v>
      </c>
      <c r="B411" s="3" t="s">
        <v>12</v>
      </c>
      <c r="D411" t="s">
        <v>145</v>
      </c>
      <c r="E411" s="1">
        <v>40330</v>
      </c>
    </row>
    <row r="412" spans="1:5" x14ac:dyDescent="0.7">
      <c r="A412" t="str">
        <f>HYPERLINK("https://rocky-and-hopper.sakura.ne.jp/Kisho-Michelin/8399/978-4-8399-3619-8.htm","将棋連盟文庫 羽生の頭脳(3) 最強矢倉")</f>
        <v>将棋連盟文庫 羽生の頭脳(3) 最強矢倉</v>
      </c>
      <c r="B412" s="3" t="s">
        <v>14</v>
      </c>
      <c r="C412" t="s">
        <v>8</v>
      </c>
      <c r="D412" t="s">
        <v>21</v>
      </c>
      <c r="E412" s="1">
        <v>40330</v>
      </c>
    </row>
    <row r="413" spans="1:5" x14ac:dyDescent="0.7">
      <c r="A413" t="str">
        <f>HYPERLINK("https://rocky-and-hopper.sakura.ne.jp/Kisho-Michelin/8399/978-4-8399-3620-4.htm","週将ブックス 力をつける詰将棋3手5手")</f>
        <v>週将ブックス 力をつける詰将棋3手5手</v>
      </c>
      <c r="B413" s="3" t="s">
        <v>12</v>
      </c>
      <c r="D413" t="s">
        <v>132</v>
      </c>
      <c r="E413" s="1">
        <v>40330</v>
      </c>
    </row>
    <row r="414" spans="1:5" x14ac:dyDescent="0.7">
      <c r="A414" t="str">
        <f>HYPERLINK("https://rocky-and-hopper.sakura.ne.jp/Kisho-Michelin/14/978-4-14-016181-4.htm","NHK将棋シリーズ 第59回NHK杯テレビ将棋トーナメント 勝敗を分けた次の一手")</f>
        <v>NHK将棋シリーズ 第59回NHK杯テレビ将棋トーナメント 勝敗を分けた次の一手</v>
      </c>
      <c r="B414" s="3" t="s">
        <v>179</v>
      </c>
      <c r="D414" t="s">
        <v>238</v>
      </c>
      <c r="E414" s="1">
        <v>40330</v>
      </c>
    </row>
    <row r="415" spans="1:5" x14ac:dyDescent="0.7">
      <c r="A415" t="str">
        <f>HYPERLINK("https://rocky-and-hopper.sakura.ne.jp/Kisho-Michelin/8399/978-4-8399-3434-7.htm","イメージと読みの将棋観(2)")</f>
        <v>イメージと読みの将棋観(2)</v>
      </c>
      <c r="B415" s="3" t="s">
        <v>14</v>
      </c>
      <c r="C415" t="s">
        <v>477</v>
      </c>
      <c r="D415" t="s">
        <v>239</v>
      </c>
      <c r="E415" s="1">
        <v>40299</v>
      </c>
    </row>
    <row r="416" spans="1:5" x14ac:dyDescent="0.7">
      <c r="A416" t="str">
        <f>HYPERLINK("https://rocky-and-hopper.sakura.ne.jp/Kisho-Michelin/8399/978-4-8399-3493-4.htm","マイコミ将棋BOOKS 中村亮介の本格四間飛車")</f>
        <v>マイコミ将棋BOOKS 中村亮介の本格四間飛車</v>
      </c>
      <c r="B416" s="3" t="s">
        <v>14</v>
      </c>
      <c r="C416" t="s">
        <v>8</v>
      </c>
      <c r="D416" t="s">
        <v>240</v>
      </c>
      <c r="E416" s="1">
        <v>40299</v>
      </c>
    </row>
    <row r="417" spans="1:5" x14ac:dyDescent="0.7">
      <c r="A417" t="str">
        <f>HYPERLINK("https://rocky-and-hopper.sakura.ne.jp/Kisho-Michelin/262/978-4-262-10146-0.htm","羽生善治のみるみる強くなる 将棋 終盤の勝ち方 入門")</f>
        <v>羽生善治のみるみる強くなる 将棋 終盤の勝ち方 入門</v>
      </c>
      <c r="B417" s="3" t="s">
        <v>14</v>
      </c>
      <c r="D417" t="s">
        <v>21</v>
      </c>
      <c r="E417" s="1">
        <v>40330</v>
      </c>
    </row>
    <row r="418" spans="1:5" x14ac:dyDescent="0.7">
      <c r="A418" t="str">
        <f>HYPERLINK("https://rocky-and-hopper.sakura.ne.jp/Kisho-Michelin/8399/978-4-8399-3553-5.htm","将棋連盟文庫 羽生の頭脳(2) 振り飛車破り")</f>
        <v>将棋連盟文庫 羽生の頭脳(2) 振り飛車破り</v>
      </c>
      <c r="B418" s="3" t="s">
        <v>12</v>
      </c>
      <c r="C418" t="s">
        <v>415</v>
      </c>
      <c r="D418" t="s">
        <v>21</v>
      </c>
      <c r="E418" s="1">
        <v>40299</v>
      </c>
    </row>
    <row r="419" spans="1:5" x14ac:dyDescent="0.7">
      <c r="A419" t="str">
        <f>HYPERLINK("https://rocky-and-hopper.sakura.ne.jp/Kisho-Michelin/8399/978-4-8399-3419-4.htm","マイコミ将棋文庫SP 将棋・ひと目のさばき 軽さが身につく200問")</f>
        <v>マイコミ将棋文庫SP 将棋・ひと目のさばき 軽さが身につく200問</v>
      </c>
      <c r="B419" s="3" t="s">
        <v>12</v>
      </c>
      <c r="C419" t="s">
        <v>64</v>
      </c>
      <c r="D419" t="s">
        <v>132</v>
      </c>
      <c r="E419" s="1">
        <v>40179</v>
      </c>
    </row>
    <row r="420" spans="1:5" x14ac:dyDescent="0.7">
      <c r="A420" t="str">
        <f>HYPERLINK("https://rocky-and-hopper.sakura.ne.jp/Kisho-Michelin/8399/978-4-8399-3552-8.htm","将棋連盟文庫 羽生の頭脳(1) 四間飛車破り")</f>
        <v>将棋連盟文庫 羽生の頭脳(1) 四間飛車破り</v>
      </c>
      <c r="B420" s="3" t="s">
        <v>14</v>
      </c>
      <c r="C420" t="s">
        <v>8</v>
      </c>
      <c r="D420" t="s">
        <v>21</v>
      </c>
      <c r="E420" s="1">
        <v>40299</v>
      </c>
    </row>
    <row r="421" spans="1:5" x14ac:dyDescent="0.7">
      <c r="A421" t="str">
        <f>HYPERLINK("https://rocky-and-hopper.sakura.ne.jp/Kisho-Michelin/8399/978-4-8399-3441-5.htm","変わりゆく現代将棋（下）")</f>
        <v>変わりゆく現代将棋（下）</v>
      </c>
      <c r="B421" s="3" t="s">
        <v>0</v>
      </c>
      <c r="C421" t="s">
        <v>452</v>
      </c>
      <c r="D421" t="s">
        <v>21</v>
      </c>
      <c r="E421" s="1">
        <v>40269</v>
      </c>
    </row>
    <row r="422" spans="1:5" x14ac:dyDescent="0.7">
      <c r="A422" t="str">
        <f>HYPERLINK("https://rocky-and-hopper.sakura.ne.jp/Kisho-Michelin/8399/978-4-8399-3510-8.htm","SATO Yasumitsu's SHOGI 佐藤康光の石田流破り")</f>
        <v>SATO Yasumitsu's SHOGI 佐藤康光の石田流破り</v>
      </c>
      <c r="B422" s="3" t="s">
        <v>12</v>
      </c>
      <c r="C422" t="s">
        <v>423</v>
      </c>
      <c r="D422" t="s">
        <v>129</v>
      </c>
      <c r="E422" s="1">
        <v>40269</v>
      </c>
    </row>
    <row r="423" spans="1:5" x14ac:dyDescent="0.7">
      <c r="A423" t="str">
        <f>HYPERLINK("https://rocky-and-hopper.sakura.ne.jp/Kisho-Michelin/89644/978-4-89644-738-5.htm","SUN-MAGAZINE MOOK 初心者でも必ず解ける詰将棋 羽生の一手詰 名人の脳の秘密 直観力・論理力・発想力がUPする！")</f>
        <v>SUN-MAGAZINE MOOK 初心者でも必ず解ける詰将棋 羽生の一手詰 名人の脳の秘密 直観力・論理力・発想力がUPする！</v>
      </c>
      <c r="B423" s="3" t="s">
        <v>40</v>
      </c>
      <c r="E423" s="1">
        <v>40299</v>
      </c>
    </row>
    <row r="424" spans="1:5" x14ac:dyDescent="0.7">
      <c r="A424" t="str">
        <f>HYPERLINK("https://rocky-and-hopper.sakura.ne.jp/Kisho-Michelin/8399/978-4-8399-3492-7.htm","週将ブックス 手筋の隠れ家")</f>
        <v>週将ブックス 手筋の隠れ家</v>
      </c>
      <c r="B424" s="3" t="s">
        <v>12</v>
      </c>
      <c r="C424" t="s">
        <v>445</v>
      </c>
      <c r="D424" t="s">
        <v>132</v>
      </c>
      <c r="E424" s="1">
        <v>40269</v>
      </c>
    </row>
    <row r="425" spans="1:5" x14ac:dyDescent="0.7">
      <c r="A425" t="str">
        <f>HYPERLINK("https://rocky-and-hopper.sakura.ne.jp/Kisho-Michelin/422/978-4-422-75124-5.htm","パワーアップシリーズ 精選必至200問 実戦的な傑作問題集")</f>
        <v>パワーアップシリーズ 精選必至200問 実戦的な傑作問題集</v>
      </c>
      <c r="B425" s="3" t="s">
        <v>14</v>
      </c>
      <c r="D425" t="s">
        <v>71</v>
      </c>
      <c r="E425" s="1">
        <v>40210</v>
      </c>
    </row>
    <row r="426" spans="1:5" x14ac:dyDescent="0.7">
      <c r="A426" t="str">
        <f>HYPERLINK("https://rocky-and-hopper.sakura.ne.jp/Kisho-Michelin/398/4-398-23503-5.htm","米長上達シリーズ(3) 新・米長の次の一手")</f>
        <v>米長上達シリーズ(3) 新・米長の次の一手</v>
      </c>
      <c r="B426" s="3" t="s">
        <v>40</v>
      </c>
      <c r="C426" t="s">
        <v>41</v>
      </c>
      <c r="D426" t="s">
        <v>191</v>
      </c>
      <c r="E426" s="1">
        <v>32143</v>
      </c>
    </row>
    <row r="427" spans="1:5" x14ac:dyDescent="0.7">
      <c r="A427" t="str">
        <f>HYPERLINK("https://rocky-and-hopper.sakura.ne.jp/Kisho-Michelin/14/4-14-016122-1.htm","NHK将棋シリーズ パワーアップ戦法塾")</f>
        <v>NHK将棋シリーズ パワーアップ戦法塾</v>
      </c>
      <c r="B427" s="3" t="s">
        <v>40</v>
      </c>
      <c r="C427" t="s">
        <v>478</v>
      </c>
      <c r="D427" t="s">
        <v>81</v>
      </c>
      <c r="E427" s="1">
        <v>38047</v>
      </c>
    </row>
    <row r="428" spans="1:5" x14ac:dyDescent="0.7">
      <c r="A428" t="str">
        <f>HYPERLINK("https://rocky-and-hopper.sakura.ne.jp/Kisho-Michelin/422/978-4-422-75131-3.htm","将棋最強ブックス 明快相振り飛車 勝てる！戦法集")</f>
        <v>将棋最強ブックス 明快相振り飛車 勝てる！戦法集</v>
      </c>
      <c r="B428" s="3" t="s">
        <v>12</v>
      </c>
      <c r="C428" t="s">
        <v>45</v>
      </c>
      <c r="D428" t="s">
        <v>152</v>
      </c>
      <c r="E428" s="1">
        <v>40269</v>
      </c>
    </row>
    <row r="429" spans="1:5" x14ac:dyDescent="0.7">
      <c r="A429" t="str">
        <f>HYPERLINK("https://rocky-and-hopper.sakura.ne.jp/Kisho-Michelin/8399/978-4-8399-3417-0.htm","マイコミ将棋BOOKS 必ず役立つプロの常識")</f>
        <v>マイコミ将棋BOOKS 必ず役立つプロの常識</v>
      </c>
      <c r="B429" s="3" t="s">
        <v>14</v>
      </c>
      <c r="D429" t="s">
        <v>147</v>
      </c>
      <c r="E429" s="1">
        <v>40148</v>
      </c>
    </row>
    <row r="430" spans="1:5" x14ac:dyDescent="0.7">
      <c r="A430" t="str">
        <f>HYPERLINK("https://rocky-and-hopper.sakura.ne.jp/Kisho-Michelin/422/978-4-422-75123-8.htm","将棋パワーアップシリーズ 1手の違いを見抜く202問")</f>
        <v>将棋パワーアップシリーズ 1手の違いを見抜く202問</v>
      </c>
      <c r="B430" s="3" t="s">
        <v>12</v>
      </c>
      <c r="C430" t="s">
        <v>41</v>
      </c>
      <c r="D430" t="s">
        <v>241</v>
      </c>
      <c r="E430" s="1">
        <v>40179</v>
      </c>
    </row>
    <row r="431" spans="1:5" x14ac:dyDescent="0.7">
      <c r="A431" t="str">
        <f>HYPERLINK("https://rocky-and-hopper.sakura.ne.jp/Kisho-Michelin/86137/978-4-86137-027-4.htm","最強将棋レクチャーブックス(5) 寄せの手筋200")</f>
        <v>最強将棋レクチャーブックス(5) 寄せの手筋200</v>
      </c>
      <c r="B431" s="3" t="s">
        <v>0</v>
      </c>
      <c r="D431" t="s">
        <v>224</v>
      </c>
      <c r="E431" s="1">
        <v>40269</v>
      </c>
    </row>
    <row r="432" spans="1:5" x14ac:dyDescent="0.7">
      <c r="A432" t="str">
        <f>HYPERLINK("https://rocky-and-hopper.sakura.ne.jp/Kisho-Michelin/262/978-4-262-10145-3.htm","羽生善治のみるみる強くなる 将棋 序盤の指し方 入門")</f>
        <v>羽生善治のみるみる強くなる 将棋 序盤の指し方 入門</v>
      </c>
      <c r="B432" s="3" t="s">
        <v>0</v>
      </c>
      <c r="C432" t="s">
        <v>420</v>
      </c>
      <c r="D432" t="s">
        <v>21</v>
      </c>
      <c r="E432" s="1">
        <v>40148</v>
      </c>
    </row>
    <row r="433" spans="1:5" x14ac:dyDescent="0.7">
      <c r="A433" t="str">
        <f>HYPERLINK("https://rocky-and-hopper.sakura.ne.jp/Kisho-Michelin/591/978-4-591-11034-8.htm","ぴょんぴょんしょうぎ")</f>
        <v>ぴょんぴょんしょうぎ</v>
      </c>
      <c r="B433" s="3" t="s">
        <v>12</v>
      </c>
      <c r="E433" s="1">
        <v>40026</v>
      </c>
    </row>
    <row r="434" spans="1:5" x14ac:dyDescent="0.7">
      <c r="A434" t="str">
        <f>HYPERLINK("https://rocky-and-hopper.sakura.ne.jp/Kisho-Michelin/89287/4-89287-010-2.htm","王将ブックス ポケット版 ─居飛車シリーズ�W 棒銀・腰掛銀戦法")</f>
        <v>王将ブックス ポケット版 ─居飛車シリーズ�W 棒銀・腰掛銀戦法</v>
      </c>
      <c r="B434" s="3" t="s">
        <v>40</v>
      </c>
      <c r="C434" t="s">
        <v>36</v>
      </c>
      <c r="D434" t="s">
        <v>218</v>
      </c>
      <c r="E434" t="s">
        <v>223</v>
      </c>
    </row>
    <row r="435" spans="1:5" x14ac:dyDescent="0.7">
      <c r="A435" t="str">
        <f>HYPERLINK("https://rocky-and-hopper.sakura.ne.jp/Kisho-Michelin/262/978-4-262-10144-6.htm","羽生善治のみるみる強くなる将棋入門 5ヵ条で勝ち方がわかる")</f>
        <v>羽生善治のみるみる強くなる将棋入門 5ヵ条で勝ち方がわかる</v>
      </c>
      <c r="B435" s="3" t="s">
        <v>14</v>
      </c>
      <c r="D435" t="s">
        <v>21</v>
      </c>
      <c r="E435" s="1">
        <v>39845</v>
      </c>
    </row>
    <row r="436" spans="1:5" x14ac:dyDescent="0.7">
      <c r="A436" t="str">
        <f>HYPERLINK("https://rocky-and-hopper.sakura.ne.jp/Kisho-Michelin/89287/4-89287-011-0.htm","王将ブックス ポケット版 ─居飛車シリーズ�X 相懸り基本戦法")</f>
        <v>王将ブックス ポケット版 ─居飛車シリーズ�X 相懸り基本戦法</v>
      </c>
      <c r="B436" s="3" t="s">
        <v>40</v>
      </c>
      <c r="C436" t="s">
        <v>36</v>
      </c>
      <c r="D436" t="s">
        <v>218</v>
      </c>
      <c r="E436" t="s">
        <v>138</v>
      </c>
    </row>
    <row r="437" spans="1:5" x14ac:dyDescent="0.7">
      <c r="A437" t="str">
        <f>HYPERLINK("https://rocky-and-hopper.sakura.ne.jp/Kisho-Michelin/89287/4-89287-007-2.htm","王将ブックス ポケット版 ─居飛車シリーズ�T タテ歩取り戦法")</f>
        <v>王将ブックス ポケット版 ─居飛車シリーズ�T タテ歩取り戦法</v>
      </c>
      <c r="B437" s="3" t="s">
        <v>40</v>
      </c>
      <c r="C437" t="s">
        <v>116</v>
      </c>
      <c r="D437" t="s">
        <v>218</v>
      </c>
      <c r="E437" s="1">
        <v>27485</v>
      </c>
    </row>
    <row r="438" spans="1:5" x14ac:dyDescent="0.7">
      <c r="A438" t="str">
        <f>HYPERLINK("https://rocky-and-hopper.sakura.ne.jp/Kisho-Michelin/309/978-4-309-27144-6.htm","読む将棋百科")</f>
        <v>読む将棋百科</v>
      </c>
      <c r="B438" s="3" t="s">
        <v>12</v>
      </c>
      <c r="C438" t="s">
        <v>242</v>
      </c>
      <c r="D438" t="s">
        <v>21</v>
      </c>
      <c r="E438" s="1">
        <v>40148</v>
      </c>
    </row>
    <row r="439" spans="1:5" x14ac:dyDescent="0.7">
      <c r="A439" t="str">
        <f>HYPERLINK("https://rocky-and-hopper.sakura.ne.jp/Kisho-Michelin/89287/4-89287-055-2.htm","王将ブックス ポケット版 ―駒落ちシリーズ�X 香落ち必勝法")</f>
        <v>王将ブックス ポケット版 ―駒落ちシリーズ�X 香落ち必勝法</v>
      </c>
      <c r="B439" s="3" t="s">
        <v>12</v>
      </c>
      <c r="C439" t="s">
        <v>431</v>
      </c>
      <c r="D439" t="s">
        <v>243</v>
      </c>
    </row>
    <row r="440" spans="1:5" x14ac:dyDescent="0.7">
      <c r="A440" t="str">
        <f>HYPERLINK("https://rocky-and-hopper.sakura.ne.jp/Kisho-Michelin/398/4-398-23502-7.htm","米長上達シリーズ(2) 振飛車の極意")</f>
        <v>米長上達シリーズ(2) 振飛車の極意</v>
      </c>
      <c r="B440" s="3" t="s">
        <v>40</v>
      </c>
      <c r="C440" t="s">
        <v>479</v>
      </c>
      <c r="D440" t="s">
        <v>191</v>
      </c>
      <c r="E440" s="1">
        <v>32143</v>
      </c>
    </row>
    <row r="441" spans="1:5" x14ac:dyDescent="0.7">
      <c r="A441" t="str">
        <f>HYPERLINK("https://rocky-and-hopper.sakura.ne.jp/Kisho-Michelin/89287/4-89287-066-8.htm","王将ブックス ポケット版 ─ 特殊戦法シリーズI 中段飛車宇宙戦法")</f>
        <v>王将ブックス ポケット版 ─ 特殊戦法シリーズI 中段飛車宇宙戦法</v>
      </c>
      <c r="B441" s="3" t="s">
        <v>12</v>
      </c>
      <c r="C441" t="s">
        <v>64</v>
      </c>
      <c r="D441" t="s">
        <v>220</v>
      </c>
      <c r="E441" t="s">
        <v>244</v>
      </c>
    </row>
    <row r="442" spans="1:5" x14ac:dyDescent="0.7">
      <c r="A442" t="str">
        <f>HYPERLINK("https://rocky-and-hopper.sakura.ne.jp/Kisho-Michelin/8197/4-8197-0338-2.htm","Perfect Series 康光流現代矢倉�V 急戦編")</f>
        <v>Perfect Series 康光流現代矢倉�V 急戦編</v>
      </c>
      <c r="B442" s="3" t="s">
        <v>12</v>
      </c>
      <c r="C442" t="s">
        <v>64</v>
      </c>
      <c r="D442" t="s">
        <v>129</v>
      </c>
      <c r="E442" s="1">
        <v>35735</v>
      </c>
    </row>
    <row r="443" spans="1:5" x14ac:dyDescent="0.7">
      <c r="A443" t="str">
        <f>HYPERLINK("https://rocky-and-hopper.sakura.ne.jp/Kisho-Michelin/398/4-398-23501-9.htm","米長上達シリーズ(1) 矢倉戦の攻防")</f>
        <v>米長上達シリーズ(1) 矢倉戦の攻防</v>
      </c>
      <c r="B443" s="3" t="s">
        <v>12</v>
      </c>
      <c r="D443" t="s">
        <v>191</v>
      </c>
      <c r="E443" s="1">
        <v>32143</v>
      </c>
    </row>
    <row r="444" spans="1:5" x14ac:dyDescent="0.7">
      <c r="A444" t="str">
        <f>HYPERLINK("https://rocky-and-hopper.sakura.ne.jp/Kisho-Michelin/89287/4-89287-068-4.htm","王将ブックス ポケット版 ─ 特殊戦法シリーズ�V 魚釣り戦法右四間飛車")</f>
        <v>王将ブックス ポケット版 ─ 特殊戦法シリーズ�V 魚釣り戦法右四間飛車</v>
      </c>
      <c r="B444" s="3" t="s">
        <v>12</v>
      </c>
      <c r="C444" t="s">
        <v>8</v>
      </c>
      <c r="D444" t="s">
        <v>220</v>
      </c>
      <c r="E444" s="1">
        <v>27181</v>
      </c>
    </row>
    <row r="445" spans="1:5" x14ac:dyDescent="0.7">
      <c r="A445" t="str">
        <f>HYPERLINK("https://rocky-and-hopper.sakura.ne.jp/Kisho-Michelin/398/4-398-23505-1.htm","米長上達シリーズ(5) 詰将棋上達術")</f>
        <v>米長上達シリーズ(5) 詰将棋上達術</v>
      </c>
      <c r="B445" s="3" t="s">
        <v>12</v>
      </c>
      <c r="D445" t="s">
        <v>191</v>
      </c>
      <c r="E445" s="1">
        <v>32143</v>
      </c>
    </row>
    <row r="446" spans="1:5" x14ac:dyDescent="0.7">
      <c r="A446" t="str">
        <f>HYPERLINK("https://rocky-and-hopper.sakura.ne.jp/Kisho-Michelin/8399/978-4-8399-2277-1.htm","一二三の玉手箱")</f>
        <v>一二三の玉手箱</v>
      </c>
      <c r="B446" s="3" t="s">
        <v>12</v>
      </c>
      <c r="C446" t="s">
        <v>430</v>
      </c>
      <c r="D446" t="s">
        <v>77</v>
      </c>
      <c r="E446" s="1">
        <v>39083</v>
      </c>
    </row>
    <row r="447" spans="1:5" x14ac:dyDescent="0.7">
      <c r="A447" t="str">
        <f>HYPERLINK("https://rocky-and-hopper.sakura.ne.jp/Kisho-Michelin/0376/0376-620004-3093.htm","ミニミニブックシリーズ 将棋教室(4) 攻めの振飛車")</f>
        <v>ミニミニブックシリーズ 将棋教室(4) 攻めの振飛車</v>
      </c>
      <c r="B447" s="3" t="s">
        <v>40</v>
      </c>
      <c r="C447" t="s">
        <v>479</v>
      </c>
      <c r="D447" t="s">
        <v>191</v>
      </c>
      <c r="E447" s="1">
        <v>28856</v>
      </c>
    </row>
    <row r="448" spans="1:5" x14ac:dyDescent="0.7">
      <c r="A448" t="str">
        <f>HYPERLINK("https://rocky-and-hopper.sakura.ne.jp/Kisho-Michelin/398/4-398-23504-3.htm","米長上達シリーズ(4) 奇襲戦の極意")</f>
        <v>米長上達シリーズ(4) 奇襲戦の極意</v>
      </c>
      <c r="B448" s="3" t="s">
        <v>40</v>
      </c>
      <c r="C448" t="s">
        <v>428</v>
      </c>
      <c r="D448" t="s">
        <v>191</v>
      </c>
      <c r="E448" s="1">
        <v>32143</v>
      </c>
    </row>
    <row r="449" spans="1:5" x14ac:dyDescent="0.7">
      <c r="A449" t="str">
        <f>HYPERLINK("https://rocky-and-hopper.sakura.ne.jp/Kisho-Michelin/0376/0376-620003-3093.htm","ミニミニブックシリーズ 将棋教室(3) 実戦振飛車次の一手")</f>
        <v>ミニミニブックシリーズ 将棋教室(3) 実戦振飛車次の一手</v>
      </c>
      <c r="B449" s="3" t="s">
        <v>40</v>
      </c>
      <c r="C449" t="s">
        <v>41</v>
      </c>
      <c r="D449" t="s">
        <v>191</v>
      </c>
      <c r="E449" s="1">
        <v>28825</v>
      </c>
    </row>
    <row r="450" spans="1:5" x14ac:dyDescent="0.7">
      <c r="A450" t="str">
        <f>HYPERLINK("https://rocky-and-hopper.sakura.ne.jp/Kisho-Michelin/0376/0376-620002-3093.htm","ミニミニブックシリーズ 将棋教室(2) 実戦居飛車次の一手")</f>
        <v>ミニミニブックシリーズ 将棋教室(2) 実戦居飛車次の一手</v>
      </c>
      <c r="B450" s="3" t="s">
        <v>40</v>
      </c>
      <c r="C450" t="s">
        <v>41</v>
      </c>
      <c r="D450" t="s">
        <v>191</v>
      </c>
      <c r="E450" s="1">
        <v>28825</v>
      </c>
    </row>
    <row r="451" spans="1:5" x14ac:dyDescent="0.7">
      <c r="A451" t="str">
        <f>HYPERLINK("https://rocky-and-hopper.sakura.ne.jp/Kisho-Michelin/8399/978-4-8399-3332-6.htm","1手詰ハンドブック")</f>
        <v>1手詰ハンドブック</v>
      </c>
      <c r="B451" s="3" t="s">
        <v>12</v>
      </c>
      <c r="D451" t="s">
        <v>214</v>
      </c>
      <c r="E451" s="1">
        <v>40118</v>
      </c>
    </row>
    <row r="452" spans="1:5" x14ac:dyDescent="0.7">
      <c r="A452" t="str">
        <f>HYPERLINK("https://rocky-and-hopper.sakura.ne.jp/Kisho-Michelin/0376/0376-620009-3093.htm","ミニミニブックシリーズ 将棋教室(9) 将棋実力診断（戦局別）")</f>
        <v>ミニミニブックシリーズ 将棋教室(9) 将棋実力診断（戦局別）</v>
      </c>
      <c r="B452" s="3" t="s">
        <v>40</v>
      </c>
      <c r="C452" t="s">
        <v>41</v>
      </c>
      <c r="D452" t="s">
        <v>191</v>
      </c>
      <c r="E452" s="1">
        <v>28856</v>
      </c>
    </row>
    <row r="453" spans="1:5" x14ac:dyDescent="0.7">
      <c r="A453" t="str">
        <f>HYPERLINK("https://rocky-and-hopper.sakura.ne.jp/Kisho-Michelin/8399/4-8399-1540-7.htm","新・プロの将棋シリーズ(1) 加藤流最強三間飛車撃破")</f>
        <v>新・プロの将棋シリーズ(1) 加藤流最強三間飛車撃破</v>
      </c>
      <c r="B453" s="3" t="s">
        <v>40</v>
      </c>
      <c r="C453" t="s">
        <v>22</v>
      </c>
      <c r="D453" t="s">
        <v>77</v>
      </c>
      <c r="E453" s="1">
        <v>38139</v>
      </c>
    </row>
    <row r="454" spans="1:5" x14ac:dyDescent="0.7">
      <c r="A454" t="str">
        <f>HYPERLINK("https://rocky-and-hopper.sakura.ne.jp/Kisho-Michelin/0376/0376-620001-3093.htm","ミニミニブックシリーズ 将棋教室(1) 鉄壁穴熊戦法")</f>
        <v>ミニミニブックシリーズ 将棋教室(1) 鉄壁穴熊戦法</v>
      </c>
      <c r="B454" s="3" t="s">
        <v>40</v>
      </c>
      <c r="C454" t="s">
        <v>41</v>
      </c>
      <c r="D454" t="s">
        <v>191</v>
      </c>
      <c r="E454" s="1">
        <v>28825</v>
      </c>
    </row>
    <row r="455" spans="1:5" x14ac:dyDescent="0.7">
      <c r="A455" t="str">
        <f>HYPERLINK("https://rocky-and-hopper.sakura.ne.jp/Kisho-Michelin/7816/978-4-7816-0263-9.htm","プロフェッショナル仕事の流儀 コミック版 「勝負」に挑む者たち 棋士 羽生善治 サッカー日本代表 中澤佑二 騎手 武豊")</f>
        <v>プロフェッショナル仕事の流儀 コミック版 「勝負」に挑む者たち 棋士 羽生善治 サッカー日本代表 中澤佑二 騎手 武豊</v>
      </c>
      <c r="B455" s="3" t="s">
        <v>179</v>
      </c>
      <c r="D455" t="s">
        <v>245</v>
      </c>
      <c r="E455" s="1">
        <v>40148</v>
      </c>
    </row>
    <row r="456" spans="1:5" x14ac:dyDescent="0.7">
      <c r="A456" t="str">
        <f>HYPERLINK("https://rocky-and-hopper.sakura.ne.jp/Kisho-Michelin/584/4-584-00298-3.htm","ベストセラーシリーズ〈ワニの本〉 ヘボ将棋に強い(3) 序盤の速攻45")</f>
        <v>ベストセラーシリーズ〈ワニの本〉 ヘボ将棋に強い(3) 序盤の速攻45</v>
      </c>
      <c r="B456" s="3" t="s">
        <v>40</v>
      </c>
      <c r="C456" t="s">
        <v>20</v>
      </c>
      <c r="D456" t="s">
        <v>246</v>
      </c>
      <c r="E456" s="1">
        <v>28095</v>
      </c>
    </row>
    <row r="457" spans="1:5" x14ac:dyDescent="0.7">
      <c r="A457" t="str">
        <f>HYPERLINK("https://rocky-and-hopper.sakura.ne.jp/Kisho-Michelin/0376/0376-620007-3093.htm","ミニミニブックシリーズ 将棋教室(7) 必勝角換わり戦法")</f>
        <v>ミニミニブックシリーズ 将棋教室(7) 必勝角換わり戦法</v>
      </c>
      <c r="B457" s="3" t="s">
        <v>40</v>
      </c>
      <c r="C457" t="s">
        <v>1</v>
      </c>
      <c r="D457" t="s">
        <v>191</v>
      </c>
      <c r="E457" s="1">
        <v>28856</v>
      </c>
    </row>
    <row r="458" spans="1:5" x14ac:dyDescent="0.7">
      <c r="A458" t="str">
        <f>HYPERLINK("https://rocky-and-hopper.sakura.ne.jp/Kisho-Michelin/321/4-321-55213-3.htm","内藤国雄の次の一手シリーズ 振り飛車の攻防")</f>
        <v>内藤国雄の次の一手シリーズ 振り飛車の攻防</v>
      </c>
      <c r="B458" s="3" t="s">
        <v>12</v>
      </c>
      <c r="C458" t="s">
        <v>45</v>
      </c>
      <c r="D458" t="s">
        <v>247</v>
      </c>
      <c r="E458" s="1">
        <v>29465</v>
      </c>
    </row>
    <row r="459" spans="1:5" x14ac:dyDescent="0.7">
      <c r="A459" t="str">
        <f>HYPERLINK("https://rocky-and-hopper.sakura.ne.jp/Kisho-Michelin/0376/0376-620005-3093.htm","ミニミニブックシリーズ 将棋教室(5) 奇襲ヒラメ戦法")</f>
        <v>ミニミニブックシリーズ 将棋教室(5) 奇襲ヒラメ戦法</v>
      </c>
      <c r="B459" s="3" t="s">
        <v>40</v>
      </c>
      <c r="C459" t="s">
        <v>64</v>
      </c>
      <c r="D459" t="s">
        <v>191</v>
      </c>
      <c r="E459" s="1">
        <v>28825</v>
      </c>
    </row>
    <row r="460" spans="1:5" x14ac:dyDescent="0.7">
      <c r="A460" t="str">
        <f>HYPERLINK("https://rocky-and-hopper.sakura.ne.jp/Kisho-Michelin/88574/4-88574-432-6.htm","よくわかる矢倉戦法")</f>
        <v>よくわかる矢倉戦法</v>
      </c>
      <c r="B460" s="3" t="s">
        <v>12</v>
      </c>
      <c r="C460" t="s">
        <v>440</v>
      </c>
      <c r="D460" t="s">
        <v>248</v>
      </c>
      <c r="E460" s="1">
        <v>26238</v>
      </c>
    </row>
    <row r="461" spans="1:5" x14ac:dyDescent="0.7">
      <c r="A461" t="str">
        <f>HYPERLINK("https://rocky-and-hopper.sakura.ne.jp/Kisho-Michelin/422/4-422-75059-3.htm","初段に挑戦するシリーズ(9) 徹底 ねばり勝ち将棋 あきらめずに相手を責める")</f>
        <v>初段に挑戦するシリーズ(9) 徹底 ねばり勝ち将棋 あきらめずに相手を責める</v>
      </c>
      <c r="B461" s="3" t="s">
        <v>12</v>
      </c>
      <c r="C461" t="s">
        <v>41</v>
      </c>
      <c r="D461" t="s">
        <v>71</v>
      </c>
      <c r="E461" s="1">
        <v>31168</v>
      </c>
    </row>
    <row r="462" spans="1:5" x14ac:dyDescent="0.7">
      <c r="A462" t="str">
        <f>HYPERLINK("https://rocky-and-hopper.sakura.ne.jp/Kisho-Michelin/86137/4-86137-015-9.htm","最強将棋21 右四間で攻めつぶす本")</f>
        <v>最強将棋21 右四間で攻めつぶす本</v>
      </c>
      <c r="B462" s="3" t="s">
        <v>12</v>
      </c>
      <c r="C462" t="s">
        <v>8</v>
      </c>
      <c r="D462" t="s">
        <v>167</v>
      </c>
      <c r="E462" s="1">
        <v>39052</v>
      </c>
    </row>
    <row r="463" spans="1:5" x14ac:dyDescent="0.7">
      <c r="A463" t="str">
        <f>HYPERLINK("https://rocky-and-hopper.sakura.ne.jp/Kisho-Michelin/8399/4-8399-0736-6.htm","東大将棋ブックス 矢倉急戦道場 棒銀＆右四間")</f>
        <v>東大将棋ブックス 矢倉急戦道場 棒銀＆右四間</v>
      </c>
      <c r="B463" s="3" t="s">
        <v>14</v>
      </c>
      <c r="C463" t="s">
        <v>8</v>
      </c>
      <c r="D463" t="s">
        <v>44</v>
      </c>
      <c r="E463" s="1">
        <v>37377</v>
      </c>
    </row>
    <row r="464" spans="1:5" x14ac:dyDescent="0.7">
      <c r="A464" t="str">
        <f>HYPERLINK("https://rocky-and-hopper.sakura.ne.jp/Kisho-Michelin/02/978-4-02-100172-7.htm","第67期将棋名人戦七番勝負全記録 羽生、名人位死守")</f>
        <v>第67期将棋名人戦七番勝負全記録 羽生、名人位死守</v>
      </c>
      <c r="B464" s="3" t="s">
        <v>40</v>
      </c>
      <c r="C464" t="s">
        <v>34</v>
      </c>
      <c r="D464" t="s">
        <v>229</v>
      </c>
      <c r="E464" s="1">
        <v>40026</v>
      </c>
    </row>
    <row r="465" spans="1:5" x14ac:dyDescent="0.7">
      <c r="A465" t="str">
        <f>HYPERLINK("https://rocky-and-hopper.sakura.ne.jp/Kisho-Michelin/89563/4-89563-522-8.htm","週将ブックスオレンジシリーズ(15) 急戦でつぶせ ヤグラがなんだ")</f>
        <v>週将ブックスオレンジシリーズ(15) 急戦でつぶせ ヤグラがなんだ</v>
      </c>
      <c r="B465" s="3" t="s">
        <v>14</v>
      </c>
      <c r="C465" t="s">
        <v>64</v>
      </c>
      <c r="D465" t="s">
        <v>139</v>
      </c>
      <c r="E465" s="1">
        <v>32264</v>
      </c>
    </row>
    <row r="466" spans="1:5" x14ac:dyDescent="0.7">
      <c r="A466" t="str">
        <f>HYPERLINK("https://rocky-and-hopper.sakura.ne.jp/Kisho-Michelin/8069/4-8069-1507-6.htm","初段の壁を破るシリーズ 青野の 棒銀戦法 次の一手形式で初段を突破する！")</f>
        <v>初段の壁を破るシリーズ 青野の 棒銀戦法 次の一手形式で初段を突破する！</v>
      </c>
      <c r="B466" s="3" t="s">
        <v>40</v>
      </c>
      <c r="C466" t="s">
        <v>1</v>
      </c>
      <c r="D466" t="s">
        <v>71</v>
      </c>
      <c r="E466" s="1">
        <v>32387</v>
      </c>
    </row>
    <row r="467" spans="1:5" x14ac:dyDescent="0.7">
      <c r="A467" t="str">
        <f>HYPERLINK("https://rocky-and-hopper.sakura.ne.jp/Kisho-Michelin/8399/978-4-8399-3236-7.htm","永世竜王への軌跡")</f>
        <v>永世竜王への軌跡</v>
      </c>
      <c r="B467" s="3" t="s">
        <v>0</v>
      </c>
      <c r="C467" t="s">
        <v>242</v>
      </c>
      <c r="D467" t="s">
        <v>211</v>
      </c>
      <c r="E467" s="1">
        <v>39995</v>
      </c>
    </row>
    <row r="468" spans="1:5" x14ac:dyDescent="0.7">
      <c r="A468" t="str">
        <f>HYPERLINK("https://rocky-and-hopper.sakura.ne.jp/Kisho-Michelin/422/978-4-422-75122-1.htm","パワーアップシリーズ 5手詰将棋")</f>
        <v>パワーアップシリーズ 5手詰将棋</v>
      </c>
      <c r="B468" s="3" t="s">
        <v>14</v>
      </c>
      <c r="C468" t="s">
        <v>116</v>
      </c>
      <c r="D468" t="s">
        <v>56</v>
      </c>
      <c r="E468" s="1">
        <v>40057</v>
      </c>
    </row>
    <row r="469" spans="1:5" x14ac:dyDescent="0.7">
      <c r="A469" t="str">
        <f>HYPERLINK("https://rocky-and-hopper.sakura.ne.jp/Kisho-Michelin/14/978-4-14-016170-8.htm","NHK将棋シリーズ 杉本昌隆の振り飛車ナビゲーション")</f>
        <v>NHK将棋シリーズ 杉本昌隆の振り飛車ナビゲーション</v>
      </c>
      <c r="B469" s="3" t="s">
        <v>14</v>
      </c>
      <c r="C469" t="s">
        <v>45</v>
      </c>
      <c r="D469" t="s">
        <v>80</v>
      </c>
      <c r="E469" s="1">
        <v>39814</v>
      </c>
    </row>
    <row r="470" spans="1:5" x14ac:dyDescent="0.7">
      <c r="A470" t="str">
        <f>HYPERLINK("https://rocky-and-hopper.sakura.ne.jp/Kisho-Michelin/8197/4-8197-0358-7.htm","スッキリ明快詰将棋 初段標準の218題")</f>
        <v>スッキリ明快詰将棋 初段標準の218題</v>
      </c>
      <c r="B470" s="3" t="s">
        <v>12</v>
      </c>
      <c r="D470" t="s">
        <v>248</v>
      </c>
      <c r="E470" s="1">
        <v>36465</v>
      </c>
    </row>
    <row r="471" spans="1:5" x14ac:dyDescent="0.7">
      <c r="A471" t="str">
        <f>HYPERLINK("https://rocky-and-hopper.sakura.ne.jp/Kisho-Michelin/422/978-4-422-75114-6.htm","スーパー将棋講座 後手番一手損角換わり戦法 一気に敵陣撃破！")</f>
        <v>スーパー将棋講座 後手番一手損角換わり戦法 一気に敵陣撃破！</v>
      </c>
      <c r="B471" s="3" t="s">
        <v>12</v>
      </c>
      <c r="C471" t="s">
        <v>1</v>
      </c>
      <c r="D471" t="s">
        <v>71</v>
      </c>
      <c r="E471" s="1">
        <v>39995</v>
      </c>
    </row>
    <row r="472" spans="1:5" x14ac:dyDescent="0.7">
      <c r="A472" t="str">
        <f>HYPERLINK("https://rocky-and-hopper.sakura.ne.jp/Kisho-Michelin/09/978-4-09-140637-8.htm","うちゅうの王")</f>
        <v>うちゅうの王</v>
      </c>
      <c r="B472" s="3" t="s">
        <v>179</v>
      </c>
      <c r="C472" t="s">
        <v>480</v>
      </c>
      <c r="E472" s="1">
        <v>39569</v>
      </c>
    </row>
    <row r="473" spans="1:5" x14ac:dyDescent="0.7">
      <c r="A473" t="str">
        <f>HYPERLINK("https://rocky-and-hopper.sakura.ne.jp/Kisho-Michelin/12/978-4-12-004028-3.htm","シリコンバレーから将棋を観る ─羽生善治と現代")</f>
        <v>シリコンバレーから将棋を観る ─羽生善治と現代</v>
      </c>
      <c r="B473" s="3" t="s">
        <v>12</v>
      </c>
      <c r="C473" t="s">
        <v>8</v>
      </c>
      <c r="D473" t="s">
        <v>228</v>
      </c>
      <c r="E473" s="1">
        <v>39904</v>
      </c>
    </row>
    <row r="474" spans="1:5" x14ac:dyDescent="0.7">
      <c r="A474" t="str">
        <f>HYPERLINK("https://rocky-and-hopper.sakura.ne.jp/Kisho-Michelin/575/978-4-575-30120-5.htm","棋士 羽生善治 「人類史上、最も深く考える人」の神髄")</f>
        <v>棋士 羽生善治 「人類史上、最も深く考える人」の神髄</v>
      </c>
      <c r="E474" s="1">
        <v>39904</v>
      </c>
    </row>
    <row r="475" spans="1:5" x14ac:dyDescent="0.7">
      <c r="A475" t="str">
        <f>HYPERLINK("https://rocky-and-hopper.sakura.ne.jp/Kisho-Michelin/262/978-4-262-10135-4.htm","攻める守る 将棋 駒の使い方ドリル 駒の性能をフルに使ってライバルと差をつけよう！")</f>
        <v>攻める守る 将棋 駒の使い方ドリル 駒の性能をフルに使ってライバルと差をつけよう！</v>
      </c>
      <c r="B475" s="3" t="s">
        <v>12</v>
      </c>
      <c r="D475" t="s">
        <v>235</v>
      </c>
      <c r="E475" s="1">
        <v>39995</v>
      </c>
    </row>
    <row r="476" spans="1:5" x14ac:dyDescent="0.7">
      <c r="A476" t="str">
        <f>HYPERLINK("https://rocky-and-hopper.sakura.ne.jp/Kisho-Michelin/528/978-4-528-01515-9.htm","電撃!! イナズマ流次の一手200題 一瞬にして妙手・悪手がわかる！ 出雲のイナズマの妙手を全公開！")</f>
        <v>電撃!! イナズマ流次の一手200題 一瞬にして妙手・悪手がわかる！ 出雲のイナズマの妙手を全公開！</v>
      </c>
      <c r="B476" s="3" t="s">
        <v>179</v>
      </c>
      <c r="D476" t="s">
        <v>249</v>
      </c>
      <c r="E476" s="1">
        <v>39904</v>
      </c>
    </row>
    <row r="477" spans="1:5" x14ac:dyDescent="0.7">
      <c r="A477" t="str">
        <f>HYPERLINK("https://rocky-and-hopper.sakura.ne.jp/Kisho-Michelin/86137/978-4-86137-024-3.htm","最強将棋21 矢倉の急所(2)")</f>
        <v>最強将棋21 矢倉の急所(2)</v>
      </c>
      <c r="B477" s="3" t="s">
        <v>0</v>
      </c>
      <c r="D477" t="s">
        <v>250</v>
      </c>
      <c r="E477" s="1">
        <v>39965</v>
      </c>
    </row>
    <row r="478" spans="1:5" x14ac:dyDescent="0.7">
      <c r="A478" t="str">
        <f>HYPERLINK("https://rocky-and-hopper.sakura.ne.jp/Kisho-Michelin/8399/978-4-8399-3082-0.htm","週将ブックス 初段の力")</f>
        <v>週将ブックス 初段の力</v>
      </c>
      <c r="B478" s="3" t="s">
        <v>40</v>
      </c>
      <c r="D478" t="s">
        <v>132</v>
      </c>
      <c r="E478" s="1">
        <v>39783</v>
      </c>
    </row>
    <row r="479" spans="1:5" x14ac:dyDescent="0.7">
      <c r="A479" t="str">
        <f>HYPERLINK("https://rocky-and-hopper.sakura.ne.jp/Kisho-Michelin/8399/978-4-8399-3288-6.htm","脳トレ7手詰")</f>
        <v>脳トレ7手詰</v>
      </c>
      <c r="B479" s="3" t="s">
        <v>40</v>
      </c>
      <c r="D479" t="s">
        <v>128</v>
      </c>
      <c r="E479" s="1">
        <v>39965</v>
      </c>
    </row>
    <row r="480" spans="1:5" x14ac:dyDescent="0.7">
      <c r="A480" t="str">
        <f>HYPERLINK("https://rocky-and-hopper.sakura.ne.jp/Kisho-Michelin/8399/4-8399-2012-5.htm","詰将棋 実戦形パラダイス(2)")</f>
        <v>詰将棋 実戦形パラダイス(2)</v>
      </c>
      <c r="B480" s="3" t="s">
        <v>12</v>
      </c>
      <c r="D480" t="s">
        <v>251</v>
      </c>
      <c r="E480" s="1">
        <v>38749</v>
      </c>
    </row>
    <row r="481" spans="1:5" x14ac:dyDescent="0.7">
      <c r="A481" t="str">
        <f>HYPERLINK("https://rocky-and-hopper.sakura.ne.jp/Kisho-Michelin/8399/978-4-8399-3161-2.htm","新・東大将棋ブックス 定跡道場 先手四間VS早仕掛け")</f>
        <v>新・東大将棋ブックス 定跡道場 先手四間VS早仕掛け</v>
      </c>
      <c r="B481" s="3" t="s">
        <v>14</v>
      </c>
      <c r="C481" t="s">
        <v>420</v>
      </c>
      <c r="D481" t="s">
        <v>44</v>
      </c>
      <c r="E481" s="1">
        <v>39934</v>
      </c>
    </row>
    <row r="482" spans="1:5" x14ac:dyDescent="0.7">
      <c r="A482" t="str">
        <f>HYPERLINK("https://rocky-and-hopper.sakura.ne.jp/Kisho-Michelin/643/978-4-643-09003-1.htm","第二十一期竜王決定七番勝負 激闘譜 渡辺明vs.羽生善治")</f>
        <v>第二十一期竜王決定七番勝負 激闘譜 渡辺明vs.羽生善治</v>
      </c>
      <c r="B482" s="3" t="s">
        <v>40</v>
      </c>
      <c r="C482" t="s">
        <v>1</v>
      </c>
      <c r="D482" t="s">
        <v>252</v>
      </c>
      <c r="E482" s="1">
        <v>39873</v>
      </c>
    </row>
    <row r="483" spans="1:5" x14ac:dyDescent="0.7">
      <c r="A483" t="str">
        <f>HYPERLINK("https://rocky-and-hopper.sakura.ne.jp/Kisho-Michelin/422/978-4-422-75039-2.htm","強くなる将棋虎の巻 初段を目指す！")</f>
        <v>強くなる将棋虎の巻 初段を目指す！</v>
      </c>
      <c r="B483" s="3" t="s">
        <v>12</v>
      </c>
      <c r="D483" t="s">
        <v>56</v>
      </c>
      <c r="E483" s="1">
        <v>39904</v>
      </c>
    </row>
    <row r="484" spans="1:5" x14ac:dyDescent="0.7">
      <c r="A484" t="str">
        <f>HYPERLINK("https://rocky-and-hopper.sakura.ne.jp/Kisho-Michelin/05/4-05-004851-5.htm","学研まんが 早わかり入門シリーズ (23) つめ将棋入門")</f>
        <v>学研まんが 早わかり入門シリーズ (23) つめ将棋入門</v>
      </c>
      <c r="B484" s="3" t="s">
        <v>179</v>
      </c>
      <c r="D484" t="s">
        <v>79</v>
      </c>
      <c r="E484" s="1">
        <v>30468</v>
      </c>
    </row>
    <row r="485" spans="1:5" x14ac:dyDescent="0.7">
      <c r="A485" t="str">
        <f>HYPERLINK("https://rocky-and-hopper.sakura.ne.jp/Kisho-Michelin/8399/978-4-8399-3204-6.htm","マイコミ将棋BOOKS 野獣流攻める右四間")</f>
        <v>マイコミ将棋BOOKS 野獣流攻める右四間</v>
      </c>
      <c r="B485" s="3" t="s">
        <v>40</v>
      </c>
      <c r="C485" t="s">
        <v>420</v>
      </c>
      <c r="D485" t="s">
        <v>253</v>
      </c>
      <c r="E485" s="1">
        <v>39934</v>
      </c>
    </row>
    <row r="486" spans="1:5" x14ac:dyDescent="0.7">
      <c r="A486" t="str">
        <f>HYPERLINK("https://rocky-and-hopper.sakura.ne.jp/Kisho-Michelin/528/4-528-01512-9.htm","実戦型詰め将棋 三手・五手・七手詰め 知らず知らずのうちに、詰めの実力がつく！ 実戦での段級位も目に見えて上がる！")</f>
        <v>実戦型詰め将棋 三手・五手・七手詰め 知らず知らずのうちに、詰めの実力がつく！ 実戦での段級位も目に見えて上がる！</v>
      </c>
      <c r="B486" s="3" t="s">
        <v>40</v>
      </c>
      <c r="D486" t="s">
        <v>254</v>
      </c>
      <c r="E486" s="1">
        <v>38961</v>
      </c>
    </row>
    <row r="487" spans="1:5" x14ac:dyDescent="0.7">
      <c r="A487" t="str">
        <f>HYPERLINK("https://rocky-and-hopper.sakura.ne.jp/Kisho-Michelin/05/4-05-004880-9.htm","学研まんが 早わかり入門シリーズ (24) 将棋つぎの一手入門")</f>
        <v>学研まんが 早わかり入門シリーズ (24) 将棋つぎの一手入門</v>
      </c>
      <c r="B487" s="3" t="s">
        <v>40</v>
      </c>
      <c r="D487" t="s">
        <v>79</v>
      </c>
      <c r="E487" s="1">
        <v>30590</v>
      </c>
    </row>
    <row r="488" spans="1:5" x14ac:dyDescent="0.7">
      <c r="A488" t="str">
        <f>HYPERLINK("https://rocky-and-hopper.sakura.ne.jp/Kisho-Michelin/14/978-4-14-016173-9.htm","NHK将棋シリーズ 森下卓の矢倉をマスター")</f>
        <v>NHK将棋シリーズ 森下卓の矢倉をマスター</v>
      </c>
      <c r="B488" s="3" t="s">
        <v>40</v>
      </c>
      <c r="C488" t="s">
        <v>463</v>
      </c>
      <c r="D488" t="s">
        <v>255</v>
      </c>
      <c r="E488" s="1">
        <v>39934</v>
      </c>
    </row>
    <row r="489" spans="1:5" x14ac:dyDescent="0.7">
      <c r="A489" t="str">
        <f>HYPERLINK("https://rocky-and-hopper.sakura.ne.jp/Kisho-Michelin/262/978-4-262-10134-7.htm","いちばんやさしい7手からの詰将棋 長手詰めでもラクラク解いて棋力をUP!")</f>
        <v>いちばんやさしい7手からの詰将棋 長手詰めでもラクラク解いて棋力をUP!</v>
      </c>
      <c r="B489" s="3" t="s">
        <v>12</v>
      </c>
      <c r="D489" t="s">
        <v>235</v>
      </c>
      <c r="E489" s="1">
        <v>39904</v>
      </c>
    </row>
    <row r="490" spans="1:5" x14ac:dyDescent="0.7">
      <c r="A490" t="str">
        <f>HYPERLINK("https://rocky-and-hopper.sakura.ne.jp/Kisho-Michelin/86137/978-4-86137-022-9.htm","最強将棋21 矢倉の急所 【4六銀・3七桂型】")</f>
        <v>最強将棋21 矢倉の急所 【4六銀・3七桂型】</v>
      </c>
      <c r="B490" s="3" t="s">
        <v>14</v>
      </c>
      <c r="D490" t="s">
        <v>250</v>
      </c>
      <c r="E490" s="1">
        <v>39783</v>
      </c>
    </row>
    <row r="491" spans="1:5" x14ac:dyDescent="0.7">
      <c r="A491" t="str">
        <f>HYPERLINK("https://rocky-and-hopper.sakura.ne.jp/Kisho-Michelin/8197/4-8197-0168-1.htm","メキメキ将棋上達本 ラクラク詰将棋(2) 基本手筋集")</f>
        <v>メキメキ将棋上達本 ラクラク詰将棋(2) 基本手筋集</v>
      </c>
      <c r="B491" s="3" t="s">
        <v>12</v>
      </c>
      <c r="D491" t="s">
        <v>256</v>
      </c>
      <c r="E491" s="1">
        <v>38687</v>
      </c>
    </row>
    <row r="492" spans="1:5" x14ac:dyDescent="0.7">
      <c r="A492" t="str">
        <f>HYPERLINK("https://rocky-and-hopper.sakura.ne.jp/Kisho-Michelin/8399/4-8399-0077-9.htm","矢倉3七銀分析【上】")</f>
        <v>矢倉3七銀分析【上】</v>
      </c>
      <c r="B492" s="3" t="s">
        <v>0</v>
      </c>
      <c r="D492" t="s">
        <v>250</v>
      </c>
      <c r="E492" s="1">
        <v>36251</v>
      </c>
    </row>
    <row r="493" spans="1:5" x14ac:dyDescent="0.7">
      <c r="A493" t="str">
        <f>HYPERLINK("https://rocky-and-hopper.sakura.ne.jp/Kisho-Michelin/8399/978-4-8399-3160-5.htm","マイコミ将棋BOOKS とっておきの右玉")</f>
        <v>マイコミ将棋BOOKS とっておきの右玉</v>
      </c>
      <c r="B493" s="3" t="s">
        <v>12</v>
      </c>
      <c r="C493" t="s">
        <v>424</v>
      </c>
      <c r="D493" t="s">
        <v>61</v>
      </c>
      <c r="E493" s="1">
        <v>39873</v>
      </c>
    </row>
    <row r="494" spans="1:5" x14ac:dyDescent="0.7">
      <c r="A494" t="str">
        <f>HYPERLINK("https://rocky-and-hopper.sakura.ne.jp/Kisho-Michelin/89563/4-89563-668-2.htm","実力三段特訓コース")</f>
        <v>実力三段特訓コース</v>
      </c>
      <c r="B494" s="3" t="s">
        <v>40</v>
      </c>
      <c r="D494" t="s">
        <v>132</v>
      </c>
      <c r="E494" s="1">
        <v>35431</v>
      </c>
    </row>
    <row r="495" spans="1:5" x14ac:dyDescent="0.7">
      <c r="A495" t="str">
        <f>HYPERLINK("https://rocky-and-hopper.sakura.ne.jp/Kisho-Michelin/8399/978-4-8399-3136-0.htm","マイコミ将棋BOOKS 矢内理絵子の振り飛車破り")</f>
        <v>マイコミ将棋BOOKS 矢内理絵子の振り飛車破り</v>
      </c>
      <c r="B495" s="3" t="s">
        <v>12</v>
      </c>
      <c r="C495" t="s">
        <v>45</v>
      </c>
      <c r="D495" t="s">
        <v>216</v>
      </c>
      <c r="E495" s="1">
        <v>40057</v>
      </c>
    </row>
    <row r="496" spans="1:5" x14ac:dyDescent="0.7">
      <c r="A496" t="str">
        <f>HYPERLINK("https://rocky-and-hopper.sakura.ne.jp/Kisho-Michelin/262/4-262-10131-2.htm","3・5・7手実戦型詰将棋")</f>
        <v>3・5・7手実戦型詰将棋</v>
      </c>
      <c r="B496" s="3" t="s">
        <v>12</v>
      </c>
      <c r="D496" t="s">
        <v>235</v>
      </c>
      <c r="E496" s="1">
        <v>38777</v>
      </c>
    </row>
    <row r="497" spans="1:5" x14ac:dyDescent="0.7">
      <c r="A497" t="str">
        <f>HYPERLINK("https://rocky-and-hopper.sakura.ne.jp/Kisho-Michelin/09/4-09-220092-7.htm","小学館入門百科シリーズ(92) 将棋つぎの一手")</f>
        <v>小学館入門百科シリーズ(92) 将棋つぎの一手</v>
      </c>
      <c r="B497" s="3" t="s">
        <v>12</v>
      </c>
      <c r="D497" t="s">
        <v>257</v>
      </c>
      <c r="E497" s="1">
        <v>29556</v>
      </c>
    </row>
    <row r="498" spans="1:5" x14ac:dyDescent="0.7">
      <c r="A498" t="str">
        <f>HYPERLINK("https://rocky-and-hopper.sakura.ne.jp/Kisho-Michelin/262/4-262-10130-4.htm","九級から初段まで 実戦式 詰め将棋 10の手筋で初段になる")</f>
        <v>九級から初段まで 実戦式 詰め将棋 10の手筋で初段になる</v>
      </c>
      <c r="B498" s="3" t="s">
        <v>40</v>
      </c>
      <c r="D498" t="s">
        <v>254</v>
      </c>
      <c r="E498" s="1">
        <v>38412</v>
      </c>
    </row>
    <row r="499" spans="1:5" x14ac:dyDescent="0.7">
      <c r="A499" t="str">
        <f>HYPERLINK("https://rocky-and-hopper.sakura.ne.jp/Kisho-Michelin/89563/4-89563-667-4.htm","実力二段特訓コース")</f>
        <v>実力二段特訓コース</v>
      </c>
      <c r="B499" s="3" t="s">
        <v>40</v>
      </c>
      <c r="D499" t="s">
        <v>132</v>
      </c>
      <c r="E499" s="1">
        <v>35370</v>
      </c>
    </row>
    <row r="500" spans="1:5" x14ac:dyDescent="0.7">
      <c r="A500" t="str">
        <f>HYPERLINK("https://rocky-and-hopper.sakura.ne.jp/Kisho-Michelin/8399/978-4-8399-3116-2.htm","マイコミ将棋文庫SP 新5手7手詰めパラダイス")</f>
        <v>マイコミ将棋文庫SP 新5手7手詰めパラダイス</v>
      </c>
      <c r="B500" s="3" t="s">
        <v>12</v>
      </c>
      <c r="D500" t="s">
        <v>251</v>
      </c>
      <c r="E500" s="1">
        <v>39814</v>
      </c>
    </row>
    <row r="501" spans="1:5" x14ac:dyDescent="0.7">
      <c r="A501" t="str">
        <f>HYPERLINK("https://rocky-and-hopper.sakura.ne.jp/Kisho-Michelin/09/4-09-220087-0.htm","小学館入門百科シリーズ(87) 詰め将棋100問 詰め将棋を勉強して、寄せの名手になろう！")</f>
        <v>小学館入門百科シリーズ(87) 詰め将棋100問 詰め将棋を勉強して、寄せの名手になろう！</v>
      </c>
      <c r="B501" s="3" t="s">
        <v>12</v>
      </c>
      <c r="D501" t="s">
        <v>257</v>
      </c>
      <c r="E501" s="1">
        <v>29403</v>
      </c>
    </row>
    <row r="502" spans="1:5" x14ac:dyDescent="0.7">
      <c r="A502" t="str">
        <f>HYPERLINK("https://rocky-and-hopper.sakura.ne.jp/Kisho-Michelin/89563/4-89563-666-6.htm","実力初段特訓コース")</f>
        <v>実力初段特訓コース</v>
      </c>
      <c r="B502" s="3" t="s">
        <v>40</v>
      </c>
      <c r="D502" t="s">
        <v>132</v>
      </c>
      <c r="E502" s="1">
        <v>35370</v>
      </c>
    </row>
    <row r="503" spans="1:5" x14ac:dyDescent="0.7">
      <c r="A503" t="str">
        <f>HYPERLINK("https://rocky-and-hopper.sakura.ne.jp/Kisho-Michelin/8399/4-8399-0546-0.htm","新7手詰めパラダイス")</f>
        <v>新7手詰めパラダイス</v>
      </c>
      <c r="B503" s="3" t="s">
        <v>12</v>
      </c>
      <c r="D503" t="s">
        <v>251</v>
      </c>
      <c r="E503" s="1">
        <v>37012</v>
      </c>
    </row>
    <row r="504" spans="1:5" x14ac:dyDescent="0.7">
      <c r="A504" t="str">
        <f>HYPERLINK("https://rocky-and-hopper.sakura.ne.jp/Kisho-Michelin/86137/978-4-86137-019-9.htm","最強将棋21 相振り飛車を指しこなす本(3)")</f>
        <v>最強将棋21 相振り飛車を指しこなす本(3)</v>
      </c>
      <c r="B504" s="3" t="s">
        <v>12</v>
      </c>
      <c r="C504" t="s">
        <v>45</v>
      </c>
      <c r="D504" t="s">
        <v>117</v>
      </c>
      <c r="E504" s="1">
        <v>39448</v>
      </c>
    </row>
    <row r="505" spans="1:5" x14ac:dyDescent="0.7">
      <c r="A505" t="str">
        <f>HYPERLINK("https://rocky-and-hopper.sakura.ne.jp/Kisho-Michelin/8399/978-4-8399-2878-0.htm","マイコミ将棋BOOKS 相振り革命最先端")</f>
        <v>マイコミ将棋BOOKS 相振り革命最先端</v>
      </c>
      <c r="B505" s="3" t="s">
        <v>14</v>
      </c>
      <c r="C505" t="s">
        <v>466</v>
      </c>
      <c r="D505" t="s">
        <v>80</v>
      </c>
      <c r="E505" s="1">
        <v>39600</v>
      </c>
    </row>
    <row r="506" spans="1:5" x14ac:dyDescent="0.7">
      <c r="A506" t="str">
        <f>HYPERLINK("https://rocky-and-hopper.sakura.ne.jp/Kisho-Michelin/8197/978-4-8197-0252-2.htm","イメージと読みの将棋観")</f>
        <v>イメージと読みの将棋観</v>
      </c>
      <c r="B506" s="3" t="s">
        <v>14</v>
      </c>
      <c r="C506" t="s">
        <v>481</v>
      </c>
      <c r="D506" t="s">
        <v>239</v>
      </c>
      <c r="E506" s="1">
        <v>39722</v>
      </c>
    </row>
    <row r="507" spans="1:5" x14ac:dyDescent="0.7">
      <c r="A507" t="str">
        <f>HYPERLINK("https://rocky-and-hopper.sakura.ne.jp/Kisho-Michelin/905689/978-4-905689-05-8.htm","新・アマ将棋日本一になる法")</f>
        <v>新・アマ将棋日本一になる法</v>
      </c>
      <c r="B507" s="3" t="s">
        <v>40</v>
      </c>
      <c r="C507" t="s">
        <v>1</v>
      </c>
      <c r="D507" t="s">
        <v>258</v>
      </c>
      <c r="E507" s="1">
        <v>39661</v>
      </c>
    </row>
    <row r="508" spans="1:5" x14ac:dyDescent="0.7">
      <c r="A508" t="str">
        <f>HYPERLINK("https://rocky-and-hopper.sakura.ne.jp/Kisho-Michelin/8069/4-8069-1510-6.htm","初段の壁を破るシリーズ 大内の詰将棋100 初段を突破する力がつく")</f>
        <v>初段の壁を破るシリーズ 大内の詰将棋100 初段を突破する力がつく</v>
      </c>
      <c r="B508" s="3" t="s">
        <v>12</v>
      </c>
      <c r="D508" t="s">
        <v>217</v>
      </c>
      <c r="E508" s="1">
        <v>32387</v>
      </c>
    </row>
    <row r="509" spans="1:5" x14ac:dyDescent="0.7">
      <c r="A509" t="str">
        <f>HYPERLINK("https://rocky-and-hopper.sakura.ne.jp/Kisho-Michelin/334/4-334-71659-8.htm","光文社文庫 光文社将棋シリーズ(2) 天才詰将棋")</f>
        <v>光文社文庫 光文社将棋シリーズ(2) 天才詰将棋</v>
      </c>
      <c r="B509" s="3" t="s">
        <v>179</v>
      </c>
      <c r="D509" t="s">
        <v>21</v>
      </c>
      <c r="E509" s="1">
        <v>34001</v>
      </c>
    </row>
    <row r="510" spans="1:5" x14ac:dyDescent="0.7">
      <c r="A510" t="str">
        <f>HYPERLINK("https://rocky-and-hopper.sakura.ne.jp/Kisho-Michelin/930831/4-930831-38-5.htm","中原誠の 解いてごらんよ詰将棋")</f>
        <v>中原誠の 解いてごらんよ詰将棋</v>
      </c>
      <c r="B510" s="3" t="s">
        <v>12</v>
      </c>
      <c r="D510" t="s">
        <v>259</v>
      </c>
      <c r="E510" s="1">
        <v>37226</v>
      </c>
    </row>
    <row r="511" spans="1:5" x14ac:dyDescent="0.7">
      <c r="A511" t="str">
        <f>HYPERLINK("https://rocky-and-hopper.sakura.ne.jp/Kisho-Michelin/408/978-4-408-45178-7.htm","コツコツ解いて棋力アップ 詰将棋1手・3手・5手400題 初心者から初段まで")</f>
        <v>コツコツ解いて棋力アップ 詰将棋1手・3手・5手400題 初心者から初段まで</v>
      </c>
      <c r="B511" s="3" t="s">
        <v>14</v>
      </c>
      <c r="D511" t="s">
        <v>124</v>
      </c>
      <c r="E511" s="1">
        <v>39661</v>
      </c>
    </row>
    <row r="512" spans="1:5" x14ac:dyDescent="0.7">
      <c r="A512" t="str">
        <f>HYPERLINK("https://rocky-and-hopper.sakura.ne.jp/Kisho-Michelin/8399/978-4-8399-3026-4.htm","マイコミ将棋ブックス 変幻自在!! 窪田流3三角戦法")</f>
        <v>マイコミ将棋ブックス 変幻自在!! 窪田流3三角戦法</v>
      </c>
      <c r="B512" s="3" t="s">
        <v>14</v>
      </c>
      <c r="C512" t="s">
        <v>456</v>
      </c>
      <c r="D512" t="s">
        <v>230</v>
      </c>
      <c r="E512" s="1">
        <v>39753</v>
      </c>
    </row>
    <row r="513" spans="1:5" x14ac:dyDescent="0.7">
      <c r="A513" t="str">
        <f>HYPERLINK("https://rocky-and-hopper.sakura.ne.jp/Kisho-Michelin/415/978-4-415-30220-1.htm","康光流詰将棋の極意 初段・二段・三段 5手詰から13手詰まで緻密でダイナミックな150題")</f>
        <v>康光流詰将棋の極意 初段・二段・三段 5手詰から13手詰まで緻密でダイナミックな150題</v>
      </c>
      <c r="B513" s="3" t="s">
        <v>12</v>
      </c>
      <c r="D513" t="s">
        <v>129</v>
      </c>
      <c r="E513" s="1">
        <v>39753</v>
      </c>
    </row>
    <row r="514" spans="1:5" x14ac:dyDescent="0.7">
      <c r="A514" t="str">
        <f>HYPERLINK("https://rocky-and-hopper.sakura.ne.jp/Kisho-Michelin/09/978-4-09-259112-7.htm","ビッグ・コロタン(112) よくわかる将棋入門")</f>
        <v>ビッグ・コロタン(112) よくわかる将棋入門</v>
      </c>
      <c r="B514" s="3" t="s">
        <v>12</v>
      </c>
      <c r="C514" t="s">
        <v>420</v>
      </c>
      <c r="D514" t="s">
        <v>260</v>
      </c>
      <c r="E514" s="1">
        <v>39661</v>
      </c>
    </row>
    <row r="515" spans="1:5" x14ac:dyDescent="0.7">
      <c r="A515" t="str">
        <f>HYPERLINK("https://rocky-and-hopper.sakura.ne.jp/Kisho-Michelin/8399/978-4-8399-3001-1.htm","マイコミ将棋BOOKS 野獣流攻める矢倉")</f>
        <v>マイコミ将棋BOOKS 野獣流攻める矢倉</v>
      </c>
      <c r="B515" s="3" t="s">
        <v>40</v>
      </c>
      <c r="D515" t="s">
        <v>253</v>
      </c>
      <c r="E515" s="1">
        <v>39722</v>
      </c>
    </row>
    <row r="516" spans="1:5" x14ac:dyDescent="0.7">
      <c r="A516" t="str">
        <f>HYPERLINK("https://rocky-and-hopper.sakura.ne.jp/Kisho-Michelin/8291/978-4-8291-3338-5.htm","富士見ファンタジア文庫 み 2-1-1 MA棋してる！(1)")</f>
        <v>富士見ファンタジア文庫 み 2-1-1 MA棋してる！(1)</v>
      </c>
      <c r="B516" s="3" t="s">
        <v>12</v>
      </c>
      <c r="D516" t="s">
        <v>261</v>
      </c>
      <c r="E516" s="1">
        <v>39722</v>
      </c>
    </row>
    <row r="517" spans="1:5" x14ac:dyDescent="0.7">
      <c r="A517" t="str">
        <f>HYPERLINK("https://rocky-and-hopper.sakura.ne.jp/Kisho-Michelin/620/4-620-50479-3.htm","第59期将棋名人戦")</f>
        <v>第59期将棋名人戦</v>
      </c>
      <c r="B517" s="3" t="s">
        <v>179</v>
      </c>
      <c r="C517" t="s">
        <v>481</v>
      </c>
      <c r="D517" t="s">
        <v>262</v>
      </c>
      <c r="E517" s="1">
        <v>37104</v>
      </c>
    </row>
    <row r="518" spans="1:5" x14ac:dyDescent="0.7">
      <c r="A518" t="str">
        <f>HYPERLINK("https://rocky-and-hopper.sakura.ne.jp/Kisho-Michelin/14/978-4-14-016165-4.htm","NHK将棋シリーズ 佐藤康光の将棋を始めよう")</f>
        <v>NHK将棋シリーズ 佐藤康光の将棋を始めよう</v>
      </c>
      <c r="B518" s="3" t="s">
        <v>14</v>
      </c>
      <c r="D518" t="s">
        <v>129</v>
      </c>
      <c r="E518" s="1">
        <v>39661</v>
      </c>
    </row>
    <row r="519" spans="1:5" x14ac:dyDescent="0.7">
      <c r="A519" t="str">
        <f>HYPERLINK("https://rocky-and-hopper.sakura.ne.jp/Kisho-Michelin/02/978-4-02-100155-0.htm","第66期将棋名人戦七番勝負全記録 羽生十九世名人誕生")</f>
        <v>第66期将棋名人戦七番勝負全記録 羽生十九世名人誕生</v>
      </c>
      <c r="B519" s="3" t="s">
        <v>40</v>
      </c>
      <c r="C519" t="s">
        <v>482</v>
      </c>
      <c r="D519" t="s">
        <v>229</v>
      </c>
      <c r="E519" s="1">
        <v>39661</v>
      </c>
    </row>
    <row r="520" spans="1:5" x14ac:dyDescent="0.7">
      <c r="A520" t="str">
        <f>HYPERLINK("https://rocky-and-hopper.sakura.ne.jp/Kisho-Michelin/8197/978-4-8197-0010-8.htm","決断の一手！")</f>
        <v>決断の一手！</v>
      </c>
      <c r="B520" s="3" t="s">
        <v>40</v>
      </c>
      <c r="C520" t="s">
        <v>34</v>
      </c>
      <c r="D520" t="s">
        <v>254</v>
      </c>
      <c r="E520" s="1">
        <v>39630</v>
      </c>
    </row>
    <row r="521" spans="1:5" x14ac:dyDescent="0.7">
      <c r="A521" t="str">
        <f>HYPERLINK("https://rocky-and-hopper.sakura.ne.jp/Kisho-Michelin/8197/978-4-8197-0175-4.htm","のびのびしみじみ5手詰")</f>
        <v>のびのびしみじみ5手詰</v>
      </c>
      <c r="B521" s="3" t="s">
        <v>40</v>
      </c>
      <c r="D521" t="s">
        <v>189</v>
      </c>
      <c r="E521" s="1">
        <v>39630</v>
      </c>
    </row>
    <row r="522" spans="1:5" x14ac:dyDescent="0.7">
      <c r="A522" t="str">
        <f>HYPERLINK("https://rocky-and-hopper.sakura.ne.jp/Kisho-Michelin/8399/978-4-8399-2935-0.htm","マイコミ将棋ブックス 2手目の革新 3二飛戦法")</f>
        <v>マイコミ将棋ブックス 2手目の革新 3二飛戦法</v>
      </c>
      <c r="B522" s="3" t="s">
        <v>40</v>
      </c>
      <c r="C522" t="s">
        <v>45</v>
      </c>
      <c r="D522" t="s">
        <v>73</v>
      </c>
      <c r="E522" s="1">
        <v>39661</v>
      </c>
    </row>
    <row r="523" spans="1:5" x14ac:dyDescent="0.7">
      <c r="A523" t="str">
        <f>HYPERLINK("https://rocky-and-hopper.sakura.ne.jp/Kisho-Michelin/422/978-4-422-75112-2.htm","スーパー将棋講座 最強棒銀戦法 決定版 棒銀の必勝バイブル")</f>
        <v>スーパー将棋講座 最強棒銀戦法 決定版 棒銀の必勝バイブル</v>
      </c>
      <c r="B523" s="3" t="s">
        <v>14</v>
      </c>
      <c r="C523" t="s">
        <v>45</v>
      </c>
      <c r="D523" t="s">
        <v>148</v>
      </c>
      <c r="E523" s="1">
        <v>39630</v>
      </c>
    </row>
    <row r="524" spans="1:5" x14ac:dyDescent="0.7">
      <c r="A524" t="str">
        <f>HYPERLINK("https://rocky-and-hopper.sakura.ne.jp/Kisho-Michelin/09/978-4-09-387784-8.htm","女流棋士 石橋幸緒物語 〜サッちゃんの駒")</f>
        <v>女流棋士 石橋幸緒物語 〜サッちゃんの駒</v>
      </c>
      <c r="B524" s="3" t="s">
        <v>12</v>
      </c>
      <c r="E524" s="1">
        <v>39539</v>
      </c>
    </row>
    <row r="525" spans="1:5" x14ac:dyDescent="0.7">
      <c r="A525" t="str">
        <f>HYPERLINK("https://rocky-and-hopper.sakura.ne.jp/Kisho-Michelin/422/978-4-422-75111-5.htm","スーパー将棋講座 豪快四間飛車 ─徹底研究 対急戦 対持久戦")</f>
        <v>スーパー将棋講座 豪快四間飛車 ─徹底研究 対急戦 対持久戦</v>
      </c>
      <c r="B525" s="3" t="s">
        <v>12</v>
      </c>
      <c r="C525" t="s">
        <v>8</v>
      </c>
      <c r="D525" t="s">
        <v>263</v>
      </c>
      <c r="E525" s="1">
        <v>39600</v>
      </c>
    </row>
    <row r="526" spans="1:5" x14ac:dyDescent="0.7">
      <c r="A526" t="str">
        <f>HYPERLINK("https://rocky-and-hopper.sakura.ne.jp/Kisho-Michelin/620/978-4-620-50485-8.htm","第65期将棋名人戦七番勝負")</f>
        <v>第65期将棋名人戦七番勝負</v>
      </c>
      <c r="B526" s="3" t="s">
        <v>40</v>
      </c>
      <c r="C526" t="s">
        <v>1</v>
      </c>
      <c r="D526" t="s">
        <v>262</v>
      </c>
      <c r="E526" s="1">
        <v>39264</v>
      </c>
    </row>
    <row r="527" spans="1:5" x14ac:dyDescent="0.7">
      <c r="A527" t="str">
        <f>HYPERLINK("https://rocky-and-hopper.sakura.ne.jp/Kisho-Michelin/8399/978-4-8399-2907-7.htm","マイコミ将棋文庫SP 将棋・ひと目の寄せ 終盤で必ず生きる200問")</f>
        <v>マイコミ将棋文庫SP 将棋・ひと目の寄せ 終盤で必ず生きる200問</v>
      </c>
      <c r="B527" s="3" t="s">
        <v>14</v>
      </c>
      <c r="C527" t="s">
        <v>41</v>
      </c>
      <c r="D527" t="s">
        <v>132</v>
      </c>
      <c r="E527" s="1">
        <v>39630</v>
      </c>
    </row>
    <row r="528" spans="1:5" x14ac:dyDescent="0.7">
      <c r="A528" t="str">
        <f>HYPERLINK("https://rocky-and-hopper.sakura.ne.jp/Kisho-Michelin/8197/978-4-8197-0085-6.htm","初級者 将棋上達の方程式 寄せの公式")</f>
        <v>初級者 将棋上達の方程式 寄せの公式</v>
      </c>
      <c r="B528" s="3" t="s">
        <v>14</v>
      </c>
      <c r="D528" t="s">
        <v>47</v>
      </c>
      <c r="E528" s="1">
        <v>39569</v>
      </c>
    </row>
    <row r="529" spans="1:5" x14ac:dyDescent="0.7">
      <c r="A529" t="str">
        <f>HYPERLINK("https://rocky-and-hopper.sakura.ne.jp/Kisho-Michelin/8197/978-4-8197-0084-9.htm","初級者 将棋上達の方程式 囲いの公式")</f>
        <v>初級者 将棋上達の方程式 囲いの公式</v>
      </c>
      <c r="B529" s="3" t="s">
        <v>12</v>
      </c>
      <c r="D529" t="s">
        <v>165</v>
      </c>
      <c r="E529" s="1">
        <v>39569</v>
      </c>
    </row>
    <row r="530" spans="1:5" x14ac:dyDescent="0.7">
      <c r="A530" t="str">
        <f>HYPERLINK("https://rocky-and-hopper.sakura.ne.jp/Kisho-Michelin/620/4-620-50483-1.htm","第63期将棋名人戦")</f>
        <v>第63期将棋名人戦</v>
      </c>
      <c r="B530" s="3" t="s">
        <v>40</v>
      </c>
      <c r="C530" t="s">
        <v>464</v>
      </c>
      <c r="D530" t="s">
        <v>262</v>
      </c>
      <c r="E530" s="1">
        <v>38565</v>
      </c>
    </row>
    <row r="531" spans="1:5" x14ac:dyDescent="0.7">
      <c r="A531" t="str">
        <f>HYPERLINK("https://rocky-and-hopper.sakura.ne.jp/Kisho-Michelin/8399/4-8399-1093-6.htm","プロの将棋シリーズ(4) 武市流力戦筋違い角の極意")</f>
        <v>プロの将棋シリーズ(4) 武市流力戦筋違い角の極意</v>
      </c>
      <c r="B531" s="3" t="s">
        <v>40</v>
      </c>
      <c r="C531" t="s">
        <v>22</v>
      </c>
      <c r="D531" t="s">
        <v>145</v>
      </c>
      <c r="E531" s="1">
        <v>37742</v>
      </c>
    </row>
    <row r="532" spans="1:5" x14ac:dyDescent="0.7">
      <c r="A532" t="str">
        <f>HYPERLINK("https://rocky-and-hopper.sakura.ne.jp/Kisho-Michelin/620/4-620-50482-3.htm","第62期将棋名人戦")</f>
        <v>第62期将棋名人戦</v>
      </c>
      <c r="B532" s="3" t="s">
        <v>40</v>
      </c>
      <c r="C532" t="s">
        <v>264</v>
      </c>
      <c r="D532" t="s">
        <v>262</v>
      </c>
      <c r="E532" s="1">
        <v>38169</v>
      </c>
    </row>
    <row r="533" spans="1:5" x14ac:dyDescent="0.7">
      <c r="A533" t="str">
        <f>HYPERLINK("https://rocky-and-hopper.sakura.ne.jp/Kisho-Michelin/620/4-620-50481-5.htm","第61期将棋名人戦")</f>
        <v>第61期将棋名人戦</v>
      </c>
      <c r="B533" s="3" t="s">
        <v>179</v>
      </c>
      <c r="C533" t="s">
        <v>483</v>
      </c>
      <c r="D533" t="s">
        <v>262</v>
      </c>
      <c r="E533" s="1">
        <v>37803</v>
      </c>
    </row>
    <row r="534" spans="1:5" x14ac:dyDescent="0.7">
      <c r="A534" t="str">
        <f>HYPERLINK("https://rocky-and-hopper.sakura.ne.jp/Kisho-Michelin/86137/978-4-86137-021-2.htm","最強将棋レクチャーブックス(4) 四間飛車がわかる本")</f>
        <v>最強将棋レクチャーブックス(4) 四間飛車がわかる本</v>
      </c>
      <c r="B534" s="3" t="s">
        <v>14</v>
      </c>
      <c r="C534" t="s">
        <v>8</v>
      </c>
      <c r="D534" t="s">
        <v>265</v>
      </c>
      <c r="E534" s="1">
        <v>39630</v>
      </c>
    </row>
    <row r="535" spans="1:5" x14ac:dyDescent="0.7">
      <c r="A535" t="str">
        <f>HYPERLINK("https://rocky-and-hopper.sakura.ne.jp/Kisho-Michelin/620/4-620-50480-7.htm","第60期将棋名人戦")</f>
        <v>第60期将棋名人戦</v>
      </c>
      <c r="B535" s="3" t="s">
        <v>179</v>
      </c>
      <c r="C535" t="s">
        <v>483</v>
      </c>
      <c r="D535" t="s">
        <v>262</v>
      </c>
      <c r="E535" s="1">
        <v>37438</v>
      </c>
    </row>
    <row r="536" spans="1:5" x14ac:dyDescent="0.7">
      <c r="A536" t="str">
        <f>HYPERLINK("https://rocky-and-hopper.sakura.ne.jp/Kisho-Michelin/422/978-4-422-75110-8.htm","スーパー将棋講座 寄せの極意 終盤の華麗な技で勝利をつかめ！")</f>
        <v>スーパー将棋講座 寄せの極意 終盤の華麗な技で勝利をつかめ！</v>
      </c>
      <c r="B536" s="3" t="s">
        <v>14</v>
      </c>
      <c r="C536" t="s">
        <v>20</v>
      </c>
      <c r="D536" t="s">
        <v>56</v>
      </c>
      <c r="E536" s="1">
        <v>39479</v>
      </c>
    </row>
    <row r="537" spans="1:5" x14ac:dyDescent="0.7">
      <c r="A537" t="str">
        <f>HYPERLINK("https://rocky-and-hopper.sakura.ne.jp/Kisho-Michelin/8399/4-8399-2133-4.htm","MYCOM将棋文庫SP 将棋・ひと目の手筋 初段の壁を突破する208問")</f>
        <v>MYCOM将棋文庫SP 将棋・ひと目の手筋 初段の壁を突破する208問</v>
      </c>
      <c r="B537" s="3" t="s">
        <v>14</v>
      </c>
      <c r="D537" t="s">
        <v>266</v>
      </c>
      <c r="E537" s="1">
        <v>38930</v>
      </c>
    </row>
    <row r="538" spans="1:5" x14ac:dyDescent="0.7">
      <c r="A538" t="str">
        <f>HYPERLINK("https://rocky-and-hopper.sakura.ne.jp/Kisho-Michelin/422/4-422-75102-6.htm","将棋必勝シリーズ なんでも棒銀")</f>
        <v>将棋必勝シリーズ なんでも棒銀</v>
      </c>
      <c r="B538" s="3" t="s">
        <v>12</v>
      </c>
      <c r="C538" t="s">
        <v>418</v>
      </c>
      <c r="D538" t="s">
        <v>255</v>
      </c>
      <c r="E538" s="1">
        <v>38078</v>
      </c>
    </row>
    <row r="539" spans="1:5" x14ac:dyDescent="0.7">
      <c r="A539" t="str">
        <f>HYPERLINK("https://rocky-and-hopper.sakura.ne.jp/Kisho-Michelin/422/978-4-422-75038-5.htm","将棋入門の次に読む本 「もう一度基本を」という方にも最適！")</f>
        <v>将棋入門の次に読む本 「もう一度基本を」という方にも最適！</v>
      </c>
      <c r="B539" s="3" t="s">
        <v>40</v>
      </c>
      <c r="C539" t="s">
        <v>45</v>
      </c>
      <c r="D539" t="s">
        <v>267</v>
      </c>
      <c r="E539" s="1">
        <v>39539</v>
      </c>
    </row>
    <row r="540" spans="1:5" x14ac:dyDescent="0.7">
      <c r="A540" t="str">
        <f>HYPERLINK("https://rocky-and-hopper.sakura.ne.jp/Kisho-Michelin/643/978-4-643-08003-2.htm","第二十期竜王決定七番勝負 激闘譜 渡辺明 VS 佐藤康光")</f>
        <v>第二十期竜王決定七番勝負 激闘譜 渡辺明 VS 佐藤康光</v>
      </c>
      <c r="B540" s="3" t="s">
        <v>40</v>
      </c>
      <c r="C540" t="s">
        <v>122</v>
      </c>
      <c r="D540" t="s">
        <v>252</v>
      </c>
      <c r="E540" s="1">
        <v>39508</v>
      </c>
    </row>
    <row r="541" spans="1:5" x14ac:dyDescent="0.7">
      <c r="A541" t="str">
        <f>HYPERLINK("https://rocky-and-hopper.sakura.ne.jp/Kisho-Michelin/8399/978-4-8399-2303-7.htm","MYCOM将棋ブックス 杉本昌隆の振り飛車破り")</f>
        <v>MYCOM将棋ブックス 杉本昌隆の振り飛車破り</v>
      </c>
      <c r="B541" s="3" t="s">
        <v>14</v>
      </c>
      <c r="C541" t="s">
        <v>430</v>
      </c>
      <c r="D541" t="s">
        <v>80</v>
      </c>
      <c r="E541" s="1">
        <v>39114</v>
      </c>
    </row>
    <row r="542" spans="1:5" x14ac:dyDescent="0.7">
      <c r="A542" t="str">
        <f>HYPERLINK("https://rocky-and-hopper.sakura.ne.jp/Kisho-Michelin/8197/978-4-8197-0083-2.htm","初級者 将棋上達の方程式 手筋の公式［基礎編］")</f>
        <v>初級者 将棋上達の方程式 手筋の公式［基礎編］</v>
      </c>
      <c r="B542" s="3" t="s">
        <v>12</v>
      </c>
      <c r="D542" t="s">
        <v>17</v>
      </c>
      <c r="E542" s="1">
        <v>39479</v>
      </c>
    </row>
    <row r="543" spans="1:5" x14ac:dyDescent="0.7">
      <c r="A543" t="str">
        <f>HYPERLINK("https://rocky-and-hopper.sakura.ne.jp/Kisho-Michelin/09/978-4-09-227119-7.htm","小学生将棋名人戦 公式ガイドブック")</f>
        <v>小学生将棋名人戦 公式ガイドブック</v>
      </c>
      <c r="B543" s="3" t="s">
        <v>12</v>
      </c>
      <c r="C543" t="s">
        <v>417</v>
      </c>
      <c r="D543" t="s">
        <v>484</v>
      </c>
      <c r="E543" s="1">
        <v>39508</v>
      </c>
    </row>
    <row r="544" spans="1:5" x14ac:dyDescent="0.7">
      <c r="A544" t="str">
        <f>HYPERLINK("https://rocky-and-hopper.sakura.ne.jp/Kisho-Michelin/8399/978-4-8399-2803-2.htm","マイコミ将棋ブックス 角交換振り穴スペシャル")</f>
        <v>マイコミ将棋ブックス 角交換振り穴スペシャル</v>
      </c>
      <c r="B544" s="3" t="s">
        <v>12</v>
      </c>
      <c r="C544" t="s">
        <v>20</v>
      </c>
      <c r="D544" t="s">
        <v>268</v>
      </c>
      <c r="E544" s="1">
        <v>39508</v>
      </c>
    </row>
    <row r="545" spans="1:5" x14ac:dyDescent="0.7">
      <c r="A545" t="str">
        <f>HYPERLINK("https://rocky-and-hopper.sakura.ne.jp/Kisho-Michelin/14/978-4-14-016162-3.htm","NHK将棋シリーズ 渡辺明の居飛車対振り飛車�U 〜四間飛車編〜")</f>
        <v>NHK将棋シリーズ 渡辺明の居飛車対振り飛車�U 〜四間飛車編〜</v>
      </c>
      <c r="B545" s="3" t="s">
        <v>14</v>
      </c>
      <c r="C545" t="s">
        <v>420</v>
      </c>
      <c r="D545" t="s">
        <v>211</v>
      </c>
      <c r="E545" s="1">
        <v>39479</v>
      </c>
    </row>
    <row r="546" spans="1:5" x14ac:dyDescent="0.7">
      <c r="A546" t="str">
        <f>HYPERLINK("https://rocky-and-hopper.sakura.ne.jp/Kisho-Michelin/14/978-4-14-016161-6.htm","NHK将棋シリーズ 渡辺明の居飛車対振り飛車�T 〜中飛車・三間飛車・向かい飛車編〜")</f>
        <v>NHK将棋シリーズ 渡辺明の居飛車対振り飛車�T 〜中飛車・三間飛車・向かい飛車編〜</v>
      </c>
      <c r="B546" s="3" t="s">
        <v>14</v>
      </c>
      <c r="C546" t="s">
        <v>446</v>
      </c>
      <c r="D546" t="s">
        <v>211</v>
      </c>
      <c r="E546" s="1">
        <v>39479</v>
      </c>
    </row>
    <row r="547" spans="1:5" x14ac:dyDescent="0.7">
      <c r="A547" t="str">
        <f>HYPERLINK("https://rocky-and-hopper.sakura.ne.jp/Kisho-Michelin/262/978-4-262-10143-9.htm","将棋3手詰入門ドリル 簡単な問題から実戦形式まで、反復して「勝つ形」を覚えよう！")</f>
        <v>将棋3手詰入門ドリル 簡単な問題から実戦形式まで、反復して「勝つ形」を覚えよう！</v>
      </c>
      <c r="B547" s="3" t="s">
        <v>14</v>
      </c>
      <c r="D547" t="s">
        <v>269</v>
      </c>
      <c r="E547" s="1">
        <v>39539</v>
      </c>
    </row>
    <row r="548" spans="1:5" x14ac:dyDescent="0.7">
      <c r="A548" t="str">
        <f>HYPERLINK("https://rocky-and-hopper.sakura.ne.jp/Kisho-Michelin/408/978-4-408-45153-4.htm","スイスイ解こう 詰将棋オール1手412題 超初心者から3級まで")</f>
        <v>スイスイ解こう 詰将棋オール1手412題 超初心者から3級まで</v>
      </c>
      <c r="B548" s="3" t="s">
        <v>12</v>
      </c>
      <c r="D548" t="s">
        <v>124</v>
      </c>
      <c r="E548" s="1">
        <v>39539</v>
      </c>
    </row>
    <row r="549" spans="1:5" x14ac:dyDescent="0.7">
      <c r="A549" t="str">
        <f>HYPERLINK("https://rocky-and-hopper.sakura.ne.jp/Kisho-Michelin/8399/978-4-8399-2769-1.htm","新鋭振り飛車実戦集")</f>
        <v>新鋭振り飛車実戦集</v>
      </c>
      <c r="B549" s="3" t="s">
        <v>40</v>
      </c>
      <c r="C549" t="s">
        <v>45</v>
      </c>
      <c r="D549" t="s">
        <v>270</v>
      </c>
      <c r="E549" s="1">
        <v>39479</v>
      </c>
    </row>
    <row r="550" spans="1:5" x14ac:dyDescent="0.7">
      <c r="A550" t="str">
        <f>HYPERLINK("https://rocky-and-hopper.sakura.ne.jp/Kisho-Michelin/8399/978-4-8399-2511-6.htm","マイコミ将棋文庫SP 将棋・ひと目の定跡")</f>
        <v>マイコミ将棋文庫SP 将棋・ひと目の定跡</v>
      </c>
      <c r="B550" s="3" t="s">
        <v>12</v>
      </c>
      <c r="C550" t="s">
        <v>20</v>
      </c>
      <c r="D550" t="s">
        <v>132</v>
      </c>
      <c r="E550" s="1">
        <v>39264</v>
      </c>
    </row>
    <row r="551" spans="1:5" x14ac:dyDescent="0.7">
      <c r="A551" t="str">
        <f>HYPERLINK("https://rocky-and-hopper.sakura.ne.jp/Kisho-Michelin/262/4-262-10123-1.htm","勝つ将棋・攻め方入門 気持ちいいほど攻めの急所がわかる")</f>
        <v>勝つ将棋・攻め方入門 気持ちいいほど攻めの急所がわかる</v>
      </c>
      <c r="B551" s="3" t="s">
        <v>12</v>
      </c>
      <c r="C551" t="s">
        <v>485</v>
      </c>
      <c r="D551" t="s">
        <v>254</v>
      </c>
      <c r="E551" s="1">
        <v>35947</v>
      </c>
    </row>
    <row r="552" spans="1:5" x14ac:dyDescent="0.7">
      <c r="A552" t="str">
        <f>HYPERLINK("https://rocky-and-hopper.sakura.ne.jp/Kisho-Michelin/408/4-408-40349-0.htm","サクサク解こう 詰将棋1手・3手200題 超初心者から１級まで")</f>
        <v>サクサク解こう 詰将棋1手・3手200題 超初心者から１級まで</v>
      </c>
      <c r="B552" s="3" t="s">
        <v>12</v>
      </c>
      <c r="D552" t="s">
        <v>124</v>
      </c>
      <c r="E552" s="1">
        <v>39052</v>
      </c>
    </row>
    <row r="553" spans="1:5" x14ac:dyDescent="0.7">
      <c r="A553" t="str">
        <f>HYPERLINK("https://rocky-and-hopper.sakura.ne.jp/Kisho-Michelin/480/978-4-480-06392-2.htm","ちくま選書 頭脳勝負 ─将棋の世界")</f>
        <v>ちくま選書 頭脳勝負 ─将棋の世界</v>
      </c>
      <c r="B553" s="3" t="s">
        <v>14</v>
      </c>
      <c r="D553" t="s">
        <v>211</v>
      </c>
      <c r="E553" s="1">
        <v>39387</v>
      </c>
    </row>
    <row r="554" spans="1:5" x14ac:dyDescent="0.7">
      <c r="A554" t="str">
        <f>HYPERLINK("https://rocky-and-hopper.sakura.ne.jp/Kisho-Michelin/14/978-4-14-016156-2.htm","NHK将棋講座 中井広恵の駒の自然な使い方")</f>
        <v>NHK将棋講座 中井広恵の駒の自然な使い方</v>
      </c>
      <c r="B554" s="3" t="s">
        <v>12</v>
      </c>
      <c r="D554" t="s">
        <v>271</v>
      </c>
      <c r="E554" s="1">
        <v>39387</v>
      </c>
    </row>
    <row r="555" spans="1:5" x14ac:dyDescent="0.7">
      <c r="A555" t="str">
        <f>HYPERLINK("https://rocky-and-hopper.sakura.ne.jp/Kisho-Michelin/8399/978-4-8399-2694-6.htm","週将ブックス 二段の力")</f>
        <v>週将ブックス 二段の力</v>
      </c>
      <c r="B555" s="3" t="s">
        <v>40</v>
      </c>
      <c r="D555" t="s">
        <v>132</v>
      </c>
      <c r="E555" s="1">
        <v>39417</v>
      </c>
    </row>
    <row r="556" spans="1:5" x14ac:dyDescent="0.7">
      <c r="A556" t="str">
        <f>HYPERLINK("https://rocky-and-hopper.sakura.ne.jp/Kisho-Michelin/06/4-06-352022-6.htm","イブニングKC(22) 父ちゃんの王将 全1巻")</f>
        <v>イブニングKC(22) 父ちゃんの王将 全1巻</v>
      </c>
      <c r="B556" s="3" t="s">
        <v>40</v>
      </c>
      <c r="D556" t="s">
        <v>272</v>
      </c>
      <c r="E556" s="1">
        <v>37653</v>
      </c>
    </row>
    <row r="557" spans="1:5" x14ac:dyDescent="0.7">
      <c r="A557" t="str">
        <f>HYPERLINK("https://rocky-and-hopper.sakura.ne.jp/Kisho-Michelin/8399/978-4-8399-2731-8.htm","マイコミ将棋文庫SP 将棋・ひと目の端攻め")</f>
        <v>マイコミ将棋文庫SP 将棋・ひと目の端攻め</v>
      </c>
      <c r="B557" s="3" t="s">
        <v>14</v>
      </c>
      <c r="C557" t="s">
        <v>20</v>
      </c>
      <c r="D557" t="s">
        <v>132</v>
      </c>
      <c r="E557" s="1">
        <v>39448</v>
      </c>
    </row>
    <row r="558" spans="1:5" x14ac:dyDescent="0.7">
      <c r="A558" t="str">
        <f>HYPERLINK("https://rocky-and-hopper.sakura.ne.jp/Kisho-Michelin/8399/978-4-8399-2655-7.htm","週将ブックス 痛快！ワンダー戦法")</f>
        <v>週将ブックス 痛快！ワンダー戦法</v>
      </c>
      <c r="B558" s="3" t="s">
        <v>12</v>
      </c>
      <c r="C558" t="s">
        <v>427</v>
      </c>
      <c r="D558" t="s">
        <v>132</v>
      </c>
      <c r="E558" s="1">
        <v>39387</v>
      </c>
    </row>
    <row r="559" spans="1:5" x14ac:dyDescent="0.7">
      <c r="A559" t="str">
        <f>HYPERLINK("https://rocky-and-hopper.sakura.ne.jp/Kisho-Michelin/8083/978-4-8083-0880-3.htm","棋神─中野英伴写真集")</f>
        <v>棋神─中野英伴写真集</v>
      </c>
      <c r="B559" s="3" t="s">
        <v>273</v>
      </c>
      <c r="E559" s="1">
        <v>39356</v>
      </c>
    </row>
    <row r="560" spans="1:5" x14ac:dyDescent="0.7">
      <c r="A560" t="str">
        <f>HYPERLINK("https://rocky-and-hopper.sakura.ne.jp/Kisho-Michelin/8197/978-4-8197-0081-8.htm","超初心者 将棋上達の方程式")</f>
        <v>超初心者 将棋上達の方程式</v>
      </c>
      <c r="B560" s="3" t="s">
        <v>12</v>
      </c>
      <c r="C560" t="s">
        <v>8</v>
      </c>
      <c r="D560" t="s">
        <v>256</v>
      </c>
      <c r="E560" s="1">
        <v>39387</v>
      </c>
    </row>
    <row r="561" spans="1:5" x14ac:dyDescent="0.7">
      <c r="A561" t="str">
        <f>HYPERLINK("https://rocky-and-hopper.sakura.ne.jp/Kisho-Michelin/381/978-4-381-02324-7.htm","久保利明の振り飛車の手筋(1) さばきの四間飛車・急戦編 対棒銀を含めた急戦対策をさばきのアーティストが徹底講義！")</f>
        <v>久保利明の振り飛車の手筋(1) さばきの四間飛車・急戦編 対棒銀を含めた急戦対策をさばきのアーティストが徹底講義！</v>
      </c>
      <c r="B561" s="3" t="s">
        <v>12</v>
      </c>
      <c r="C561" t="s">
        <v>452</v>
      </c>
      <c r="D561" t="s">
        <v>134</v>
      </c>
      <c r="E561" s="1">
        <v>39356</v>
      </c>
    </row>
    <row r="562" spans="1:5" x14ac:dyDescent="0.7">
      <c r="A562" t="str">
        <f>HYPERLINK("https://rocky-and-hopper.sakura.ne.jp/Kisho-Michelin/8399/978-4-8399-2622-9.htm","とっておきの相穴熊")</f>
        <v>とっておきの相穴熊</v>
      </c>
      <c r="B562" s="3" t="s">
        <v>14</v>
      </c>
      <c r="C562" t="s">
        <v>445</v>
      </c>
      <c r="D562" t="s">
        <v>274</v>
      </c>
      <c r="E562" s="1">
        <v>39356</v>
      </c>
    </row>
    <row r="563" spans="1:5" x14ac:dyDescent="0.7">
      <c r="A563" t="str">
        <f>HYPERLINK("https://rocky-and-hopper.sakura.ne.jp/Kisho-Michelin/422/978-4-422-75121-4.htm","パワーアップシリーズ 実戦手筋 次の一手")</f>
        <v>パワーアップシリーズ 実戦手筋 次の一手</v>
      </c>
      <c r="B563" s="3" t="s">
        <v>12</v>
      </c>
      <c r="C563" t="s">
        <v>20</v>
      </c>
      <c r="D563" t="s">
        <v>38</v>
      </c>
      <c r="E563" s="1">
        <v>39387</v>
      </c>
    </row>
    <row r="564" spans="1:5" x14ac:dyDescent="0.7">
      <c r="A564" t="str">
        <f>HYPERLINK("https://rocky-and-hopper.sakura.ne.jp/Kisho-Michelin/8399/978-4-8399-2617-5.htm","マイコミ将棋文庫SP 手筋の力 初級編")</f>
        <v>マイコミ将棋文庫SP 手筋の力 初級編</v>
      </c>
      <c r="B564" s="3" t="s">
        <v>12</v>
      </c>
      <c r="D564" t="s">
        <v>275</v>
      </c>
      <c r="E564" s="1">
        <v>39356</v>
      </c>
    </row>
    <row r="565" spans="1:5" x14ac:dyDescent="0.7">
      <c r="A565" t="str">
        <f>HYPERLINK("https://rocky-and-hopper.sakura.ne.jp/Kisho-Michelin/14/4-14-016083-7.htm","NHK将棋シリーズ 武者野勝巳の これなら実力初段 2")</f>
        <v>NHK将棋シリーズ 武者野勝巳の これなら実力初段 2</v>
      </c>
      <c r="B565" s="3" t="s">
        <v>14</v>
      </c>
      <c r="C565" t="s">
        <v>440</v>
      </c>
      <c r="D565" t="s">
        <v>143</v>
      </c>
      <c r="E565" s="1">
        <v>35217</v>
      </c>
    </row>
    <row r="566" spans="1:5" x14ac:dyDescent="0.7">
      <c r="A566" t="str">
        <f>HYPERLINK("https://rocky-and-hopper.sakura.ne.jp/Kisho-Michelin/253/4-253-01055-5.htm","秋田書店・将棋教室シリーズ(4) 寄せと詰め 終盤の攻めの手筋")</f>
        <v>秋田書店・将棋教室シリーズ(4) 寄せと詰め 終盤の攻めの手筋</v>
      </c>
      <c r="B566" s="3" t="s">
        <v>12</v>
      </c>
      <c r="D566" t="s">
        <v>246</v>
      </c>
      <c r="E566" s="1">
        <v>31594</v>
      </c>
    </row>
    <row r="567" spans="1:5" x14ac:dyDescent="0.7">
      <c r="A567" t="str">
        <f>HYPERLINK("https://rocky-and-hopper.sakura.ne.jp/Kisho-Michelin/253/4-253-01054-7.htm","秋田書店・将棋教室シリーズ(3) 受けと反撃 守りの種類と手順")</f>
        <v>秋田書店・将棋教室シリーズ(3) 受けと反撃 守りの種類と手順</v>
      </c>
      <c r="B567" s="3" t="s">
        <v>40</v>
      </c>
      <c r="C567" t="s">
        <v>475</v>
      </c>
      <c r="D567" t="s">
        <v>246</v>
      </c>
      <c r="E567" s="1">
        <v>31382</v>
      </c>
    </row>
    <row r="568" spans="1:5" x14ac:dyDescent="0.7">
      <c r="A568" t="str">
        <f>HYPERLINK("https://rocky-and-hopper.sakura.ne.jp/Kisho-Michelin/89563/4-89563-569-4.htm","定跡百科ワークブック(1) 基本定跡マスター")</f>
        <v>定跡百科ワークブック(1) 基本定跡マスター</v>
      </c>
      <c r="B568" s="3" t="s">
        <v>12</v>
      </c>
      <c r="C568" t="s">
        <v>467</v>
      </c>
      <c r="D568" t="s">
        <v>132</v>
      </c>
      <c r="E568" s="1">
        <v>33786</v>
      </c>
    </row>
    <row r="569" spans="1:5" x14ac:dyDescent="0.7">
      <c r="A569" t="str">
        <f>HYPERLINK("https://rocky-and-hopper.sakura.ne.jp/Kisho-Michelin/8399/978-4-8399-2587-1.htm","マイコミ将棋BOOKS 相振り飛車 基本のキ")</f>
        <v>マイコミ将棋BOOKS 相振り飛車 基本のキ</v>
      </c>
      <c r="B569" s="3" t="s">
        <v>14</v>
      </c>
      <c r="C569" t="s">
        <v>45</v>
      </c>
      <c r="D569" t="s">
        <v>170</v>
      </c>
      <c r="E569" s="1">
        <v>39326</v>
      </c>
    </row>
    <row r="570" spans="1:5" x14ac:dyDescent="0.7">
      <c r="A570" t="str">
        <f>HYPERLINK("https://rocky-and-hopper.sakura.ne.jp/Kisho-Michelin/381/4-381-00603-8.htm","MAN TO MAN BOOKS スラスラ出来る 将棋定跡集")</f>
        <v>MAN TO MAN BOOKS スラスラ出来る 将棋定跡集</v>
      </c>
      <c r="B570" s="3" t="s">
        <v>12</v>
      </c>
      <c r="C570" t="s">
        <v>486</v>
      </c>
      <c r="D570" t="s">
        <v>71</v>
      </c>
      <c r="E570" s="1">
        <v>29160</v>
      </c>
    </row>
    <row r="571" spans="1:5" x14ac:dyDescent="0.7">
      <c r="A571" t="str">
        <f>HYPERLINK("https://rocky-and-hopper.sakura.ne.jp/Kisho-Michelin/8399/4-8399-1291-2.htm","休日の午後に解く 三段次の一手")</f>
        <v>休日の午後に解く 三段次の一手</v>
      </c>
      <c r="B571" s="3" t="s">
        <v>40</v>
      </c>
      <c r="D571" t="s">
        <v>132</v>
      </c>
      <c r="E571" s="1">
        <v>37926</v>
      </c>
    </row>
    <row r="572" spans="1:5" x14ac:dyDescent="0.7">
      <c r="A572" t="str">
        <f>HYPERLINK("https://rocky-and-hopper.sakura.ne.jp/Kisho-Michelin/14/4-14-016080-2.htm","NHK将棋シリーズ 武者野勝巳の これなら実力初段 1")</f>
        <v>NHK将棋シリーズ 武者野勝巳の これなら実力初段 1</v>
      </c>
      <c r="B572" s="3" t="s">
        <v>14</v>
      </c>
      <c r="D572" t="s">
        <v>143</v>
      </c>
      <c r="E572" s="1">
        <v>35096</v>
      </c>
    </row>
    <row r="573" spans="1:5" x14ac:dyDescent="0.7">
      <c r="A573" t="str">
        <f>HYPERLINK("https://rocky-and-hopper.sakura.ne.jp/Kisho-Michelin/262/978-4-262-10142-2.htm","将棋1手詰入門ドリル まずは1手詰を覚えよう 280問 「勝つ形」を繰り返し覚えて勝率UP!")</f>
        <v>将棋1手詰入門ドリル まずは1手詰を覚えよう 280問 「勝つ形」を繰り返し覚えて勝率UP!</v>
      </c>
      <c r="B573" s="3" t="s">
        <v>14</v>
      </c>
      <c r="D573" t="s">
        <v>269</v>
      </c>
      <c r="E573" s="1">
        <v>39356</v>
      </c>
    </row>
    <row r="574" spans="1:5" x14ac:dyDescent="0.7">
      <c r="A574" t="str">
        <f>HYPERLINK("https://rocky-and-hopper.sakura.ne.jp/Kisho-Michelin/8399/978-4-8399-2588-8.htm","マイコミ将棋文庫SP 1から始める詰将棋")</f>
        <v>マイコミ将棋文庫SP 1から始める詰将棋</v>
      </c>
      <c r="B574" s="3" t="s">
        <v>14</v>
      </c>
      <c r="D574" t="s">
        <v>132</v>
      </c>
      <c r="E574" s="1">
        <v>39326</v>
      </c>
    </row>
    <row r="575" spans="1:5" x14ac:dyDescent="0.7">
      <c r="A575" t="str">
        <f>HYPERLINK("https://rocky-and-hopper.sakura.ne.jp/Kisho-Michelin/381/978-4-381-02291-2.htm","佐藤康光の居飛車の手筋(2) 強襲・矢倉編 3七銀戦法から対右四間飛車まで、緩急自在の佐藤流")</f>
        <v>佐藤康光の居飛車の手筋(2) 強襲・矢倉編 3七銀戦法から対右四間飛車まで、緩急自在の佐藤流</v>
      </c>
      <c r="B575" s="3" t="s">
        <v>14</v>
      </c>
      <c r="C575" t="s">
        <v>133</v>
      </c>
      <c r="D575" t="s">
        <v>129</v>
      </c>
      <c r="E575" s="1">
        <v>39295</v>
      </c>
    </row>
    <row r="576" spans="1:5" x14ac:dyDescent="0.7">
      <c r="A576" t="str">
        <f>HYPERLINK("https://rocky-and-hopper.sakura.ne.jp/Kisho-Michelin/8399/4-8399-1290-4.htm","電車の中で解く 二段次の一手")</f>
        <v>電車の中で解く 二段次の一手</v>
      </c>
      <c r="B576" s="3" t="s">
        <v>40</v>
      </c>
      <c r="D576" t="s">
        <v>132</v>
      </c>
      <c r="E576" s="1">
        <v>37895</v>
      </c>
    </row>
    <row r="577" spans="1:5" x14ac:dyDescent="0.7">
      <c r="A577" t="str">
        <f>HYPERLINK("https://rocky-and-hopper.sakura.ne.jp/Kisho-Michelin/8399/4-8399-2123-7.htm","ひらめき次の一手 初段編")</f>
        <v>ひらめき次の一手 初段編</v>
      </c>
      <c r="B577" s="3" t="s">
        <v>40</v>
      </c>
      <c r="D577" t="s">
        <v>276</v>
      </c>
      <c r="E577" s="1">
        <v>38869</v>
      </c>
    </row>
    <row r="578" spans="1:5" x14ac:dyDescent="0.7">
      <c r="A578" t="str">
        <f>HYPERLINK("https://rocky-and-hopper.sakura.ne.jp/Kisho-Michelin/8399/4-8399-0837-0.htm","中級必修 次の一手105")</f>
        <v>中級必修 次の一手105</v>
      </c>
      <c r="B578" s="3" t="s">
        <v>179</v>
      </c>
      <c r="D578" t="s">
        <v>132</v>
      </c>
      <c r="E578" s="1">
        <v>37500</v>
      </c>
    </row>
    <row r="579" spans="1:5" x14ac:dyDescent="0.7">
      <c r="A579" t="str">
        <f>HYPERLINK("https://rocky-and-hopper.sakura.ne.jp/Kisho-Michelin/89563/4-89563-524-4.htm","週将ブックスオレンジシリーズ(16) 相振り飛車にツヨくなれ この一冊でパーフェクト")</f>
        <v>週将ブックスオレンジシリーズ(16) 相振り飛車にツヨくなれ この一冊でパーフェクト</v>
      </c>
      <c r="B579" s="3" t="s">
        <v>12</v>
      </c>
      <c r="C579" t="s">
        <v>45</v>
      </c>
      <c r="D579" t="s">
        <v>135</v>
      </c>
      <c r="E579" s="1">
        <v>32325</v>
      </c>
    </row>
    <row r="580" spans="1:5" x14ac:dyDescent="0.7">
      <c r="A580" t="str">
        <f>HYPERLINK("https://rocky-and-hopper.sakura.ne.jp/Kisho-Michelin/8399/978-4-8399-2552-9.htm","週将ブックス 裏定跡の決め手")</f>
        <v>週将ブックス 裏定跡の決め手</v>
      </c>
      <c r="B580" s="3" t="s">
        <v>12</v>
      </c>
      <c r="C580" t="s">
        <v>420</v>
      </c>
      <c r="D580" t="s">
        <v>132</v>
      </c>
      <c r="E580" s="1">
        <v>39295</v>
      </c>
    </row>
    <row r="581" spans="1:5" x14ac:dyDescent="0.7">
      <c r="A581" t="str">
        <f>HYPERLINK("https://rocky-and-hopper.sakura.ne.jp/Kisho-Michelin/06/4-06-211633-2.htm","島ノート 振り飛車編")</f>
        <v>島ノート 振り飛車編</v>
      </c>
      <c r="B581" s="3" t="s">
        <v>0</v>
      </c>
      <c r="C581" t="s">
        <v>419</v>
      </c>
      <c r="D581" t="s">
        <v>2</v>
      </c>
      <c r="E581" s="1">
        <v>37591</v>
      </c>
    </row>
    <row r="582" spans="1:5" x14ac:dyDescent="0.7">
      <c r="A582" t="str">
        <f>HYPERLINK("https://rocky-and-hopper.sakura.ne.jp/Kisho-Michelin/8399/978-4-8399-2551-2.htm","3手1組プロの技")</f>
        <v>3手1組プロの技</v>
      </c>
      <c r="B582" s="3" t="s">
        <v>12</v>
      </c>
      <c r="D582" t="s">
        <v>74</v>
      </c>
      <c r="E582" s="1">
        <v>39295</v>
      </c>
    </row>
    <row r="583" spans="1:5" x14ac:dyDescent="0.7">
      <c r="A583" t="str">
        <f>HYPERLINK("https://rocky-and-hopper.sakura.ne.jp/Kisho-Michelin/422/978-4-422-75109-2.htm","スーパー将棋講座 最新矢倉戦法 徹底研究▲3七銀戦法")</f>
        <v>スーパー将棋講座 最新矢倉戦法 徹底研究▲3七銀戦法</v>
      </c>
      <c r="B583" s="3" t="s">
        <v>14</v>
      </c>
      <c r="C583" t="s">
        <v>20</v>
      </c>
      <c r="D583" t="s">
        <v>56</v>
      </c>
      <c r="E583" s="1">
        <v>39295</v>
      </c>
    </row>
    <row r="584" spans="1:5" x14ac:dyDescent="0.7">
      <c r="A584" t="str">
        <f>HYPERLINK("https://rocky-and-hopper.sakura.ne.jp/Kisho-Michelin/86137/978-4-86137-018-2.htm","最強将棋21 相振り飛車を指しこなす本(2)")</f>
        <v>最強将棋21 相振り飛車を指しこなす本(2)</v>
      </c>
      <c r="B584" s="3" t="s">
        <v>12</v>
      </c>
      <c r="C584" t="s">
        <v>45</v>
      </c>
      <c r="D584" t="s">
        <v>117</v>
      </c>
      <c r="E584" s="1">
        <v>39326</v>
      </c>
    </row>
    <row r="585" spans="1:5" x14ac:dyDescent="0.7">
      <c r="A585" t="str">
        <f>HYPERLINK("https://rocky-and-hopper.sakura.ne.jp/Kisho-Michelin/8197/4-8197-0165-7.htm","ラクラク次の一手(2) 基本手筋集")</f>
        <v>ラクラク次の一手(2) 基本手筋集</v>
      </c>
      <c r="B585" s="3" t="s">
        <v>12</v>
      </c>
      <c r="C585" t="s">
        <v>34</v>
      </c>
      <c r="D585" t="s">
        <v>256</v>
      </c>
      <c r="E585" s="1">
        <v>37712</v>
      </c>
    </row>
    <row r="586" spans="1:5" x14ac:dyDescent="0.7">
      <c r="A586" t="str">
        <f>HYPERLINK("https://rocky-and-hopper.sakura.ne.jp/Kisho-Michelin/381/978-4-381-02275-2.htm","佐藤康光の居飛車の手筋(1) 四間飛車粉砕編 急戦から居飛車穴熊まで、緩急自在の佐藤流")</f>
        <v>佐藤康光の居飛車の手筋(1) 四間飛車粉砕編 急戦から居飛車穴熊まで、緩急自在の佐藤流</v>
      </c>
      <c r="B586" s="3" t="s">
        <v>12</v>
      </c>
      <c r="C586" t="s">
        <v>133</v>
      </c>
      <c r="D586" t="s">
        <v>129</v>
      </c>
      <c r="E586" s="1">
        <v>39203</v>
      </c>
    </row>
    <row r="587" spans="1:5" x14ac:dyDescent="0.7">
      <c r="A587" t="str">
        <f>HYPERLINK("https://rocky-and-hopper.sakura.ne.jp/Kisho-Michelin/04/978-4-04-710107-4.htm","角川ワンテーマ21 ボナンザVS勝負脳 ―最強将棋ソフトは人間を超えるか")</f>
        <v>角川ワンテーマ21 ボナンザVS勝負脳 ―最強将棋ソフトは人間を超えるか</v>
      </c>
      <c r="B587" s="3" t="s">
        <v>12</v>
      </c>
      <c r="D587" t="s">
        <v>277</v>
      </c>
      <c r="E587" s="1">
        <v>39295</v>
      </c>
    </row>
    <row r="588" spans="1:5" x14ac:dyDescent="0.7">
      <c r="A588" t="str">
        <f>HYPERLINK("https://rocky-and-hopper.sakura.ne.jp/Kisho-Michelin/8399/4-8399-0078-7.htm","振り飛車新世紀(5) 鈴木流相振り飛車")</f>
        <v>振り飛車新世紀(5) 鈴木流相振り飛車</v>
      </c>
      <c r="B588" s="3" t="s">
        <v>12</v>
      </c>
      <c r="C588" t="s">
        <v>45</v>
      </c>
      <c r="D588" t="s">
        <v>152</v>
      </c>
      <c r="E588" s="1">
        <v>36100</v>
      </c>
    </row>
    <row r="589" spans="1:5" x14ac:dyDescent="0.7">
      <c r="A589" t="str">
        <f>HYPERLINK("https://rocky-and-hopper.sakura.ne.jp/Kisho-Michelin/8197/4-8197-0359-5.htm","パーフェクトシリーズ 続・〔定跡〕相振り飛車 囲い方別、最新最強の攻防を徹底解説！！")</f>
        <v>パーフェクトシリーズ 続・〔定跡〕相振り飛車 囲い方別、最新最強の攻防を徹底解説！！</v>
      </c>
      <c r="B589" s="3" t="s">
        <v>40</v>
      </c>
      <c r="C589" t="s">
        <v>45</v>
      </c>
      <c r="D589" t="s">
        <v>135</v>
      </c>
      <c r="E589" s="1">
        <v>36434</v>
      </c>
    </row>
    <row r="590" spans="1:5" x14ac:dyDescent="0.7">
      <c r="A590" t="str">
        <f>HYPERLINK("https://rocky-and-hopper.sakura.ne.jp/Kisho-Michelin/415/4-415-04619-3.htm","早指し将棋の指し方")</f>
        <v>早指し将棋の指し方</v>
      </c>
      <c r="B590" s="3" t="s">
        <v>40</v>
      </c>
      <c r="C590" t="s">
        <v>436</v>
      </c>
      <c r="D590" t="s">
        <v>278</v>
      </c>
      <c r="E590" s="1">
        <v>29526</v>
      </c>
    </row>
    <row r="591" spans="1:5" x14ac:dyDescent="0.7">
      <c r="A591" t="str">
        <f>HYPERLINK("https://rocky-and-hopper.sakura.ne.jp/Kisho-Michelin/415/4-415-08666-7.htm","新しい詰将棋 一級・二級・三級 三手詰から九手詰に挑む")</f>
        <v>新しい詰将棋 一級・二級・三級 三手詰から九手詰に挑む</v>
      </c>
      <c r="B591" s="3" t="s">
        <v>40</v>
      </c>
      <c r="D591" t="s">
        <v>279</v>
      </c>
      <c r="E591" s="1">
        <v>36039</v>
      </c>
    </row>
    <row r="592" spans="1:5" x14ac:dyDescent="0.7">
      <c r="A592" t="str">
        <f>HYPERLINK("https://rocky-and-hopper.sakura.ne.jp/Kisho-Michelin/0076/0076-0210-7432.htm","将棋パズル 脳ミソをシェイプ・アップする本")</f>
        <v>将棋パズル 脳ミソをシェイプ・アップする本</v>
      </c>
      <c r="B592" s="3" t="s">
        <v>232</v>
      </c>
      <c r="D592" t="s">
        <v>280</v>
      </c>
      <c r="E592" s="1">
        <v>29860</v>
      </c>
    </row>
    <row r="593" spans="1:5" x14ac:dyDescent="0.7">
      <c r="A593" t="str">
        <f>HYPERLINK("https://rocky-and-hopper.sakura.ne.jp/Kisho-Michelin/8399/4-8399-1235-1.htm","プロの将棋シリーズ(5) 小倉流向かい飛車の極意")</f>
        <v>プロの将棋シリーズ(5) 小倉流向かい飛車の極意</v>
      </c>
      <c r="B593" s="3" t="s">
        <v>40</v>
      </c>
      <c r="C593" t="s">
        <v>22</v>
      </c>
      <c r="D593" t="s">
        <v>103</v>
      </c>
      <c r="E593" s="1">
        <v>37865</v>
      </c>
    </row>
    <row r="594" spans="1:5" x14ac:dyDescent="0.7">
      <c r="A594" t="str">
        <f>HYPERLINK("https://rocky-and-hopper.sakura.ne.jp/Kisho-Michelin/422/978-4-422-75120-7.htm","パワーアップシリーズ 3手・5手詰将棋")</f>
        <v>パワーアップシリーズ 3手・5手詰将棋</v>
      </c>
      <c r="B594" s="3" t="s">
        <v>12</v>
      </c>
      <c r="D594" t="s">
        <v>124</v>
      </c>
      <c r="E594" s="1">
        <v>39295</v>
      </c>
    </row>
    <row r="595" spans="1:5" x14ac:dyDescent="0.7">
      <c r="A595" t="str">
        <f>HYPERLINK("https://rocky-and-hopper.sakura.ne.jp/Kisho-Michelin/643/978-4-643-07003-3.htm","第十九期竜王決定七番勝負 激闘譜 渡辺明 VS 佐藤康光")</f>
        <v>第十九期竜王決定七番勝負 激闘譜 渡辺明 VS 佐藤康光</v>
      </c>
      <c r="B595" s="3" t="s">
        <v>40</v>
      </c>
      <c r="C595" t="s">
        <v>122</v>
      </c>
      <c r="D595" t="s">
        <v>252</v>
      </c>
      <c r="E595" s="1">
        <v>39173</v>
      </c>
    </row>
    <row r="596" spans="1:5" x14ac:dyDescent="0.7">
      <c r="A596" t="str">
        <f>HYPERLINK("https://rocky-and-hopper.sakura.ne.jp/Kisho-Michelin/8197/978-4-8197-0172-3.htm","5級からの詰将棋81")</f>
        <v>5級からの詰将棋81</v>
      </c>
      <c r="B596" s="3" t="s">
        <v>40</v>
      </c>
      <c r="D596" t="s">
        <v>129</v>
      </c>
      <c r="E596" s="1">
        <v>39173</v>
      </c>
    </row>
    <row r="597" spans="1:5" x14ac:dyDescent="0.7">
      <c r="A597" t="str">
        <f>HYPERLINK("https://rocky-and-hopper.sakura.ne.jp/Kisho-Michelin/8399/4-8399-2182-2.htm","振り飛車の真髄(2) 石田流の極意 〜先手番の最強戦法")</f>
        <v>振り飛車の真髄(2) 石田流の極意 〜先手番の最強戦法</v>
      </c>
      <c r="B597" s="3" t="s">
        <v>12</v>
      </c>
      <c r="C597" t="s">
        <v>41</v>
      </c>
      <c r="D597" t="s">
        <v>152</v>
      </c>
      <c r="E597" s="1">
        <v>38991</v>
      </c>
    </row>
    <row r="598" spans="1:5" x14ac:dyDescent="0.7">
      <c r="A598" t="str">
        <f>HYPERLINK("https://rocky-and-hopper.sakura.ne.jp/Kisho-Michelin/8399/4-8399-0464-2.htm","高田流新戦略３手目７八金")</f>
        <v>高田流新戦略３手目７八金</v>
      </c>
      <c r="B598" s="3" t="s">
        <v>12</v>
      </c>
      <c r="C598" t="s">
        <v>487</v>
      </c>
      <c r="D598" t="s">
        <v>140</v>
      </c>
      <c r="E598" s="1">
        <v>37469</v>
      </c>
    </row>
    <row r="599" spans="1:5" x14ac:dyDescent="0.7">
      <c r="A599" t="str">
        <f>HYPERLINK("https://rocky-and-hopper.sakura.ne.jp/Kisho-Michelin/569/978-4-569-65917-6.htm","図解 羽生善治の頭脳強化ドリル 直感力、集中力、決断力、構想力を鍛える")</f>
        <v>図解 羽生善治の頭脳強化ドリル 直感力、集中力、決断力、構想力を鍛える</v>
      </c>
      <c r="B599" s="3" t="s">
        <v>12</v>
      </c>
      <c r="D599" t="s">
        <v>21</v>
      </c>
      <c r="E599" s="1">
        <v>39083</v>
      </c>
    </row>
    <row r="600" spans="1:5" x14ac:dyDescent="0.7">
      <c r="A600" t="str">
        <f>HYPERLINK("https://rocky-and-hopper.sakura.ne.jp/Kisho-Michelin/381/978-4-381-02261-5.htm","森信雄の勝ちにいく！詰将棋ドリル(3) 三手詰めよりやさしい！簡単五手詰め")</f>
        <v>森信雄の勝ちにいく！詰将棋ドリル(3) 三手詰めよりやさしい！簡単五手詰め</v>
      </c>
      <c r="B600" s="3" t="s">
        <v>14</v>
      </c>
      <c r="D600" t="s">
        <v>124</v>
      </c>
      <c r="E600" s="1">
        <v>39173</v>
      </c>
    </row>
    <row r="601" spans="1:5" x14ac:dyDescent="0.7">
      <c r="A601" t="str">
        <f>HYPERLINK("https://rocky-and-hopper.sakura.ne.jp/Kisho-Michelin/8197/4-8197-0352-8.htm","日将ブックス 升田式石田流 最新の振飛車戦法を詳細解説")</f>
        <v>日将ブックス 升田式石田流 最新の振飛車戦法を詳細解説</v>
      </c>
      <c r="B601" s="3" t="s">
        <v>12</v>
      </c>
      <c r="C601" t="s">
        <v>22</v>
      </c>
      <c r="D601" t="s">
        <v>281</v>
      </c>
      <c r="E601" t="s">
        <v>282</v>
      </c>
    </row>
    <row r="602" spans="1:5" x14ac:dyDescent="0.7">
      <c r="A602" t="str">
        <f>HYPERLINK("https://rocky-and-hopper.sakura.ne.jp/Kisho-Michelin/8399/4-8399-1640-3.htm","東大将棋ブックス 石田流道場")</f>
        <v>東大将棋ブックス 石田流道場</v>
      </c>
      <c r="B602" s="3" t="s">
        <v>12</v>
      </c>
      <c r="C602" t="s">
        <v>488</v>
      </c>
      <c r="D602" t="s">
        <v>44</v>
      </c>
      <c r="E602" s="1">
        <v>38322</v>
      </c>
    </row>
    <row r="603" spans="1:5" x14ac:dyDescent="0.7">
      <c r="A603" t="str">
        <f>HYPERLINK("https://rocky-and-hopper.sakura.ne.jp/Kisho-Michelin/422/4-422-75097-6.htm","スーパー将棋講座 決定版 石田流新定跡")</f>
        <v>スーパー将棋講座 決定版 石田流新定跡</v>
      </c>
      <c r="B603" s="3" t="s">
        <v>12</v>
      </c>
      <c r="C603" t="s">
        <v>41</v>
      </c>
      <c r="D603" t="s">
        <v>152</v>
      </c>
      <c r="E603" s="1">
        <v>38353</v>
      </c>
    </row>
    <row r="604" spans="1:5" x14ac:dyDescent="0.7">
      <c r="A604" t="str">
        <f>HYPERLINK("https://rocky-and-hopper.sakura.ne.jp/Kisho-Michelin/86137/978-4-86137-017-5.htm","相振り飛車を指しこなす本(1)")</f>
        <v>相振り飛車を指しこなす本(1)</v>
      </c>
      <c r="B604" s="3" t="s">
        <v>14</v>
      </c>
      <c r="C604" t="s">
        <v>45</v>
      </c>
      <c r="D604" t="s">
        <v>117</v>
      </c>
      <c r="E604" s="1">
        <v>39234</v>
      </c>
    </row>
    <row r="605" spans="1:5" x14ac:dyDescent="0.7">
      <c r="A605" t="str">
        <f>HYPERLINK("https://rocky-and-hopper.sakura.ne.jp/Kisho-Michelin/86137/4-86137-007-8.htm","最強将棋21 四間飛車の急所(4) 最強の4一金型")</f>
        <v>最強将棋21 四間飛車の急所(4) 最強の4一金型</v>
      </c>
      <c r="B605" s="3" t="s">
        <v>14</v>
      </c>
      <c r="C605" t="s">
        <v>8</v>
      </c>
      <c r="D605" t="s">
        <v>117</v>
      </c>
      <c r="E605" s="1">
        <v>38412</v>
      </c>
    </row>
    <row r="606" spans="1:5" x14ac:dyDescent="0.7">
      <c r="A606" t="str">
        <f>HYPERLINK("https://rocky-and-hopper.sakura.ne.jp/Kisho-Michelin/0076/0076-100105-0316.htm","親と子の詰め方と詰め将棋教室")</f>
        <v>親と子の詰め方と詰め将棋教室</v>
      </c>
      <c r="B606" s="3" t="s">
        <v>40</v>
      </c>
      <c r="D606" t="s">
        <v>283</v>
      </c>
      <c r="E606" s="1">
        <v>29434</v>
      </c>
    </row>
    <row r="607" spans="1:5" x14ac:dyDescent="0.7">
      <c r="A607" t="str">
        <f>HYPERLINK("https://rocky-and-hopper.sakura.ne.jp/Kisho-Michelin/262/4-262-10132-0.htm","超実戦 駒を取る詰将棋 敵の駒を使ってトドメに使う新しい型の詰将棋")</f>
        <v>超実戦 駒を取る詰将棋 敵の駒を使ってトドメに使う新しい型の詰将棋</v>
      </c>
      <c r="B607" s="3" t="s">
        <v>12</v>
      </c>
      <c r="D607" t="s">
        <v>235</v>
      </c>
      <c r="E607" s="1">
        <v>39052</v>
      </c>
    </row>
    <row r="608" spans="1:5" x14ac:dyDescent="0.7">
      <c r="A608" t="str">
        <f>HYPERLINK("https://rocky-and-hopper.sakura.ne.jp/Kisho-Michelin/86137/4-86137-004-3.htm","最強将棋21 四間飛車の急所(2) 急戦大全【上】")</f>
        <v>最強将棋21 四間飛車の急所(2) 急戦大全【上】</v>
      </c>
      <c r="B608" s="3" t="s">
        <v>14</v>
      </c>
      <c r="C608" t="s">
        <v>8</v>
      </c>
      <c r="D608" t="s">
        <v>117</v>
      </c>
      <c r="E608" s="1">
        <v>38200</v>
      </c>
    </row>
    <row r="609" spans="1:5" x14ac:dyDescent="0.7">
      <c r="A609" t="str">
        <f>HYPERLINK("https://rocky-and-hopper.sakura.ne.jp/Kisho-Michelin/86137/978-4-86137-016-8.htm","最強将棋21 最新戦法の話")</f>
        <v>最強将棋21 最新戦法の話</v>
      </c>
      <c r="B609" s="3" t="s">
        <v>0</v>
      </c>
      <c r="C609" t="s">
        <v>489</v>
      </c>
      <c r="D609" t="s">
        <v>162</v>
      </c>
      <c r="E609" s="1">
        <v>39173</v>
      </c>
    </row>
    <row r="610" spans="1:5" x14ac:dyDescent="0.7">
      <c r="A610" t="str">
        <f>HYPERLINK("https://rocky-and-hopper.sakura.ne.jp/Kisho-Michelin/422/978-4-422-75119-1.htm","パワーアップシリーズ 1手・3手必至問題")</f>
        <v>パワーアップシリーズ 1手・3手必至問題</v>
      </c>
      <c r="B610" s="3" t="s">
        <v>14</v>
      </c>
      <c r="D610" t="s">
        <v>267</v>
      </c>
      <c r="E610" s="1">
        <v>39173</v>
      </c>
    </row>
    <row r="611" spans="1:5" x14ac:dyDescent="0.7">
      <c r="A611" t="str">
        <f>HYPERLINK("https://rocky-and-hopper.sakura.ne.jp/Kisho-Michelin/8197/4-8197-0384-6.htm","パワーアップシリーズ 読むだけで強くなる 終盤のコツ130 実戦でよく現れる寄せ手筋集！")</f>
        <v>パワーアップシリーズ 読むだけで強くなる 終盤のコツ130 実戦でよく現れる寄せ手筋集！</v>
      </c>
      <c r="B611" s="3" t="s">
        <v>14</v>
      </c>
      <c r="D611" t="s">
        <v>71</v>
      </c>
      <c r="E611" s="1">
        <v>38961</v>
      </c>
    </row>
    <row r="612" spans="1:5" x14ac:dyDescent="0.7">
      <c r="A612" t="str">
        <f>HYPERLINK("https://rocky-and-hopper.sakura.ne.jp/Kisho-Michelin/8197/978-4-8197-0385-7.htm","羽生の法則 Volume 6 仕掛け")</f>
        <v>羽生の法則 Volume 6 仕掛け</v>
      </c>
      <c r="B612" s="3" t="s">
        <v>40</v>
      </c>
      <c r="C612" t="s">
        <v>490</v>
      </c>
      <c r="D612" t="s">
        <v>284</v>
      </c>
      <c r="E612" s="1">
        <v>39142</v>
      </c>
    </row>
    <row r="613" spans="1:5" x14ac:dyDescent="0.7">
      <c r="A613" t="str">
        <f>HYPERLINK("https://rocky-and-hopper.sakura.ne.jp/Kisho-Michelin/8399/4-8399-2013-3.htm","将棋定跡最先端 振り飛車編")</f>
        <v>将棋定跡最先端 振り飛車編</v>
      </c>
      <c r="B613" s="3" t="s">
        <v>12</v>
      </c>
      <c r="C613" t="s">
        <v>415</v>
      </c>
      <c r="D613" t="s">
        <v>44</v>
      </c>
      <c r="E613" s="1">
        <v>38777</v>
      </c>
    </row>
    <row r="614" spans="1:5" x14ac:dyDescent="0.7">
      <c r="A614" t="str">
        <f>HYPERLINK("https://rocky-and-hopper.sakura.ne.jp/Kisho-Michelin/422/4-422-75106-9.htm","スーパー将棋講座 いまさら聞けない将棋Q&amp;A")</f>
        <v>スーパー将棋講座 いまさら聞けない将棋Q&amp;A</v>
      </c>
      <c r="B614" s="3" t="s">
        <v>14</v>
      </c>
      <c r="C614" t="s">
        <v>416</v>
      </c>
      <c r="D614" t="s">
        <v>263</v>
      </c>
      <c r="E614" s="1">
        <v>38899</v>
      </c>
    </row>
    <row r="615" spans="1:5" x14ac:dyDescent="0.7">
      <c r="A615" t="str">
        <f>HYPERLINK("https://rocky-and-hopper.sakura.ne.jp/Kisho-Michelin/89287/4-89287-025-0.htm","王将ブックス ポケット版 ─振飛車シリーズ�X 袖飛車戦法")</f>
        <v>王将ブックス ポケット版 ─振飛車シリーズ�X 袖飛車戦法</v>
      </c>
      <c r="B615" s="3" t="s">
        <v>12</v>
      </c>
      <c r="C615" t="s">
        <v>428</v>
      </c>
      <c r="D615" t="s">
        <v>237</v>
      </c>
      <c r="E615" t="s">
        <v>285</v>
      </c>
    </row>
    <row r="616" spans="1:5" x14ac:dyDescent="0.7">
      <c r="A616" t="str">
        <f>HYPERLINK("https://rocky-and-hopper.sakura.ne.jp/Kisho-Michelin/89287/4-89287-083-8.htm","王将ブックス ポケット版 ─実戦振飛車シリーズ�W 型破り振飛車の急所")</f>
        <v>王将ブックス ポケット版 ─実戦振飛車シリーズ�W 型破り振飛車の急所</v>
      </c>
      <c r="B616" s="3" t="s">
        <v>40</v>
      </c>
      <c r="C616" t="s">
        <v>473</v>
      </c>
      <c r="D616" t="s">
        <v>237</v>
      </c>
      <c r="E616" s="1">
        <v>27668</v>
      </c>
    </row>
    <row r="617" spans="1:5" x14ac:dyDescent="0.7">
      <c r="A617" t="str">
        <f>HYPERLINK("https://rocky-and-hopper.sakura.ne.jp/Kisho-Michelin/89287/4-89287-081-1.htm","王将ブックス ポケット版 ─実戦振飛車シリーズ�U 攻める振飛車の急所")</f>
        <v>王将ブックス ポケット版 ─実戦振飛車シリーズ�U 攻める振飛車の急所</v>
      </c>
      <c r="B617" s="3" t="s">
        <v>12</v>
      </c>
      <c r="C617" t="s">
        <v>122</v>
      </c>
      <c r="D617" t="s">
        <v>237</v>
      </c>
      <c r="E617" s="1">
        <v>27061</v>
      </c>
    </row>
    <row r="618" spans="1:5" x14ac:dyDescent="0.7">
      <c r="A618" t="str">
        <f>HYPERLINK("https://rocky-and-hopper.sakura.ne.jp/Kisho-Michelin/8197/978-4-8197-0171-6.htm","3手詰ハンドブック(2)")</f>
        <v>3手詰ハンドブック(2)</v>
      </c>
      <c r="B618" s="3" t="s">
        <v>12</v>
      </c>
      <c r="D618" t="s">
        <v>214</v>
      </c>
      <c r="E618" s="1">
        <v>39142</v>
      </c>
    </row>
    <row r="619" spans="1:5" x14ac:dyDescent="0.7">
      <c r="A619" t="str">
        <f>HYPERLINK("https://rocky-and-hopper.sakura.ne.jp/Kisho-Michelin/89563/4-89563-509-0.htm","週将ブックスグリーンシリーズ(2) 将棋ウンチク漫画 ダイナミック一手指南")</f>
        <v>週将ブックスグリーンシリーズ(2) 将棋ウンチク漫画 ダイナミック一手指南</v>
      </c>
      <c r="B619" s="3" t="s">
        <v>40</v>
      </c>
      <c r="E619" s="1">
        <v>31747</v>
      </c>
    </row>
    <row r="620" spans="1:5" x14ac:dyDescent="0.7">
      <c r="A620" t="str">
        <f>HYPERLINK("https://rocky-and-hopper.sakura.ne.jp/Kisho-Michelin/8458/4-8458-3208-9.htm","勝者の常識 将棋力 一日五分でカンタン初段")</f>
        <v>勝者の常識 将棋力 一日五分でカンタン初段</v>
      </c>
      <c r="B620" s="3" t="s">
        <v>40</v>
      </c>
      <c r="D620" t="s">
        <v>185</v>
      </c>
      <c r="E620" s="1">
        <v>38899</v>
      </c>
    </row>
    <row r="621" spans="1:5" x14ac:dyDescent="0.7">
      <c r="A621" t="str">
        <f>HYPERLINK("https://rocky-and-hopper.sakura.ne.jp/Kisho-Michelin/8399/4-8399-1746-9.htm","相振り革命 3")</f>
        <v>相振り革命 3</v>
      </c>
      <c r="B621" s="3" t="s">
        <v>0</v>
      </c>
      <c r="C621" t="s">
        <v>417</v>
      </c>
      <c r="D621" t="s">
        <v>80</v>
      </c>
      <c r="E621" s="1">
        <v>38473</v>
      </c>
    </row>
    <row r="622" spans="1:5" x14ac:dyDescent="0.7">
      <c r="A622" t="str">
        <f>HYPERLINK("https://rocky-and-hopper.sakura.ne.jp/Kisho-Michelin/8197/4-8197-0059-6.htm","激闘シリーズ第3弾！ 力戦！相振飛車の戦い")</f>
        <v>激闘シリーズ第3弾！ 力戦！相振飛車の戦い</v>
      </c>
      <c r="B622" s="3" t="s">
        <v>14</v>
      </c>
      <c r="C622" t="s">
        <v>41</v>
      </c>
      <c r="D622" t="s">
        <v>286</v>
      </c>
      <c r="E622" s="1">
        <v>30376</v>
      </c>
    </row>
    <row r="623" spans="1:5" x14ac:dyDescent="0.7">
      <c r="A623" t="str">
        <f>HYPERLINK("https://rocky-and-hopper.sakura.ne.jp/Kisho-Michelin/8399/4-8399-0396-4.htm","新相振り革命")</f>
        <v>新相振り革命</v>
      </c>
      <c r="B623" s="3" t="s">
        <v>14</v>
      </c>
      <c r="C623" t="s">
        <v>45</v>
      </c>
      <c r="D623" t="s">
        <v>80</v>
      </c>
      <c r="E623" s="1">
        <v>36800</v>
      </c>
    </row>
    <row r="624" spans="1:5" x14ac:dyDescent="0.7">
      <c r="A624" t="str">
        <f>HYPERLINK("https://rocky-and-hopper.sakura.ne.jp/Kisho-Michelin/537/4-537-01577-2.htm","一人で楽しめる詰将棋100題 超短編の三手詰から奇手・妙手の九手詰まで")</f>
        <v>一人で楽しめる詰将棋100題 超短編の三手詰から奇手・妙手の九手詰まで</v>
      </c>
      <c r="B624" s="3" t="s">
        <v>12</v>
      </c>
      <c r="D624" t="s">
        <v>287</v>
      </c>
      <c r="E624" s="1">
        <v>33848</v>
      </c>
    </row>
    <row r="625" spans="1:5" x14ac:dyDescent="0.7">
      <c r="A625" t="str">
        <f>HYPERLINK("https://rocky-and-hopper.sakura.ne.jp/Kisho-Michelin/06/4-06-103823-0.htm","コミックノベルス(23) 殺人の棋譜")</f>
        <v>コミックノベルス(23) 殺人の棋譜</v>
      </c>
      <c r="B625" s="3" t="s">
        <v>12</v>
      </c>
      <c r="E625" s="1">
        <v>31048</v>
      </c>
    </row>
    <row r="626" spans="1:5" x14ac:dyDescent="0.7">
      <c r="A626" t="str">
        <f>HYPERLINK("https://rocky-and-hopper.sakura.ne.jp/Kisho-Michelin/309/4-309-72273-3.htm","先崎式将棋レクチャー＆トーク ホントに勝てる穴熊")</f>
        <v>先崎式将棋レクチャー＆トーク ホントに勝てる穴熊</v>
      </c>
      <c r="B626" s="3" t="s">
        <v>14</v>
      </c>
      <c r="C626" t="s">
        <v>20</v>
      </c>
      <c r="D626" t="s">
        <v>186</v>
      </c>
      <c r="E626" s="1">
        <v>37653</v>
      </c>
    </row>
    <row r="627" spans="1:5" x14ac:dyDescent="0.7">
      <c r="A627" t="str">
        <f>HYPERLINK("https://rocky-and-hopper.sakura.ne.jp/Kisho-Michelin/8399/4-8399-0016-7.htm","実力倍増特訓コース")</f>
        <v>実力倍増特訓コース</v>
      </c>
      <c r="B627" s="3" t="s">
        <v>40</v>
      </c>
      <c r="D627" t="s">
        <v>132</v>
      </c>
      <c r="E627" s="1">
        <v>35947</v>
      </c>
    </row>
    <row r="628" spans="1:5" x14ac:dyDescent="0.7">
      <c r="A628" t="str">
        <f>HYPERLINK("https://rocky-and-hopper.sakura.ne.jp/Kisho-Michelin/89563/4-89563-598-8.htm","王手！将棋戦国絵巻")</f>
        <v>王手！将棋戦国絵巻</v>
      </c>
      <c r="B628" s="3" t="s">
        <v>273</v>
      </c>
      <c r="D628" t="s">
        <v>288</v>
      </c>
      <c r="E628" s="1">
        <v>34455</v>
      </c>
    </row>
    <row r="629" spans="1:5" x14ac:dyDescent="0.7">
      <c r="A629" t="str">
        <f>HYPERLINK("https://rocky-and-hopper.sakura.ne.jp/Kisho-Michelin/87520/4-87520-127-3.htm","実用文庫 ハウツウ詰将棋")</f>
        <v>実用文庫 ハウツウ詰将棋</v>
      </c>
      <c r="B629" s="3" t="s">
        <v>14</v>
      </c>
      <c r="D629" t="s">
        <v>289</v>
      </c>
      <c r="E629" s="1">
        <v>30682</v>
      </c>
    </row>
    <row r="630" spans="1:5" x14ac:dyDescent="0.7">
      <c r="A630" t="str">
        <f>HYPERLINK("https://rocky-and-hopper.sakura.ne.jp/Kisho-Michelin/422/4-422-75089-5.htm","将 将棋必勝シリーズ 杉本流四間飛車の定跡 居飛車の右四間飛車・▲4五歩早仕掛けを粉砕")</f>
        <v>将 将棋必勝シリーズ 杉本流四間飛車の定跡 居飛車の右四間飛車・▲4五歩早仕掛けを粉砕</v>
      </c>
      <c r="B630" s="3" t="s">
        <v>14</v>
      </c>
      <c r="C630" t="s">
        <v>8</v>
      </c>
      <c r="D630" t="s">
        <v>80</v>
      </c>
      <c r="E630" s="1">
        <v>37956</v>
      </c>
    </row>
    <row r="631" spans="1:5" x14ac:dyDescent="0.7">
      <c r="A631" t="str">
        <f>HYPERLINK("https://rocky-and-hopper.sakura.ne.jp/Kisho-Michelin/8197/4-8197-0361-7.htm","実戦教室 攻める振り飛車 四間飛車穴熊&amp;力戦振り飛車")</f>
        <v>実戦教室 攻める振り飛車 四間飛車穴熊&amp;力戦振り飛車</v>
      </c>
      <c r="B631" s="3" t="s">
        <v>40</v>
      </c>
      <c r="C631" t="s">
        <v>452</v>
      </c>
      <c r="D631" t="s">
        <v>152</v>
      </c>
      <c r="E631" s="1">
        <v>36617</v>
      </c>
    </row>
    <row r="632" spans="1:5" x14ac:dyDescent="0.7">
      <c r="A632" t="str">
        <f>HYPERLINK("https://rocky-and-hopper.sakura.ne.jp/Kisho-Michelin/8399/4-8399-0015-9.htm","実力向上特訓コース")</f>
        <v>実力向上特訓コース</v>
      </c>
      <c r="B632" s="3" t="s">
        <v>40</v>
      </c>
      <c r="D632" t="s">
        <v>132</v>
      </c>
      <c r="E632" s="1">
        <v>35947</v>
      </c>
    </row>
    <row r="633" spans="1:5" x14ac:dyDescent="0.7">
      <c r="A633" t="str">
        <f>HYPERLINK("https://rocky-and-hopper.sakura.ne.jp/Kisho-Michelin/89563/4-89563-628-3.htm","新スーパー四間飛車�U")</f>
        <v>新スーパー四間飛車�U</v>
      </c>
      <c r="B633" s="3" t="s">
        <v>14</v>
      </c>
      <c r="C633" t="s">
        <v>8</v>
      </c>
      <c r="D633" t="s">
        <v>135</v>
      </c>
      <c r="E633" s="1">
        <v>34790</v>
      </c>
    </row>
    <row r="634" spans="1:5" x14ac:dyDescent="0.7">
      <c r="A634" t="str">
        <f>HYPERLINK("https://rocky-and-hopper.sakura.ne.jp/Kisho-Michelin/89563/4-89563-604-6.htm","新スーパー四間飛車�T")</f>
        <v>新スーパー四間飛車�T</v>
      </c>
      <c r="B634" s="3" t="s">
        <v>14</v>
      </c>
      <c r="C634" t="s">
        <v>8</v>
      </c>
      <c r="D634" t="s">
        <v>135</v>
      </c>
      <c r="E634" s="1">
        <v>34547</v>
      </c>
    </row>
    <row r="635" spans="1:5" x14ac:dyDescent="0.7">
      <c r="A635" t="str">
        <f>HYPERLINK("https://rocky-and-hopper.sakura.ne.jp/Kisho-Michelin/309/4-309-72272-5.htm","先崎式将棋レクチャー＆トーク ホントに勝てる振り飛車")</f>
        <v>先崎式将棋レクチャー＆トーク ホントに勝てる振り飛車</v>
      </c>
      <c r="B635" s="3" t="s">
        <v>14</v>
      </c>
      <c r="C635" t="s">
        <v>422</v>
      </c>
      <c r="D635" t="s">
        <v>186</v>
      </c>
      <c r="E635" s="1">
        <v>37622</v>
      </c>
    </row>
    <row r="636" spans="1:5" x14ac:dyDescent="0.7">
      <c r="A636" t="str">
        <f>HYPERLINK("https://rocky-and-hopper.sakura.ne.jp/Kisho-Michelin/8399/4-8399-0000-0.htm","右脳パズル 次の一手")</f>
        <v>右脳パズル 次の一手</v>
      </c>
      <c r="B636" s="3" t="s">
        <v>12</v>
      </c>
      <c r="E636" s="1">
        <v>36039</v>
      </c>
    </row>
    <row r="637" spans="1:5" x14ac:dyDescent="0.7">
      <c r="A637" t="str">
        <f>HYPERLINK("https://rocky-and-hopper.sakura.ne.jp/Kisho-Michelin/14/4-14-016145-0.htm","NHK将棋シリーズ 屋敷伸之の囲いの崩し方")</f>
        <v>NHK将棋シリーズ 屋敷伸之の囲いの崩し方</v>
      </c>
      <c r="B637" s="3" t="s">
        <v>40</v>
      </c>
      <c r="C637" t="s">
        <v>20</v>
      </c>
      <c r="D637" t="s">
        <v>165</v>
      </c>
      <c r="E637" s="1">
        <v>38961</v>
      </c>
    </row>
    <row r="638" spans="1:5" x14ac:dyDescent="0.7">
      <c r="A638" t="str">
        <f>HYPERLINK("https://rocky-and-hopper.sakura.ne.jp/Kisho-Michelin/422/4-422-75107-7.htm","スーパー将棋講座 不思議流 受けのヒント")</f>
        <v>スーパー将棋講座 不思議流 受けのヒント</v>
      </c>
      <c r="B638" s="3" t="s">
        <v>12</v>
      </c>
      <c r="D638" t="s">
        <v>290</v>
      </c>
      <c r="E638" s="1">
        <v>38930</v>
      </c>
    </row>
    <row r="639" spans="1:5" x14ac:dyDescent="0.7">
      <c r="A639" t="str">
        <f>HYPERLINK("https://rocky-and-hopper.sakura.ne.jp/Kisho-Michelin/86137/4-86137-010-8.htm","最強将棋21 四間飛車破り【居飛車穴熊編】")</f>
        <v>最強将棋21 四間飛車破り【居飛車穴熊編】</v>
      </c>
      <c r="B639" s="3" t="s">
        <v>0</v>
      </c>
      <c r="C639" t="s">
        <v>420</v>
      </c>
      <c r="D639" t="s">
        <v>211</v>
      </c>
      <c r="E639" s="1">
        <v>38504</v>
      </c>
    </row>
    <row r="640" spans="1:5" x14ac:dyDescent="0.7">
      <c r="A640" t="str">
        <f>HYPERLINK("https://rocky-and-hopper.sakura.ne.jp/Kisho-Michelin/381/4-381-08610-4.htm","秘伝 将棋無双 詰将棋の聖典「詰むや詰まざるや」に挑戦！")</f>
        <v>秘伝 将棋無双 詰将棋の聖典「詰むや詰まざるや」に挑戦！</v>
      </c>
      <c r="B640" s="3" t="s">
        <v>14</v>
      </c>
      <c r="D640" t="s">
        <v>291</v>
      </c>
      <c r="E640" s="1">
        <v>38869</v>
      </c>
    </row>
    <row r="641" spans="1:5" x14ac:dyDescent="0.7">
      <c r="A641" t="str">
        <f>HYPERLINK("https://rocky-and-hopper.sakura.ne.jp/Kisho-Michelin/321/4-321-25201-6.htm","将棋の初歩から初段まで")</f>
        <v>将棋の初歩から初段まで</v>
      </c>
      <c r="B641" s="3" t="s">
        <v>12</v>
      </c>
      <c r="C641" t="s">
        <v>416</v>
      </c>
      <c r="D641" t="s">
        <v>292</v>
      </c>
      <c r="E641" s="1">
        <v>27729</v>
      </c>
    </row>
    <row r="642" spans="1:5" x14ac:dyDescent="0.7">
      <c r="A642" t="str">
        <f>HYPERLINK("https://rocky-and-hopper.sakura.ne.jp/Kisho-Michelin/12/4-12-101869-9.htm","中公新書 1869 カラー版 将棋駒の世界")</f>
        <v>中公新書 1869 カラー版 将棋駒の世界</v>
      </c>
      <c r="B642" s="3" t="s">
        <v>14</v>
      </c>
      <c r="D642" t="s">
        <v>293</v>
      </c>
      <c r="E642" s="1">
        <v>38991</v>
      </c>
    </row>
    <row r="643" spans="1:5" x14ac:dyDescent="0.7">
      <c r="A643" t="str">
        <f>HYPERLINK("https://rocky-and-hopper.sakura.ne.jp/Kisho-Michelin/86137/4-86137-013-2.htm","最強将棋21 羽生善治の終盤術(3) 堅さをくずす本")</f>
        <v>最強将棋21 羽生善治の終盤術(3) 堅さをくずす本</v>
      </c>
      <c r="B643" s="3" t="s">
        <v>14</v>
      </c>
      <c r="D643" t="s">
        <v>21</v>
      </c>
      <c r="E643" s="1">
        <v>38869</v>
      </c>
    </row>
    <row r="644" spans="1:5" x14ac:dyDescent="0.7">
      <c r="A644" t="str">
        <f>HYPERLINK("https://rocky-and-hopper.sakura.ne.jp/Kisho-Michelin/8197/4-8197-0383-8.htm","羽生の法則 Volume 5 玉の囲い方")</f>
        <v>羽生の法則 Volume 5 玉の囲い方</v>
      </c>
      <c r="B644" s="3" t="s">
        <v>40</v>
      </c>
      <c r="C644" t="s">
        <v>133</v>
      </c>
      <c r="D644" t="s">
        <v>294</v>
      </c>
      <c r="E644" s="1">
        <v>38869</v>
      </c>
    </row>
    <row r="645" spans="1:5" x14ac:dyDescent="0.7">
      <c r="A645" t="str">
        <f>HYPERLINK("https://rocky-and-hopper.sakura.ne.jp/Kisho-Michelin/08/4-08-876830-2.htm","ヤングジャンプコミックス 外道棋記 ─真剣師 小池重明─(1)")</f>
        <v>ヤングジャンプコミックス 外道棋記 ─真剣師 小池重明─(1)</v>
      </c>
      <c r="B645" s="3" t="s">
        <v>179</v>
      </c>
      <c r="E645" s="1">
        <v>38534</v>
      </c>
    </row>
    <row r="646" spans="1:5" x14ac:dyDescent="0.7">
      <c r="A646" t="str">
        <f>HYPERLINK("https://rocky-and-hopper.sakura.ne.jp/Kisho-Michelin/253/4-253-18377-8.htm","チャンピオンJACKコミックス くすぶりの龍")</f>
        <v>チャンピオンJACKコミックス くすぶりの龍</v>
      </c>
      <c r="B646" s="3" t="s">
        <v>179</v>
      </c>
      <c r="E646" s="1">
        <v>35309</v>
      </c>
    </row>
    <row r="647" spans="1:5" x14ac:dyDescent="0.7">
      <c r="A647" t="str">
        <f>HYPERLINK("https://rocky-and-hopper.sakura.ne.jp/Kisho-Michelin/86137/4-86137-012-4.htm","最強将棋21 羽生善治の終盤術(2) 基本だけでここまで出来る")</f>
        <v>最強将棋21 羽生善治の終盤術(2) 基本だけでここまで出来る</v>
      </c>
      <c r="B647" s="3" t="s">
        <v>14</v>
      </c>
      <c r="D647" t="s">
        <v>21</v>
      </c>
      <c r="E647" s="1">
        <v>38808</v>
      </c>
    </row>
    <row r="648" spans="1:5" x14ac:dyDescent="0.7">
      <c r="A648" t="str">
        <f>HYPERLINK("https://rocky-and-hopper.sakura.ne.jp/Kisho-Michelin/86137/4-86137-011-6.htm","最強将棋21 羽生善治の終盤術(1) 攻めをつなぐ本")</f>
        <v>最強将棋21 羽生善治の終盤術(1) 攻めをつなぐ本</v>
      </c>
      <c r="B648" s="3" t="s">
        <v>0</v>
      </c>
      <c r="D648" t="s">
        <v>21</v>
      </c>
      <c r="E648" s="1">
        <v>38687</v>
      </c>
    </row>
    <row r="649" spans="1:5" x14ac:dyDescent="0.7">
      <c r="A649" t="str">
        <f>HYPERLINK("https://rocky-and-hopper.sakura.ne.jp/Kisho-Michelin/86137/4-86137-014-0.htm","最強将棋21 最前線物語(2)")</f>
        <v>最強将棋21 最前線物語(2)</v>
      </c>
      <c r="B649" s="3" t="s">
        <v>0</v>
      </c>
      <c r="C649" t="s">
        <v>434</v>
      </c>
      <c r="D649" t="s">
        <v>38</v>
      </c>
      <c r="E649" s="1">
        <v>38930</v>
      </c>
    </row>
    <row r="650" spans="1:5" x14ac:dyDescent="0.7">
      <c r="A650" t="str">
        <f>HYPERLINK("https://rocky-and-hopper.sakura.ne.jp/Kisho-Michelin/86137/4-86137-000-0.htm","最強将棋21 #01 最前線物語")</f>
        <v>最強将棋21 #01 最前線物語</v>
      </c>
      <c r="B650" s="3" t="s">
        <v>0</v>
      </c>
      <c r="C650" t="s">
        <v>467</v>
      </c>
      <c r="D650" t="s">
        <v>38</v>
      </c>
      <c r="E650" s="1">
        <v>37865</v>
      </c>
    </row>
    <row r="651" spans="1:5" x14ac:dyDescent="0.7">
      <c r="A651" t="str">
        <f>HYPERLINK("https://rocky-and-hopper.sakura.ne.jp/Kisho-Michelin/309/4-309-72182-6.htm","最強将棋塾 これが最前線だ！ 【最新定跡完全ガイド】")</f>
        <v>最強将棋塾 これが最前線だ！ 【最新定跡完全ガイド】</v>
      </c>
      <c r="B651" s="3" t="s">
        <v>0</v>
      </c>
      <c r="C651" t="s">
        <v>41</v>
      </c>
      <c r="D651" t="s">
        <v>38</v>
      </c>
      <c r="E651" s="1">
        <v>36251</v>
      </c>
    </row>
    <row r="652" spans="1:5" x14ac:dyDescent="0.7">
      <c r="A652" t="str">
        <f>HYPERLINK("https://rocky-and-hopper.sakura.ne.jp/Kisho-Michelin/422/4-422-75085-2.htm","将棋必勝シリーズ ひねり飛車戦法 攻めて攻めて攻めまくれ！")</f>
        <v>将棋必勝シリーズ ひねり飛車戦法 攻めて攻めて攻めまくれ！</v>
      </c>
      <c r="B652" s="3" t="s">
        <v>12</v>
      </c>
      <c r="D652" t="s">
        <v>295</v>
      </c>
      <c r="E652" s="1">
        <v>37653</v>
      </c>
    </row>
    <row r="653" spans="1:5" x14ac:dyDescent="0.7">
      <c r="A653" t="str">
        <f>HYPERLINK("https://rocky-and-hopper.sakura.ne.jp/Kisho-Michelin/422/4-422-75105-0.htm","スーパー将棋講座 振り飛車基本戦法 上達したい人の教科書！")</f>
        <v>スーパー将棋講座 振り飛車基本戦法 上達したい人の教科書！</v>
      </c>
      <c r="B653" s="3" t="s">
        <v>12</v>
      </c>
      <c r="C653" t="s">
        <v>419</v>
      </c>
      <c r="D653" t="s">
        <v>56</v>
      </c>
      <c r="E653" s="1">
        <v>38838</v>
      </c>
    </row>
    <row r="654" spans="1:5" x14ac:dyDescent="0.7">
      <c r="A654" t="str">
        <f>HYPERLINK("https://rocky-and-hopper.sakura.ne.jp/Kisho-Michelin/422/4-422-75090-9.htm","将棋必勝シリーズ 三間飛車戦法 軽快、豪快、一気に寄せ切る")</f>
        <v>将棋必勝シリーズ 三間飛車戦法 軽快、豪快、一気に寄せ切る</v>
      </c>
      <c r="B654" s="3" t="s">
        <v>14</v>
      </c>
      <c r="C654" t="s">
        <v>96</v>
      </c>
      <c r="D654" t="s">
        <v>152</v>
      </c>
      <c r="E654" s="1">
        <v>38200</v>
      </c>
    </row>
    <row r="655" spans="1:5" x14ac:dyDescent="0.7">
      <c r="A655" t="str">
        <f>HYPERLINK("https://rocky-and-hopper.sakura.ne.jp/Kisho-Michelin/422/4-422-75086-0.htm","将棋必勝シリーズ 初段に勝つ矢倉戦法")</f>
        <v>将棋必勝シリーズ 初段に勝つ矢倉戦法</v>
      </c>
      <c r="B655" s="3" t="s">
        <v>14</v>
      </c>
      <c r="C655" t="s">
        <v>64</v>
      </c>
      <c r="D655" t="s">
        <v>255</v>
      </c>
      <c r="E655" s="1">
        <v>37653</v>
      </c>
    </row>
    <row r="656" spans="1:5" x14ac:dyDescent="0.7">
      <c r="A656" t="str">
        <f>HYPERLINK("https://rocky-and-hopper.sakura.ne.jp/Kisho-Michelin/422/4-422-75083-6.htm","将棋必勝シリーズ 中飛車戦法 居飛車穴熊を撃退する！")</f>
        <v>将棋必勝シリーズ 中飛車戦法 居飛車穴熊を撃退する！</v>
      </c>
      <c r="B656" s="3" t="s">
        <v>14</v>
      </c>
      <c r="C656" t="s">
        <v>64</v>
      </c>
      <c r="D656" t="s">
        <v>80</v>
      </c>
      <c r="E656" s="1">
        <v>37500</v>
      </c>
    </row>
    <row r="657" spans="1:5" x14ac:dyDescent="0.7">
      <c r="A657" t="str">
        <f>HYPERLINK("https://rocky-and-hopper.sakura.ne.jp/Kisho-Michelin/422/4-422-75103-4.htm","将棋必勝シリーズ なんでも矢倉")</f>
        <v>将棋必勝シリーズ なんでも矢倉</v>
      </c>
      <c r="B657" s="3" t="s">
        <v>12</v>
      </c>
      <c r="C657" t="s">
        <v>420</v>
      </c>
      <c r="D657" t="s">
        <v>255</v>
      </c>
      <c r="E657" s="1">
        <v>38231</v>
      </c>
    </row>
    <row r="658" spans="1:5" x14ac:dyDescent="0.7">
      <c r="A658" t="str">
        <f>HYPERLINK("https://rocky-and-hopper.sakura.ne.jp/Kisho-Michelin/422/4-422-75096-8.htm","スーパー将棋講座 相居飛車の定跡")</f>
        <v>スーパー将棋講座 相居飛車の定跡</v>
      </c>
      <c r="B658" s="3" t="s">
        <v>40</v>
      </c>
      <c r="C658" t="s">
        <v>41</v>
      </c>
      <c r="D658" t="s">
        <v>71</v>
      </c>
      <c r="E658" s="1">
        <v>38292</v>
      </c>
    </row>
    <row r="659" spans="1:5" x14ac:dyDescent="0.7">
      <c r="A659" t="str">
        <f>HYPERLINK("https://rocky-and-hopper.sakura.ne.jp/Kisho-Michelin/422/4-422-75093-3.htm","将棋終盤力養成講座(3) 次の一手問題集 攻めか受けか 寄せの判断力を養う")</f>
        <v>将棋終盤力養成講座(3) 次の一手問題集 攻めか受けか 寄せの判断力を養う</v>
      </c>
      <c r="B659" s="3" t="s">
        <v>12</v>
      </c>
      <c r="D659" t="s">
        <v>112</v>
      </c>
      <c r="E659" s="1">
        <v>37530</v>
      </c>
    </row>
    <row r="660" spans="1:5" x14ac:dyDescent="0.7">
      <c r="A660" t="str">
        <f>HYPERLINK("https://rocky-and-hopper.sakura.ne.jp/Kisho-Michelin/422/4-422-75087-9.htm","将棋必勝シリーズ 四間飛車で居飛車穴熊退治")</f>
        <v>将棋必勝シリーズ 四間飛車で居飛車穴熊退治</v>
      </c>
      <c r="B660" s="3" t="s">
        <v>12</v>
      </c>
      <c r="C660" t="s">
        <v>133</v>
      </c>
      <c r="D660" t="s">
        <v>152</v>
      </c>
      <c r="E660" s="1">
        <v>37803</v>
      </c>
    </row>
    <row r="661" spans="1:5" x14ac:dyDescent="0.7">
      <c r="A661" t="str">
        <f>HYPERLINK("https://rocky-and-hopper.sakura.ne.jp/Kisho-Michelin/422/4-422-75091-7.htm","将棋終盤力養成講座(1) 終盤の手筋 詰み・詰めろ・必至・囲いの攻略・ 受けの基本テクニックを学ぶ")</f>
        <v>将棋終盤力養成講座(1) 終盤の手筋 詰み・詰めろ・必至・囲いの攻略・ 受けの基本テクニックを学ぶ</v>
      </c>
      <c r="B661" s="3" t="s">
        <v>14</v>
      </c>
      <c r="D661" t="s">
        <v>112</v>
      </c>
      <c r="E661" s="1">
        <v>37408</v>
      </c>
    </row>
    <row r="662" spans="1:5" x14ac:dyDescent="0.7">
      <c r="A662" t="str">
        <f>HYPERLINK("https://rocky-and-hopper.sakura.ne.jp/Kisho-Michelin/422/4-422-75076-3.htm","将棋必勝シリーズ 明快 四間飛車戦法 急戦・持久戦もらくらくさばける")</f>
        <v>将棋必勝シリーズ 明快 四間飛車戦法 急戦・持久戦もらくらくさばける</v>
      </c>
      <c r="B662" s="3" t="s">
        <v>12</v>
      </c>
      <c r="C662" t="s">
        <v>8</v>
      </c>
      <c r="D662" t="s">
        <v>152</v>
      </c>
      <c r="E662" s="1">
        <v>36923</v>
      </c>
    </row>
    <row r="663" spans="1:5" x14ac:dyDescent="0.7">
      <c r="A663" t="str">
        <f>HYPERLINK("https://rocky-and-hopper.sakura.ne.jp/Kisho-Michelin/8197/4-8197-0170-3.htm","詰めと必至ハンドブック")</f>
        <v>詰めと必至ハンドブック</v>
      </c>
      <c r="B663" s="3" t="s">
        <v>14</v>
      </c>
      <c r="D663" t="s">
        <v>189</v>
      </c>
      <c r="E663" s="1">
        <v>38777</v>
      </c>
    </row>
    <row r="664" spans="1:5" x14ac:dyDescent="0.7">
      <c r="A664" t="str">
        <f>HYPERLINK("https://rocky-and-hopper.sakura.ne.jp/Kisho-Michelin/391/4-391-12041-0.htm","森内優駿流棋本ブックス 筋違い角と相振り飛車 ライバルに勝つ（秘）作戦")</f>
        <v>森内優駿流棋本ブックス 筋違い角と相振り飛車 ライバルに勝つ（秘）作戦</v>
      </c>
      <c r="B664" s="3" t="s">
        <v>12</v>
      </c>
      <c r="C664" t="s">
        <v>45</v>
      </c>
      <c r="D664" t="s">
        <v>296</v>
      </c>
      <c r="E664" s="1">
        <v>35612</v>
      </c>
    </row>
    <row r="665" spans="1:5" x14ac:dyDescent="0.7">
      <c r="A665" t="str">
        <f>HYPERLINK("https://rocky-and-hopper.sakura.ne.jp/Kisho-Michelin/422/4-422-75082-8.htm","将棋必勝シリーズ 相振り飛車の定跡")</f>
        <v>将棋必勝シリーズ 相振り飛車の定跡</v>
      </c>
      <c r="B665" s="3" t="s">
        <v>40</v>
      </c>
      <c r="C665" t="s">
        <v>419</v>
      </c>
      <c r="D665" t="s">
        <v>152</v>
      </c>
      <c r="E665" s="1">
        <v>37500</v>
      </c>
    </row>
    <row r="666" spans="1:5" x14ac:dyDescent="0.7">
      <c r="A666" t="str">
        <f>HYPERLINK("https://rocky-and-hopper.sakura.ne.jp/Kisho-Michelin/88692/4-88692-477-8.htm","将棋界が分かる本 棋界のしくみ・不思議が分かるガイドブック")</f>
        <v>将棋界が分かる本 棋界のしくみ・不思議が分かるガイドブック</v>
      </c>
      <c r="B666" s="3" t="s">
        <v>12</v>
      </c>
      <c r="D666" t="s">
        <v>2</v>
      </c>
      <c r="E666" s="1">
        <v>34790</v>
      </c>
    </row>
    <row r="667" spans="1:5" x14ac:dyDescent="0.7">
      <c r="A667" t="str">
        <f>HYPERLINK("https://rocky-and-hopper.sakura.ne.jp/Kisho-Michelin/422/4-422-75098-4.htm","スーパー将棋講座 振り飛車破りユニーク戦法 独特の急戦7戦法で振り飛車を撃破！")</f>
        <v>スーパー将棋講座 振り飛車破りユニーク戦法 独特の急戦7戦法で振り飛車を撃破！</v>
      </c>
      <c r="B667" s="3" t="s">
        <v>12</v>
      </c>
      <c r="C667" t="s">
        <v>430</v>
      </c>
      <c r="D667" t="s">
        <v>297</v>
      </c>
      <c r="E667" s="1">
        <v>38384</v>
      </c>
    </row>
    <row r="668" spans="1:5" x14ac:dyDescent="0.7">
      <c r="A668" t="str">
        <f>HYPERLINK("https://rocky-and-hopper.sakura.ne.jp/Kisho-Michelin/381/4-381-00068-4.htm","マンツーマンブックス 将棋奇襲(2) 新鬼殺し戦法")</f>
        <v>マンツーマンブックス 将棋奇襲(2) 新鬼殺し戦法</v>
      </c>
      <c r="B668" s="3" t="s">
        <v>12</v>
      </c>
      <c r="C668" t="s">
        <v>41</v>
      </c>
      <c r="D668" t="s">
        <v>191</v>
      </c>
      <c r="E668" t="s">
        <v>221</v>
      </c>
    </row>
    <row r="669" spans="1:5" x14ac:dyDescent="0.7">
      <c r="A669" t="str">
        <f>HYPERLINK("https://rocky-and-hopper.sakura.ne.jp/Kisho-Michelin/643/4-643-06003-4.htm","第十八期竜王決定七番勝負 激闘譜 渡辺明 VS 木村一基")</f>
        <v>第十八期竜王決定七番勝負 激闘譜 渡辺明 VS 木村一基</v>
      </c>
      <c r="B669" s="3" t="s">
        <v>179</v>
      </c>
      <c r="C669" t="s">
        <v>264</v>
      </c>
      <c r="D669" t="s">
        <v>252</v>
      </c>
      <c r="E669" s="1">
        <v>38749</v>
      </c>
    </row>
    <row r="670" spans="1:5" x14ac:dyDescent="0.7">
      <c r="A670" t="str">
        <f>HYPERLINK("https://rocky-and-hopper.sakura.ne.jp/Kisho-Michelin/2276/2276-8103-5892.htm","日将ブックス 将棋必勝手筋100 初級者が強くなる決定版")</f>
        <v>日将ブックス 将棋必勝手筋100 初級者が強くなる決定版</v>
      </c>
      <c r="B670" s="3" t="s">
        <v>12</v>
      </c>
      <c r="D670" t="s">
        <v>217</v>
      </c>
      <c r="E670" s="1">
        <v>26634</v>
      </c>
    </row>
    <row r="671" spans="1:5" x14ac:dyDescent="0.7">
      <c r="A671" t="str">
        <f>HYPERLINK("https://rocky-and-hopper.sakura.ne.jp/Kisho-Michelin/89563/4-89563-555-4.htm","おもしろゲーム将棋 異次元で遊べ！")</f>
        <v>おもしろゲーム将棋 異次元で遊べ！</v>
      </c>
      <c r="B671" s="3" t="s">
        <v>14</v>
      </c>
      <c r="D671" t="s">
        <v>298</v>
      </c>
      <c r="E671" s="1">
        <v>33482</v>
      </c>
    </row>
    <row r="672" spans="1:5" x14ac:dyDescent="0.7">
      <c r="A672" t="str">
        <f>HYPERLINK("https://rocky-and-hopper.sakura.ne.jp/Kisho-Michelin/14/4-14-016139-6.htm","NHK将棋シリーズ 清水市代の将棋トレーニング")</f>
        <v>NHK将棋シリーズ 清水市代の将棋トレーニング</v>
      </c>
      <c r="B672" s="3" t="s">
        <v>12</v>
      </c>
      <c r="C672" t="s">
        <v>122</v>
      </c>
      <c r="D672" t="s">
        <v>299</v>
      </c>
      <c r="E672" s="1">
        <v>38749</v>
      </c>
    </row>
    <row r="673" spans="1:5" x14ac:dyDescent="0.7">
      <c r="A673" t="str">
        <f>HYPERLINK("https://rocky-and-hopper.sakura.ne.jp/Kisho-Michelin/0276/0276-500693-7904.htm","中原の一問一答99題")</f>
        <v>中原の一問一答99題</v>
      </c>
      <c r="B673" s="3" t="s">
        <v>12</v>
      </c>
      <c r="D673" t="s">
        <v>254</v>
      </c>
      <c r="E673" s="1">
        <v>29646</v>
      </c>
    </row>
    <row r="674" spans="1:5" x14ac:dyDescent="0.7">
      <c r="A674" t="str">
        <f>HYPERLINK("https://rocky-and-hopper.sakura.ne.jp/Kisho-Michelin/396/4-396-11033-2.htm","祥伝社新書(033) 囲碁・将棋100の金言")</f>
        <v>祥伝社新書(033) 囲碁・将棋100の金言</v>
      </c>
      <c r="B674" s="3" t="s">
        <v>40</v>
      </c>
      <c r="D674" t="s">
        <v>300</v>
      </c>
      <c r="E674" s="1">
        <v>38777</v>
      </c>
    </row>
    <row r="675" spans="1:5" x14ac:dyDescent="0.7">
      <c r="A675" t="str">
        <f>HYPERLINK("https://rocky-and-hopper.sakura.ne.jp/Kisho-Michelin/7743/4-7743-0877-3.htm","スグわかる！まんが将棋入門 ルールと戦法完全マスター")</f>
        <v>スグわかる！まんが将棋入門 ルールと戦法完全マスター</v>
      </c>
      <c r="B675" s="3" t="s">
        <v>14</v>
      </c>
      <c r="E675" s="1">
        <v>38718</v>
      </c>
    </row>
    <row r="676" spans="1:5" x14ac:dyDescent="0.7">
      <c r="A676" t="str">
        <f>HYPERLINK("https://rocky-and-hopper.sakura.ne.jp/Kisho-Michelin/380/4-380-95288-6.htm","三一将棋シリーズ 天才たちの名手 将棋史を変えた次の一手")</f>
        <v>三一将棋シリーズ 天才たちの名手 将棋史を変えた次の一手</v>
      </c>
      <c r="B676" s="3" t="s">
        <v>40</v>
      </c>
      <c r="D676" t="s">
        <v>217</v>
      </c>
      <c r="E676" s="1">
        <v>35004</v>
      </c>
    </row>
    <row r="677" spans="1:5" x14ac:dyDescent="0.7">
      <c r="A677" t="str">
        <f>HYPERLINK("https://rocky-and-hopper.sakura.ne.jp/Kisho-Michelin/89563/4-89563-560-0.htm","週将ブックス 四間飛車の基礎演習")</f>
        <v>週将ブックス 四間飛車の基礎演習</v>
      </c>
      <c r="B677" s="3" t="s">
        <v>40</v>
      </c>
      <c r="C677" t="s">
        <v>8</v>
      </c>
      <c r="D677" t="s">
        <v>132</v>
      </c>
      <c r="E677" s="1">
        <v>33756</v>
      </c>
    </row>
    <row r="678" spans="1:5" x14ac:dyDescent="0.7">
      <c r="A678" t="str">
        <f>HYPERLINK("https://rocky-and-hopper.sakura.ne.jp/Kisho-Michelin/381/4-381-08589-2.htm","森信雄の勝ちにいく！詰将棋ドリル(2) 一手詰め・一手必至")</f>
        <v>森信雄の勝ちにいく！詰将棋ドリル(2) 一手詰め・一手必至</v>
      </c>
      <c r="B678" s="3" t="s">
        <v>14</v>
      </c>
      <c r="D678" t="s">
        <v>124</v>
      </c>
      <c r="E678" s="1">
        <v>38412</v>
      </c>
    </row>
    <row r="679" spans="1:5" x14ac:dyDescent="0.7">
      <c r="A679" t="str">
        <f>HYPERLINK("https://rocky-and-hopper.sakura.ne.jp/Kisho-Michelin/8197/4-8197-0333-1.htm","Perfect Series 四間飛車で勝とう！ やさしい駒組み、軽快なさばき。")</f>
        <v>Perfect Series 四間飛車で勝とう！ やさしい駒組み、軽快なさばき。</v>
      </c>
      <c r="B679" s="3" t="s">
        <v>40</v>
      </c>
      <c r="C679" t="s">
        <v>8</v>
      </c>
      <c r="D679" t="s">
        <v>135</v>
      </c>
      <c r="E679" s="1">
        <v>35612</v>
      </c>
    </row>
    <row r="680" spans="1:5" x14ac:dyDescent="0.7">
      <c r="A680" t="str">
        <f>HYPERLINK("https://rocky-and-hopper.sakura.ne.jp/Kisho-Michelin/8197/4-8197-0400-1.htm","将棋ワークブック 将棋を覚える人のためのやさしい詰みと必至")</f>
        <v>将棋ワークブック 将棋を覚える人のためのやさしい詰みと必至</v>
      </c>
      <c r="B680" s="3" t="s">
        <v>12</v>
      </c>
      <c r="D680" t="s">
        <v>247</v>
      </c>
      <c r="E680" s="1">
        <v>34151</v>
      </c>
    </row>
    <row r="681" spans="1:5" x14ac:dyDescent="0.7">
      <c r="A681" t="str">
        <f>HYPERLINK("https://rocky-and-hopper.sakura.ne.jp/Kisho-Michelin/89776/4-89776-029-1.htm","プロ将棋 ワンポイント講座")</f>
        <v>プロ将棋 ワンポイント講座</v>
      </c>
      <c r="B681" s="3" t="s">
        <v>40</v>
      </c>
      <c r="D681" t="s">
        <v>301</v>
      </c>
      <c r="E681" s="1">
        <v>31959</v>
      </c>
    </row>
    <row r="682" spans="1:5" x14ac:dyDescent="0.7">
      <c r="A682" t="str">
        <f>HYPERLINK("https://rocky-and-hopper.sakura.ne.jp/Kisho-Michelin/89287/4-89287-054-4.htm","王将ブックス ポケット版―駒落ちシリーズ�W 角落ち必勝法")</f>
        <v>王将ブックス ポケット版―駒落ちシリーズ�W 角落ち必勝法</v>
      </c>
      <c r="B682" s="3" t="s">
        <v>12</v>
      </c>
      <c r="C682" t="s">
        <v>417</v>
      </c>
      <c r="D682" t="s">
        <v>243</v>
      </c>
      <c r="E682" t="s">
        <v>138</v>
      </c>
    </row>
    <row r="683" spans="1:5" x14ac:dyDescent="0.7">
      <c r="A683" t="str">
        <f>HYPERLINK("https://rocky-and-hopper.sakura.ne.jp/Kisho-Michelin/8033/4-8033-0915-9.htm","将棋盤外情報 将棋がますますおもしろくなる73の奥義")</f>
        <v>将棋盤外情報 将棋がますますおもしろくなる73の奥義</v>
      </c>
      <c r="B683" s="3" t="s">
        <v>40</v>
      </c>
      <c r="D683" t="s">
        <v>302</v>
      </c>
      <c r="E683" s="1">
        <v>31229</v>
      </c>
    </row>
    <row r="684" spans="1:5" x14ac:dyDescent="0.7">
      <c r="A684" t="str">
        <f>HYPERLINK("https://rocky-and-hopper.sakura.ne.jp/Kisho-Michelin/8033/4-8033-0837-3.htm","将棋狂に捧げる本")</f>
        <v>将棋狂に捧げる本</v>
      </c>
      <c r="B684" s="3" t="s">
        <v>40</v>
      </c>
      <c r="D684" t="s">
        <v>302</v>
      </c>
      <c r="E684" s="1">
        <v>30895</v>
      </c>
    </row>
    <row r="685" spans="1:5" x14ac:dyDescent="0.7">
      <c r="A685" t="str">
        <f>HYPERLINK("https://rocky-and-hopper.sakura.ne.jp/Kisho-Michelin/8197/4-8197-0336-6.htm","パーフェクトシリーズ 将棋基本戦法 居飛車編")</f>
        <v>パーフェクトシリーズ 将棋基本戦法 居飛車編</v>
      </c>
      <c r="B685" s="3" t="s">
        <v>12</v>
      </c>
      <c r="C685" t="s">
        <v>59</v>
      </c>
      <c r="D685" t="s">
        <v>255</v>
      </c>
      <c r="E685" s="1">
        <v>35674</v>
      </c>
    </row>
    <row r="686" spans="1:5" x14ac:dyDescent="0.7">
      <c r="A686" t="str">
        <f>HYPERLINK("https://rocky-and-hopper.sakura.ne.jp/Kisho-Michelin/8197/4-8197-0231-9.htm","棋士 瀬川晶司 ─61年ぶりのプロ棋士編入試験に合格した男")</f>
        <v>棋士 瀬川晶司 ─61年ぶりのプロ棋士編入試験に合格した男</v>
      </c>
      <c r="B686" s="3" t="s">
        <v>12</v>
      </c>
      <c r="D686" t="s">
        <v>303</v>
      </c>
      <c r="E686" s="1">
        <v>38718</v>
      </c>
    </row>
    <row r="687" spans="1:5" x14ac:dyDescent="0.7">
      <c r="A687" t="str">
        <f>HYPERLINK("https://rocky-and-hopper.sakura.ne.jp/Kisho-Michelin/8399/4-8399-1823-6.htm","阿部隆の大局観 良い手悪い手普通の手")</f>
        <v>阿部隆の大局観 良い手悪い手普通の手</v>
      </c>
      <c r="B687" s="3" t="s">
        <v>12</v>
      </c>
      <c r="C687" t="s">
        <v>491</v>
      </c>
      <c r="D687" t="s">
        <v>304</v>
      </c>
      <c r="E687" s="1">
        <v>38626</v>
      </c>
    </row>
    <row r="688" spans="1:5" x14ac:dyDescent="0.7">
      <c r="A688" t="str">
        <f>HYPERLINK("https://rocky-and-hopper.sakura.ne.jp/Kisho-Michelin/8399/4-8399-1948-8.htm","将棋定跡最先端 居飛車編")</f>
        <v>将棋定跡最先端 居飛車編</v>
      </c>
      <c r="B688" s="3" t="s">
        <v>12</v>
      </c>
      <c r="C688" t="s">
        <v>116</v>
      </c>
      <c r="D688" t="s">
        <v>44</v>
      </c>
      <c r="E688" s="1">
        <v>38687</v>
      </c>
    </row>
    <row r="689" spans="1:5" x14ac:dyDescent="0.7">
      <c r="A689" t="str">
        <f>HYPERLINK("https://rocky-and-hopper.sakura.ne.jp/Kisho-Michelin/8399/4-8399-1698-5.htm","鷺宮定跡 〜歴史と最先端")</f>
        <v>鷺宮定跡 〜歴史と最先端</v>
      </c>
      <c r="B689" s="3" t="s">
        <v>12</v>
      </c>
      <c r="C689" t="s">
        <v>420</v>
      </c>
      <c r="D689" t="s">
        <v>71</v>
      </c>
      <c r="E689" s="1">
        <v>38412</v>
      </c>
    </row>
    <row r="690" spans="1:5" x14ac:dyDescent="0.7">
      <c r="A690" t="str">
        <f>HYPERLINK("https://rocky-and-hopper.sakura.ne.jp/Kisho-Michelin/8197/4-8197-0207-6.htm","新・鷺宮定跡 対振り飛車急戦法の最新版")</f>
        <v>新・鷺宮定跡 対振り飛車急戦法の最新版</v>
      </c>
      <c r="B690" s="3" t="s">
        <v>14</v>
      </c>
      <c r="C690" t="s">
        <v>420</v>
      </c>
      <c r="D690" t="s">
        <v>71</v>
      </c>
      <c r="E690" s="1">
        <v>35490</v>
      </c>
    </row>
    <row r="691" spans="1:5" x14ac:dyDescent="0.7">
      <c r="A691" t="str">
        <f>HYPERLINK("https://rocky-and-hopper.sakura.ne.jp/Kisho-Michelin/8197/4-8197-0201-7.htm","必勝！鷺宮定跡")</f>
        <v>必勝！鷺宮定跡</v>
      </c>
      <c r="B691" s="3" t="s">
        <v>0</v>
      </c>
      <c r="C691" t="s">
        <v>133</v>
      </c>
      <c r="D691" t="s">
        <v>71</v>
      </c>
      <c r="E691" s="1">
        <v>31444</v>
      </c>
    </row>
    <row r="692" spans="1:5" x14ac:dyDescent="0.7">
      <c r="A692" t="str">
        <f>HYPERLINK("https://rocky-and-hopper.sakura.ne.jp/Kisho-Michelin/0276/0276-30041-2270.htm","内藤シリーズ(1) 内藤の詰将棋 付 実戦即詰集 詰将棋と投了図の研究")</f>
        <v>内藤シリーズ(1) 内藤の詰将棋 付 実戦即詰集 詰将棋と投了図の研究</v>
      </c>
      <c r="B692" s="3" t="s">
        <v>12</v>
      </c>
      <c r="D692" t="s">
        <v>305</v>
      </c>
      <c r="E692" t="s">
        <v>282</v>
      </c>
    </row>
    <row r="693" spans="1:5" x14ac:dyDescent="0.7">
      <c r="A693" t="str">
        <f>HYPERLINK("https://rocky-and-hopper.sakura.ne.jp/Kisho-Michelin/0276/0276-351-6016.htm","オール二色図解詰将棋シリーズ 勝浦の詰将棋傑作選")</f>
        <v>オール二色図解詰将棋シリーズ 勝浦の詰将棋傑作選</v>
      </c>
      <c r="B693" s="3" t="s">
        <v>12</v>
      </c>
      <c r="D693" t="s">
        <v>112</v>
      </c>
      <c r="E693" s="1">
        <v>28185</v>
      </c>
    </row>
    <row r="694" spans="1:5" x14ac:dyDescent="0.7">
      <c r="A694" t="str">
        <f>HYPERLINK("https://rocky-and-hopper.sakura.ne.jp/Kisho-Michelin/08/4-08-875658-4.htm","急戦法まことスペシャル")</f>
        <v>急戦法まことスペシャル</v>
      </c>
      <c r="B694" s="3" t="s">
        <v>40</v>
      </c>
      <c r="E694" s="1">
        <v>35916</v>
      </c>
    </row>
    <row r="695" spans="1:5" x14ac:dyDescent="0.7">
      <c r="A695" t="str">
        <f>HYPERLINK("https://rocky-and-hopper.sakura.ne.jp/Kisho-Michelin/415/4-415-02211-1.htm","ポケット版・将棋シリーズ(13) 実戦7手･9手の詰将棋 初段 寄せに強くなる120題にチャンレンジ！")</f>
        <v>ポケット版・将棋シリーズ(13) 実戦7手･9手の詰将棋 初段 寄せに強くなる120題にチャンレンジ！</v>
      </c>
      <c r="D695" t="s">
        <v>255</v>
      </c>
      <c r="E695" s="1">
        <v>37622</v>
      </c>
    </row>
    <row r="696" spans="1:5" x14ac:dyDescent="0.7">
      <c r="A696" t="str">
        <f>HYPERLINK("https://rocky-and-hopper.sakura.ne.jp/Kisho-Michelin/380/4-380-94205-8.htm","三一将棋シリーズ 次の一手でわかる 寄せの決め手")</f>
        <v>三一将棋シリーズ 次の一手でわかる 寄せの決め手</v>
      </c>
      <c r="B696" s="3" t="s">
        <v>40</v>
      </c>
      <c r="D696" t="s">
        <v>217</v>
      </c>
      <c r="E696" s="1">
        <v>34335</v>
      </c>
    </row>
    <row r="697" spans="1:5" x14ac:dyDescent="0.7">
      <c r="A697" t="str">
        <f>HYPERLINK("https://rocky-and-hopper.sakura.ne.jp/Kisho-Michelin/434/4-434-06068-6.htm","V2文庫 詰将棋を始める前に読む本 捨て駒の達人")</f>
        <v>V2文庫 詰将棋を始める前に読む本 捨て駒の達人</v>
      </c>
      <c r="B697" s="3" t="s">
        <v>179</v>
      </c>
      <c r="D697" t="s">
        <v>306</v>
      </c>
      <c r="E697" s="1">
        <v>38443</v>
      </c>
    </row>
    <row r="698" spans="1:5" x14ac:dyDescent="0.7">
      <c r="A698" t="str">
        <f>HYPERLINK("https://rocky-and-hopper.sakura.ne.jp/Kisho-Michelin/8399/4-8399-0899-0.htm","MYCOM将棋文庫(6) 【新版】将棋入門 入門書の決定版")</f>
        <v>MYCOM将棋文庫(6) 【新版】将棋入門 入門書の決定版</v>
      </c>
      <c r="B698" s="3" t="s">
        <v>14</v>
      </c>
      <c r="D698" t="s">
        <v>307</v>
      </c>
      <c r="E698" s="1">
        <v>37681</v>
      </c>
    </row>
    <row r="699" spans="1:5" x14ac:dyDescent="0.7">
      <c r="A699" t="str">
        <f>HYPERLINK("https://rocky-and-hopper.sakura.ne.jp/Kisho-Michelin/89563/4-89563-630-5.htm","すぐ勝てる将棋入門")</f>
        <v>すぐ勝てる将棋入門</v>
      </c>
      <c r="B699" s="3" t="s">
        <v>0</v>
      </c>
      <c r="C699" t="s">
        <v>472</v>
      </c>
      <c r="D699" t="s">
        <v>308</v>
      </c>
      <c r="E699" s="1">
        <v>34759</v>
      </c>
    </row>
    <row r="700" spans="1:5" x14ac:dyDescent="0.7">
      <c r="A700" t="str">
        <f>HYPERLINK("https://rocky-and-hopper.sakura.ne.jp/Kisho-Michelin/8197/4-8197-0381-1.htm","パワーアップシリーズ 二枚落ち裏定跡")</f>
        <v>パワーアップシリーズ 二枚落ち裏定跡</v>
      </c>
      <c r="B700" s="3" t="s">
        <v>14</v>
      </c>
      <c r="D700" t="s">
        <v>44</v>
      </c>
      <c r="E700" s="1">
        <v>38596</v>
      </c>
    </row>
    <row r="701" spans="1:5" x14ac:dyDescent="0.7">
      <c r="A701" t="str">
        <f>HYPERLINK("https://rocky-and-hopper.sakura.ne.jp/Kisho-Michelin/381/4-381-00002-1.htm","MAN TO MAN BOOKS 将棋テスト あなたならどう指す 次の一手 第1集")</f>
        <v>MAN TO MAN BOOKS 将棋テスト あなたならどう指す 次の一手 第1集</v>
      </c>
      <c r="B701" s="3" t="s">
        <v>40</v>
      </c>
      <c r="D701" t="s">
        <v>191</v>
      </c>
      <c r="E701" t="s">
        <v>244</v>
      </c>
    </row>
    <row r="702" spans="1:5" x14ac:dyDescent="0.7">
      <c r="A702" t="str">
        <f>HYPERLINK("https://rocky-and-hopper.sakura.ne.jp/Kisho-Michelin/528/4-528-00473-9.htm","マンガでわかる 将棋の基本戦法")</f>
        <v>マンガでわかる 将棋の基本戦法</v>
      </c>
      <c r="B702" s="3" t="s">
        <v>215</v>
      </c>
      <c r="C702" t="s">
        <v>8</v>
      </c>
      <c r="D702" t="s">
        <v>278</v>
      </c>
      <c r="E702" s="1">
        <v>33970</v>
      </c>
    </row>
    <row r="703" spans="1:5" x14ac:dyDescent="0.7">
      <c r="A703" t="str">
        <f>HYPERLINK("https://rocky-and-hopper.sakura.ne.jp/Kisho-Michelin/8399/4-8399-0394-8.htm","将棋の力をつける本 基礎を創る終盤の考え方")</f>
        <v>将棋の力をつける本 基礎を創る終盤の考え方</v>
      </c>
      <c r="B703" s="3" t="s">
        <v>14</v>
      </c>
      <c r="D703" t="s">
        <v>145</v>
      </c>
      <c r="E703" s="1">
        <v>36739</v>
      </c>
    </row>
    <row r="704" spans="1:5" x14ac:dyDescent="0.7">
      <c r="A704" t="str">
        <f>HYPERLINK("https://rocky-and-hopper.sakura.ne.jp/Kisho-Michelin/528/4-528-01511-0.htm","頭の体操 実戦 詰将棋を楽しむ 詰将棋は将棋の上達、特に終盤の力を養います")</f>
        <v>頭の体操 実戦 詰将棋を楽しむ 詰将棋は将棋の上達、特に終盤の力を養います</v>
      </c>
      <c r="B704" s="3" t="s">
        <v>12</v>
      </c>
      <c r="D704" t="s">
        <v>217</v>
      </c>
      <c r="E704" s="1">
        <v>37926</v>
      </c>
    </row>
    <row r="705" spans="1:5" x14ac:dyDescent="0.7">
      <c r="A705" t="str">
        <f>HYPERLINK("https://rocky-and-hopper.sakura.ne.jp/Kisho-Michelin/381/4-381-00004-8.htm","MAN TO MAN BOOKS あなたの棋力を採点する 第2集")</f>
        <v>MAN TO MAN BOOKS あなたの棋力を採点する 第2集</v>
      </c>
      <c r="B705" s="3" t="s">
        <v>12</v>
      </c>
      <c r="D705" t="s">
        <v>112</v>
      </c>
      <c r="E705" t="s">
        <v>282</v>
      </c>
    </row>
    <row r="706" spans="1:5" x14ac:dyDescent="0.7">
      <c r="A706" t="str">
        <f>HYPERLINK("https://rocky-and-hopper.sakura.ne.jp/Kisho-Michelin/340/4-340-07115-3.htm","&lt;新選&gt;原田詰将棋200題 基本の詰め手筋")</f>
        <v>&lt;新選&gt;原田詰将棋200題 基本の詰め手筋</v>
      </c>
      <c r="B706" s="3" t="s">
        <v>14</v>
      </c>
      <c r="D706" t="s">
        <v>204</v>
      </c>
      <c r="E706" t="s">
        <v>221</v>
      </c>
    </row>
    <row r="707" spans="1:5" x14ac:dyDescent="0.7">
      <c r="A707" t="str">
        <f>HYPERLINK("https://rocky-and-hopper.sakura.ne.jp/Kisho-Michelin/340/4-340-07102-1.htm","基本の妙手 &lt;原田&gt;精選詰将棋200題")</f>
        <v>基本の妙手 &lt;原田&gt;精選詰将棋200題</v>
      </c>
      <c r="B707" s="3" t="s">
        <v>12</v>
      </c>
      <c r="D707" t="s">
        <v>204</v>
      </c>
      <c r="E707" s="1">
        <v>27973</v>
      </c>
    </row>
    <row r="708" spans="1:5" x14ac:dyDescent="0.7">
      <c r="A708" t="str">
        <f>HYPERLINK("https://rocky-and-hopper.sakura.ne.jp/Kisho-Michelin/480/4-480-81181-8.htm","一九八九年の挑戦者")</f>
        <v>一九八九年の挑戦者</v>
      </c>
      <c r="B708" s="3" t="s">
        <v>179</v>
      </c>
      <c r="D708" t="s">
        <v>309</v>
      </c>
      <c r="E708" s="1">
        <v>30987</v>
      </c>
    </row>
    <row r="709" spans="1:5" x14ac:dyDescent="0.7">
      <c r="A709" t="str">
        <f>HYPERLINK("https://rocky-and-hopper.sakura.ne.jp/Kisho-Michelin/537/4-537-20241-6.htm","やまと先生の 入門！将棋教室 すぐに指せる、強くなる!!上達するから面白い!!")</f>
        <v>やまと先生の 入門！将棋教室 すぐに指せる、強くなる!!上達するから面白い!!</v>
      </c>
      <c r="B709" s="3" t="s">
        <v>14</v>
      </c>
      <c r="D709" t="s">
        <v>188</v>
      </c>
      <c r="E709" s="1">
        <v>37956</v>
      </c>
    </row>
    <row r="710" spans="1:5" x14ac:dyDescent="0.7">
      <c r="A710" t="str">
        <f>HYPERLINK("https://rocky-and-hopper.sakura.ne.jp/Kisho-Michelin/381/4-381-07118-2.htm","MAN TO MAN BOOKS スラスラ捌く 攻防手筋集")</f>
        <v>MAN TO MAN BOOKS スラスラ捌く 攻防手筋集</v>
      </c>
      <c r="B710" s="3" t="s">
        <v>179</v>
      </c>
      <c r="D710" t="s">
        <v>283</v>
      </c>
      <c r="E710" s="1">
        <v>29221</v>
      </c>
    </row>
    <row r="711" spans="1:5" x14ac:dyDescent="0.7">
      <c r="A711" t="str">
        <f>HYPERLINK("https://rocky-and-hopper.sakura.ne.jp/Kisho-Michelin/381/4-381-00608-9.htm","MAN TO MAN BOOKS それからどう指す 投了からの寄せ手筋")</f>
        <v>MAN TO MAN BOOKS それからどう指す 投了からの寄せ手筋</v>
      </c>
      <c r="B711" s="3" t="s">
        <v>40</v>
      </c>
      <c r="D711" t="s">
        <v>112</v>
      </c>
      <c r="E711" s="1">
        <v>28672</v>
      </c>
    </row>
    <row r="712" spans="1:5" x14ac:dyDescent="0.7">
      <c r="A712" t="str">
        <f>HYPERLINK("https://rocky-and-hopper.sakura.ne.jp/Kisho-Michelin/381/4-381-07116-6.htm","MAN TO MAN BOOKS スラスラ解ける 将棋手筋集(2)")</f>
        <v>MAN TO MAN BOOKS スラスラ解ける 将棋手筋集(2)</v>
      </c>
      <c r="B712" s="3" t="s">
        <v>12</v>
      </c>
      <c r="D712" t="s">
        <v>112</v>
      </c>
      <c r="E712" t="s">
        <v>310</v>
      </c>
    </row>
    <row r="713" spans="1:5" x14ac:dyDescent="0.7">
      <c r="A713" t="str">
        <f>HYPERLINK("https://rocky-and-hopper.sakura.ne.jp/Kisho-Michelin/381/4-381-07115-8.htm","MAN TO MAN BOOKS スラスラ解ける 将棋手筋集(1)")</f>
        <v>MAN TO MAN BOOKS スラスラ解ける 将棋手筋集(1)</v>
      </c>
      <c r="B713" s="3" t="s">
        <v>12</v>
      </c>
      <c r="D713" t="s">
        <v>112</v>
      </c>
      <c r="E713" s="1">
        <v>28672</v>
      </c>
    </row>
    <row r="714" spans="1:5" x14ac:dyDescent="0.7">
      <c r="A714" t="str">
        <f>HYPERLINK("https://rocky-and-hopper.sakura.ne.jp/Kisho-Michelin/8399/4-8399-1862-7.htm","実戦に役立つ詰将棋3手5手")</f>
        <v>実戦に役立つ詰将棋3手5手</v>
      </c>
      <c r="B714" s="3" t="s">
        <v>12</v>
      </c>
      <c r="D714" t="s">
        <v>311</v>
      </c>
      <c r="E714" s="1">
        <v>38565</v>
      </c>
    </row>
    <row r="715" spans="1:5" x14ac:dyDescent="0.7">
      <c r="A715" t="str">
        <f>HYPERLINK("https://rocky-and-hopper.sakura.ne.jp/Kisho-Michelin/480/4-480-67008-4.htm","一手決断☆将棋戦法(8) 森安流 力戦四間飛車")</f>
        <v>一手決断☆将棋戦法(8) 森安流 力戦四間飛車</v>
      </c>
      <c r="B715" s="3" t="s">
        <v>40</v>
      </c>
      <c r="C715" t="s">
        <v>133</v>
      </c>
      <c r="D715" t="s">
        <v>142</v>
      </c>
      <c r="E715" s="1">
        <v>31594</v>
      </c>
    </row>
    <row r="716" spans="1:5" x14ac:dyDescent="0.7">
      <c r="A716" t="str">
        <f>HYPERLINK("https://rocky-and-hopper.sakura.ne.jp/Kisho-Michelin/422/4-422-75067-4.htm","初段に挑戦するシリーズ(17) とっておきの詰将棋 2")</f>
        <v>初段に挑戦するシリーズ(17) とっておきの詰将棋 2</v>
      </c>
      <c r="B716" s="3" t="s">
        <v>12</v>
      </c>
      <c r="D716" t="s">
        <v>189</v>
      </c>
      <c r="E716" s="1">
        <v>31809</v>
      </c>
    </row>
    <row r="717" spans="1:5" x14ac:dyDescent="0.7">
      <c r="A717" t="str">
        <f>HYPERLINK("https://rocky-and-hopper.sakura.ne.jp/Kisho-Michelin/480/4-480-67006-8.htm","一手決断☆将棋戦法(6) 田中流 鉄壁居飛車穴熊")</f>
        <v>一手決断☆将棋戦法(6) 田中流 鉄壁居飛車穴熊</v>
      </c>
      <c r="B717" s="3" t="s">
        <v>40</v>
      </c>
      <c r="C717" t="s">
        <v>41</v>
      </c>
      <c r="D717" t="s">
        <v>139</v>
      </c>
      <c r="E717" s="1">
        <v>31533</v>
      </c>
    </row>
    <row r="718" spans="1:5" x14ac:dyDescent="0.7">
      <c r="A718" t="str">
        <f>HYPERLINK("https://rocky-and-hopper.sakura.ne.jp/Kisho-Michelin/89287/4-89287-053-6.htm","王将ブックス DELUXE版 ―駒落ちシリーズ(3) 飛車落ち必勝法")</f>
        <v>王将ブックス DELUXE版 ―駒落ちシリーズ(3) 飛車落ち必勝法</v>
      </c>
      <c r="B718" s="3" t="s">
        <v>12</v>
      </c>
      <c r="C718" t="s">
        <v>133</v>
      </c>
      <c r="D718" t="s">
        <v>243</v>
      </c>
      <c r="E718" s="1">
        <v>32203</v>
      </c>
    </row>
    <row r="719" spans="1:5" x14ac:dyDescent="0.7">
      <c r="A719" t="str">
        <f>HYPERLINK("https://rocky-and-hopper.sakura.ne.jp/Kisho-Michelin/381/4-381-07993-0.htm","森信雄の 勝ちにいく！詰将棋ドリル 反復練習で身につく一手・三手・五手詰め")</f>
        <v>森信雄の 勝ちにいく！詰将棋ドリル 反復練習で身につく一手・三手・五手詰め</v>
      </c>
      <c r="B719" s="3" t="s">
        <v>14</v>
      </c>
      <c r="D719" t="s">
        <v>124</v>
      </c>
      <c r="E719" s="1">
        <v>38412</v>
      </c>
    </row>
    <row r="720" spans="1:5" x14ac:dyDescent="0.7">
      <c r="A720" t="str">
        <f>HYPERLINK("https://rocky-and-hopper.sakura.ne.jp/Kisho-Michelin/480/4-480-67007-6.htm","一手決断☆将棋戦法(7) 中原流 最強左美濃")</f>
        <v>一手決断☆将棋戦法(7) 中原流 最強左美濃</v>
      </c>
      <c r="B720" s="3" t="s">
        <v>40</v>
      </c>
      <c r="C720" t="s">
        <v>431</v>
      </c>
      <c r="D720" t="s">
        <v>254</v>
      </c>
      <c r="E720" s="1">
        <v>31564</v>
      </c>
    </row>
    <row r="721" spans="1:5" x14ac:dyDescent="0.7">
      <c r="A721" t="str">
        <f>HYPERLINK("https://rocky-and-hopper.sakura.ne.jp/Kisho-Michelin/620/4-620-50478-5.htm","第58期将棋名人戦")</f>
        <v>第58期将棋名人戦</v>
      </c>
      <c r="B721" s="3" t="s">
        <v>179</v>
      </c>
      <c r="C721" t="s">
        <v>264</v>
      </c>
      <c r="D721" t="s">
        <v>262</v>
      </c>
      <c r="E721" s="1">
        <v>36739</v>
      </c>
    </row>
    <row r="722" spans="1:5" x14ac:dyDescent="0.7">
      <c r="A722" t="str">
        <f>HYPERLINK("https://rocky-and-hopper.sakura.ne.jp/Kisho-Michelin/422/4-422-75024-0.htm","実力養成100問(4) 次の一手「詰めと必死」")</f>
        <v>実力養成100問(4) 次の一手「詰めと必死」</v>
      </c>
      <c r="B722" s="3" t="s">
        <v>12</v>
      </c>
      <c r="D722" t="s">
        <v>213</v>
      </c>
      <c r="E722" s="1">
        <v>32782</v>
      </c>
    </row>
    <row r="723" spans="1:5" x14ac:dyDescent="0.7">
      <c r="A723" t="str">
        <f>HYPERLINK("https://rocky-and-hopper.sakura.ne.jp/Kisho-Michelin/262/4-262-10120-7.htm","どんどん強くなる こども将棋 囲いの破り方入門")</f>
        <v>どんどん強くなる こども将棋 囲いの破り方入門</v>
      </c>
      <c r="B723" s="3" t="s">
        <v>12</v>
      </c>
      <c r="D723" t="s">
        <v>254</v>
      </c>
      <c r="E723" s="1">
        <v>35309</v>
      </c>
    </row>
    <row r="724" spans="1:5" x14ac:dyDescent="0.7">
      <c r="A724" t="str">
        <f>HYPERLINK("https://rocky-and-hopper.sakura.ne.jp/Kisho-Michelin/0076/0076-480093-2253.htm","プロを攻略する 巨泉流飛車落定跡")</f>
        <v>プロを攻略する 巨泉流飛車落定跡</v>
      </c>
      <c r="B724" s="3" t="s">
        <v>12</v>
      </c>
      <c r="D724" t="s">
        <v>312</v>
      </c>
      <c r="E724" s="1">
        <v>28369</v>
      </c>
    </row>
    <row r="725" spans="1:5" x14ac:dyDescent="0.7">
      <c r="A725" t="str">
        <f>HYPERLINK("https://rocky-and-hopper.sakura.ne.jp/Kisho-Michelin/620/4-620-50477-7.htm","第57期将棋名人戦")</f>
        <v>第57期将棋名人戦</v>
      </c>
      <c r="B725" s="3" t="s">
        <v>179</v>
      </c>
      <c r="C725" t="s">
        <v>481</v>
      </c>
      <c r="D725" t="s">
        <v>262</v>
      </c>
      <c r="E725" s="1">
        <v>36342</v>
      </c>
    </row>
    <row r="726" spans="1:5" x14ac:dyDescent="0.7">
      <c r="A726" t="str">
        <f>HYPERLINK("https://rocky-and-hopper.sakura.ne.jp/Kisho-Michelin/14/4-14-016132-9.htm","NHK将棋シリーズ 木村一基の 急戦・四間飛車破り")</f>
        <v>NHK将棋シリーズ 木村一基の 急戦・四間飛車破り</v>
      </c>
      <c r="B726" s="3" t="s">
        <v>14</v>
      </c>
      <c r="C726" t="s">
        <v>8</v>
      </c>
      <c r="D726" t="s">
        <v>166</v>
      </c>
      <c r="E726" s="1">
        <v>38412</v>
      </c>
    </row>
    <row r="727" spans="1:5" x14ac:dyDescent="0.7">
      <c r="A727" t="str">
        <f>HYPERLINK("https://rocky-and-hopper.sakura.ne.jp/Kisho-Michelin/480/4-480-67009-2.htm","一手決断☆将棋戦法(9) 米長流 速攻居飛車")</f>
        <v>一手決断☆将棋戦法(9) 米長流 速攻居飛車</v>
      </c>
      <c r="B727" s="3" t="s">
        <v>40</v>
      </c>
      <c r="C727" t="s">
        <v>41</v>
      </c>
      <c r="D727" t="s">
        <v>191</v>
      </c>
      <c r="E727" s="1">
        <v>31625</v>
      </c>
    </row>
    <row r="728" spans="1:5" x14ac:dyDescent="0.7">
      <c r="A728" t="str">
        <f>HYPERLINK("https://rocky-and-hopper.sakura.ne.jp/Kisho-Michelin/89563/4-89563-510-4.htm","週将ブックスオレンジシリーズ(8) 振り飛車の逆襲 居飛穴なんかコワくない")</f>
        <v>週将ブックスオレンジシリーズ(8) 振り飛車の逆襲 居飛穴なんかコワくない</v>
      </c>
      <c r="B728" s="3" t="s">
        <v>14</v>
      </c>
      <c r="C728" t="s">
        <v>473</v>
      </c>
      <c r="D728" t="s">
        <v>313</v>
      </c>
      <c r="E728" s="1">
        <v>31837</v>
      </c>
    </row>
    <row r="729" spans="1:5" x14ac:dyDescent="0.7">
      <c r="A729" t="str">
        <f>HYPERLINK("https://rocky-and-hopper.sakura.ne.jp/Kisho-Michelin/620/4-620-50476-9.htm","第56期将棋名人戦")</f>
        <v>第56期将棋名人戦</v>
      </c>
      <c r="B729" s="3" t="s">
        <v>179</v>
      </c>
      <c r="C729" t="s">
        <v>195</v>
      </c>
      <c r="D729" t="s">
        <v>262</v>
      </c>
      <c r="E729" s="1">
        <v>36008</v>
      </c>
    </row>
    <row r="730" spans="1:5" x14ac:dyDescent="0.7">
      <c r="A730" t="str">
        <f>HYPERLINK("https://rocky-and-hopper.sakura.ne.jp/Kisho-Michelin/593/4-593-57186-3.htm","知りたい！なりたい！職業ガイド 囲碁/将棋にかかわる仕事 囲碁棋士/将棋棋士/用具製作者")</f>
        <v>知りたい！なりたい！職業ガイド 囲碁/将棋にかかわる仕事 囲碁棋士/将棋棋士/用具製作者</v>
      </c>
      <c r="B730" s="3" t="s">
        <v>215</v>
      </c>
      <c r="E730" s="1">
        <v>38412</v>
      </c>
    </row>
    <row r="731" spans="1:5" x14ac:dyDescent="0.7">
      <c r="A731" t="str">
        <f>HYPERLINK("https://rocky-and-hopper.sakura.ne.jp/Kisho-Michelin/2076/2076-311930-7108.htm","ヤング・レジャー(19) 現代将棋読本《入門編》 将棋の考え方 ●定跡の暗記より詰めの形で理解しよう！")</f>
        <v>ヤング・レジャー(19) 現代将棋読本《入門編》 将棋の考え方 ●定跡の暗記より詰めの形で理解しよう！</v>
      </c>
      <c r="B731" s="3" t="s">
        <v>12</v>
      </c>
      <c r="C731" t="s">
        <v>452</v>
      </c>
      <c r="D731" t="s">
        <v>247</v>
      </c>
      <c r="E731" s="1">
        <v>27030</v>
      </c>
    </row>
    <row r="732" spans="1:5" x14ac:dyDescent="0.7">
      <c r="A732" t="str">
        <f>HYPERLINK("https://rocky-and-hopper.sakura.ne.jp/Kisho-Michelin/8197/4-8197-0167-3.htm","3手詰ハンドブック")</f>
        <v>3手詰ハンドブック</v>
      </c>
      <c r="B732" s="3" t="s">
        <v>12</v>
      </c>
      <c r="D732" t="s">
        <v>214</v>
      </c>
      <c r="E732" s="1">
        <v>38443</v>
      </c>
    </row>
    <row r="733" spans="1:5" x14ac:dyDescent="0.7">
      <c r="A733" t="str">
        <f>HYPERLINK("https://rocky-and-hopper.sakura.ne.jp/Kisho-Michelin/620/4-620-50475-0.htm","第55期将棋名人戦")</f>
        <v>第55期将棋名人戦</v>
      </c>
      <c r="B733" s="3" t="s">
        <v>40</v>
      </c>
      <c r="C733" t="s">
        <v>122</v>
      </c>
      <c r="D733" t="s">
        <v>262</v>
      </c>
      <c r="E733" s="1">
        <v>35612</v>
      </c>
    </row>
    <row r="734" spans="1:5" x14ac:dyDescent="0.7">
      <c r="A734" t="str">
        <f>HYPERLINK("https://rocky-and-hopper.sakura.ne.jp/Kisho-Michelin/422/4-422-75099-2.htm","スーパー将棋講座 駒落ち新定跡 すべての駒落ちをひとつの戦法で戦う、新発想の定跡書！")</f>
        <v>スーパー将棋講座 駒落ち新定跡 すべての駒落ちをひとつの戦法で戦う、新発想の定跡書！</v>
      </c>
      <c r="B734" s="3" t="s">
        <v>12</v>
      </c>
      <c r="C734" t="s">
        <v>431</v>
      </c>
      <c r="D734" t="s">
        <v>56</v>
      </c>
      <c r="E734" s="1">
        <v>38473</v>
      </c>
    </row>
    <row r="735" spans="1:5" x14ac:dyDescent="0.7">
      <c r="A735" t="str">
        <f>HYPERLINK("https://rocky-and-hopper.sakura.ne.jp/Kisho-Michelin/7539/4-7539-1590-5.htm","羽生善治名人位防衛戦の舞台裏 羽生ＶＳ森内七番勝負での強さの秘密")</f>
        <v>羽生善治名人位防衛戦の舞台裏 羽生ＶＳ森内七番勝負での強さの秘密</v>
      </c>
      <c r="B735" s="3" t="s">
        <v>40</v>
      </c>
      <c r="D735" t="s">
        <v>126</v>
      </c>
      <c r="E735" s="1">
        <v>35400</v>
      </c>
    </row>
    <row r="736" spans="1:5" x14ac:dyDescent="0.7">
      <c r="A736" t="str">
        <f>HYPERLINK("https://rocky-and-hopper.sakura.ne.jp/Kisho-Michelin/480/4-480-69910-4.htm","一手精読☆現代将棋(10) 二上の名局 スピード感あふれる攻め ──二上美学の精華！")</f>
        <v>一手精読☆現代将棋(10) 二上の名局 スピード感あふれる攻め ──二上美学の精華！</v>
      </c>
      <c r="B736" s="3" t="s">
        <v>40</v>
      </c>
      <c r="C736" t="s">
        <v>417</v>
      </c>
      <c r="D736" t="s">
        <v>201</v>
      </c>
      <c r="E736" s="1">
        <v>31079</v>
      </c>
    </row>
    <row r="737" spans="1:5" x14ac:dyDescent="0.7">
      <c r="A737" t="str">
        <f>HYPERLINK("https://rocky-and-hopper.sakura.ne.jp/Kisho-Michelin/89563/4-89563-527-9.htm","週将ブックスオレンジシリーズ(17) 極め付け先手必勝法 カミソリ流ひねり飛車")</f>
        <v>週将ブックスオレンジシリーズ(17) 極め付け先手必勝法 カミソリ流ひねり飛車</v>
      </c>
      <c r="B737" s="3" t="s">
        <v>40</v>
      </c>
      <c r="C737" t="s">
        <v>8</v>
      </c>
      <c r="D737" t="s">
        <v>112</v>
      </c>
      <c r="E737" s="1">
        <v>32478</v>
      </c>
    </row>
    <row r="738" spans="1:5" x14ac:dyDescent="0.7">
      <c r="A738" t="str">
        <f>HYPERLINK("https://rocky-and-hopper.sakura.ne.jp/Kisho-Michelin/0076/0076-4041-5106.htm","詰め将棋必勝120題")</f>
        <v>詰め将棋必勝120題</v>
      </c>
      <c r="B738" s="3" t="s">
        <v>12</v>
      </c>
      <c r="D738" t="s">
        <v>314</v>
      </c>
      <c r="E738" s="1">
        <v>26755</v>
      </c>
    </row>
    <row r="739" spans="1:5" x14ac:dyDescent="0.7">
      <c r="A739" t="str">
        <f>HYPERLINK("https://rocky-and-hopper.sakura.ne.jp/Kisho-Michelin/620/4-620-50474-2.htm","第54期将棋名人戦")</f>
        <v>第54期将棋名人戦</v>
      </c>
      <c r="B739" s="3" t="s">
        <v>179</v>
      </c>
      <c r="C739" t="s">
        <v>482</v>
      </c>
      <c r="D739" t="s">
        <v>262</v>
      </c>
      <c r="E739" s="1">
        <v>35247</v>
      </c>
    </row>
    <row r="740" spans="1:5" x14ac:dyDescent="0.7">
      <c r="A740" t="str">
        <f>HYPERLINK("https://rocky-and-hopper.sakura.ne.jp/Kisho-Michelin/422/4-422-75070-4.htm","初段に挑戦する将棋シリーズ(20) 戦法別・ライバルを負かす法 どんな相手でもこの1冊でKO!!")</f>
        <v>初段に挑戦する将棋シリーズ(20) 戦法別・ライバルを負かす法 どんな相手でもこの1冊でKO!!</v>
      </c>
      <c r="B740" s="3" t="s">
        <v>40</v>
      </c>
      <c r="C740" t="s">
        <v>492</v>
      </c>
      <c r="D740" t="s">
        <v>135</v>
      </c>
      <c r="E740" s="1">
        <v>32234</v>
      </c>
    </row>
    <row r="741" spans="1:5" x14ac:dyDescent="0.7">
      <c r="A741" t="str">
        <f>HYPERLINK("https://rocky-and-hopper.sakura.ne.jp/Kisho-Michelin/381/4-381-00104-4.htm","MAN TO MAN BOOKS 続 楽しい詰将棋入門 ─5手詰・7手詰")</f>
        <v>MAN TO MAN BOOKS 続 楽しい詰将棋入門 ─5手詰・7手詰</v>
      </c>
      <c r="B741" s="3" t="s">
        <v>40</v>
      </c>
      <c r="D741" t="s">
        <v>191</v>
      </c>
      <c r="E741" s="1">
        <v>28095</v>
      </c>
    </row>
    <row r="742" spans="1:5" x14ac:dyDescent="0.7">
      <c r="A742" t="str">
        <f>HYPERLINK("https://rocky-and-hopper.sakura.ne.jp/Kisho-Michelin/620/4-620-50473-4.htm","第53期将棋名人戦")</f>
        <v>第53期将棋名人戦</v>
      </c>
      <c r="B742" s="3" t="s">
        <v>179</v>
      </c>
      <c r="C742" t="s">
        <v>482</v>
      </c>
      <c r="D742" t="s">
        <v>262</v>
      </c>
      <c r="E742" s="1">
        <v>34881</v>
      </c>
    </row>
    <row r="743" spans="1:5" x14ac:dyDescent="0.7">
      <c r="A743" t="str">
        <f>HYPERLINK("https://rocky-and-hopper.sakura.ne.jp/Kisho-Michelin/480/4-480-67002-5.htm","一手決断・将棋戦法(2) 加藤流矢倉＋中飛車破り")</f>
        <v>一手決断・将棋戦法(2) 加藤流矢倉＋中飛車破り</v>
      </c>
      <c r="B743" s="3" t="s">
        <v>40</v>
      </c>
      <c r="C743" t="s">
        <v>64</v>
      </c>
      <c r="D743" t="s">
        <v>77</v>
      </c>
      <c r="E743" s="1">
        <v>31382</v>
      </c>
    </row>
    <row r="744" spans="1:5" x14ac:dyDescent="0.7">
      <c r="A744" t="str">
        <f>HYPERLINK("https://rocky-and-hopper.sakura.ne.jp/Kisho-Michelin/278/4-278-08161-8.htm","詰将棋ドーンと200題 5・7・9手")</f>
        <v>詰将棋ドーンと200題 5・7・9手</v>
      </c>
      <c r="B744" s="3" t="s">
        <v>12</v>
      </c>
      <c r="D744" t="s">
        <v>315</v>
      </c>
      <c r="E744" s="1">
        <v>31444</v>
      </c>
    </row>
    <row r="745" spans="1:5" x14ac:dyDescent="0.7">
      <c r="A745" t="str">
        <f>HYPERLINK("https://rocky-and-hopper.sakura.ne.jp/Kisho-Michelin/620/4-620-50472-6.htm","第五十二期将棋名人戦 全記録")</f>
        <v>第五十二期将棋名人戦 全記録</v>
      </c>
      <c r="B745" s="3" t="s">
        <v>179</v>
      </c>
      <c r="C745" t="s">
        <v>318</v>
      </c>
      <c r="D745" t="s">
        <v>262</v>
      </c>
      <c r="E745" s="1">
        <v>34547</v>
      </c>
    </row>
    <row r="746" spans="1:5" x14ac:dyDescent="0.7">
      <c r="A746" t="str">
        <f>HYPERLINK("https://rocky-and-hopper.sakura.ne.jp/Kisho-Michelin/8399/4-8399-1641-1.htm","週将ブックス 我が道を行く 定跡の裏街道")</f>
        <v>週将ブックス 我が道を行く 定跡の裏街道</v>
      </c>
      <c r="B746" s="3" t="s">
        <v>12</v>
      </c>
      <c r="C746" t="s">
        <v>20</v>
      </c>
      <c r="D746" t="s">
        <v>132</v>
      </c>
      <c r="E746" s="1">
        <v>38322</v>
      </c>
    </row>
    <row r="747" spans="1:5" x14ac:dyDescent="0.7">
      <c r="A747" t="str">
        <f>HYPERLINK("https://rocky-and-hopper.sakura.ne.jp/Kisho-Michelin/86137/4-86137-009-4.htm","最強将棋21 四間飛車破り【急戦編】")</f>
        <v>最強将棋21 四間飛車破り【急戦編】</v>
      </c>
      <c r="B747" s="3" t="s">
        <v>0</v>
      </c>
      <c r="C747" t="s">
        <v>8</v>
      </c>
      <c r="D747" t="s">
        <v>211</v>
      </c>
      <c r="E747" s="1">
        <v>38443</v>
      </c>
    </row>
    <row r="748" spans="1:5" x14ac:dyDescent="0.7">
      <c r="A748" t="str">
        <f>HYPERLINK("https://rocky-and-hopper.sakura.ne.jp/Kisho-Michelin/620/4-620-50471-8.htm","第五十一期将棋名人戦 全記録")</f>
        <v>第五十一期将棋名人戦 全記録</v>
      </c>
      <c r="B748" s="3" t="s">
        <v>40</v>
      </c>
      <c r="C748" t="s">
        <v>428</v>
      </c>
      <c r="D748" t="s">
        <v>262</v>
      </c>
      <c r="E748" s="1">
        <v>34182</v>
      </c>
    </row>
    <row r="749" spans="1:5" x14ac:dyDescent="0.7">
      <c r="A749" t="str">
        <f>HYPERLINK("https://rocky-and-hopper.sakura.ne.jp/Kisho-Michelin/0376/0376-062024-4334.htm","芹沢将棋教室(2) 詰めの基本と応用")</f>
        <v>芹沢将棋教室(2) 詰めの基本と応用</v>
      </c>
      <c r="B749" s="3" t="s">
        <v>12</v>
      </c>
      <c r="D749" t="s">
        <v>218</v>
      </c>
      <c r="E749" s="1">
        <v>24228</v>
      </c>
    </row>
    <row r="750" spans="1:5" x14ac:dyDescent="0.7">
      <c r="A750" t="str">
        <f>HYPERLINK("https://rocky-and-hopper.sakura.ne.jp/Kisho-Michelin/415/4-415-04643-6.htm","LET'S PLAY SHOGI 詰将棋 実力テスト 一・二・三級")</f>
        <v>LET'S PLAY SHOGI 詰将棋 実力テスト 一・二・三級</v>
      </c>
      <c r="B750" s="3" t="s">
        <v>12</v>
      </c>
      <c r="D750" t="s">
        <v>139</v>
      </c>
      <c r="E750" s="1">
        <v>32752</v>
      </c>
    </row>
    <row r="751" spans="1:5" x14ac:dyDescent="0.7">
      <c r="A751" t="str">
        <f>HYPERLINK("https://rocky-and-hopper.sakura.ne.jp/Kisho-Michelin/480/4-480-67004-1.htm","一手決断☆将棋戦法(4) 中原流 必勝四間飛車")</f>
        <v>一手決断☆将棋戦法(4) 中原流 必勝四間飛車</v>
      </c>
      <c r="B751" s="3" t="s">
        <v>40</v>
      </c>
      <c r="C751" t="s">
        <v>8</v>
      </c>
      <c r="D751" t="s">
        <v>254</v>
      </c>
      <c r="E751" s="1">
        <v>31472</v>
      </c>
    </row>
    <row r="752" spans="1:5" x14ac:dyDescent="0.7">
      <c r="A752" t="str">
        <f>HYPERLINK("https://rocky-and-hopper.sakura.ne.jp/Kisho-Michelin/422/4-422-75057-7.htm","初段に挑戦するシリーズ(7) 棒銀戦法 攻めて攻めつぶせ！")</f>
        <v>初段に挑戦するシリーズ(7) 棒銀戦法 攻めて攻めつぶせ！</v>
      </c>
      <c r="B752" s="3" t="s">
        <v>14</v>
      </c>
      <c r="C752" t="s">
        <v>1</v>
      </c>
      <c r="D752" t="s">
        <v>315</v>
      </c>
      <c r="E752" s="1">
        <v>30376</v>
      </c>
    </row>
    <row r="753" spans="1:5" x14ac:dyDescent="0.7">
      <c r="A753" t="str">
        <f>HYPERLINK("https://rocky-and-hopper.sakura.ne.jp/Kisho-Michelin/422/4-422-75066-6.htm","初段に挑戦するシリーズ(16) とっておきの詰将棋 1")</f>
        <v>初段に挑戦するシリーズ(16) とっておきの詰将棋 1</v>
      </c>
      <c r="B753" s="3" t="s">
        <v>12</v>
      </c>
      <c r="D753" t="s">
        <v>189</v>
      </c>
      <c r="E753" s="1">
        <v>31778</v>
      </c>
    </row>
    <row r="754" spans="1:5" x14ac:dyDescent="0.7">
      <c r="A754" t="str">
        <f>HYPERLINK("https://rocky-and-hopper.sakura.ne.jp/Kisho-Michelin/422/4-422-75056-9.htm","初段に挑戦するシリーズ(6) 矢倉戦法 矢倉の核心に迫れ！")</f>
        <v>初段に挑戦するシリーズ(6) 矢倉戦法 矢倉の核心に迫れ！</v>
      </c>
      <c r="B754" s="3" t="s">
        <v>12</v>
      </c>
      <c r="D754" t="s">
        <v>316</v>
      </c>
      <c r="E754" s="1">
        <v>29891</v>
      </c>
    </row>
    <row r="755" spans="1:5" x14ac:dyDescent="0.7">
      <c r="A755" t="str">
        <f>HYPERLINK("https://rocky-and-hopper.sakura.ne.jp/Kisho-Michelin/422/4-422-75055-0.htm","初段に挑戦するシリーズ(5) 次の一手 最強の手筋 勝つ手は常に一つだ")</f>
        <v>初段に挑戦するシリーズ(5) 次の一手 最強の手筋 勝つ手は常に一つだ</v>
      </c>
      <c r="B755" s="3" t="s">
        <v>12</v>
      </c>
      <c r="C755" t="s">
        <v>438</v>
      </c>
      <c r="D755" t="s">
        <v>77</v>
      </c>
      <c r="E755" s="1">
        <v>29891</v>
      </c>
    </row>
    <row r="756" spans="1:5" x14ac:dyDescent="0.7">
      <c r="A756" t="str">
        <f>HYPERLINK("https://rocky-and-hopper.sakura.ne.jp/Kisho-Michelin/422/4-422-75054-2.htm","初段に挑戦するシリーズ(4) 寄せの妙手 逆転の可能性を探る")</f>
        <v>初段に挑戦するシリーズ(4) 寄せの妙手 逆転の可能性を探る</v>
      </c>
      <c r="B756" s="3" t="s">
        <v>12</v>
      </c>
      <c r="D756" t="s">
        <v>112</v>
      </c>
      <c r="E756" s="1">
        <v>29860</v>
      </c>
    </row>
    <row r="757" spans="1:5" x14ac:dyDescent="0.7">
      <c r="A757" t="str">
        <f>HYPERLINK("https://rocky-and-hopper.sakura.ne.jp/Kisho-Michelin/1076/1076-1121-0651.htm","将讃ブックス スーパー矢倉戦略 なぜ、あなたは矢倉を指さないのか!?")</f>
        <v>将讃ブックス スーパー矢倉戦略 なぜ、あなたは矢倉を指さないのか!?</v>
      </c>
      <c r="B757" s="3" t="s">
        <v>12</v>
      </c>
      <c r="C757" t="s">
        <v>471</v>
      </c>
      <c r="D757" t="s">
        <v>139</v>
      </c>
      <c r="E757" s="1">
        <v>30651</v>
      </c>
    </row>
    <row r="758" spans="1:5" x14ac:dyDescent="0.7">
      <c r="A758" t="str">
        <f>HYPERLINK("https://rocky-and-hopper.sakura.ne.jp/Kisho-Michelin/480/4-480-67001-7.htm","一手決断☆将棋戦法(1) 米長流 四間飛車撃破")</f>
        <v>一手決断☆将棋戦法(1) 米長流 四間飛車撃破</v>
      </c>
      <c r="B758" s="3" t="s">
        <v>40</v>
      </c>
      <c r="C758" t="s">
        <v>8</v>
      </c>
      <c r="D758" t="s">
        <v>191</v>
      </c>
      <c r="E758" s="1">
        <v>31352</v>
      </c>
    </row>
    <row r="759" spans="1:5" x14ac:dyDescent="0.7">
      <c r="A759" t="str">
        <f>HYPERLINK("https://rocky-and-hopper.sakura.ne.jp/Kisho-Michelin/89563/4-89563-653-4.htm","王様殺人事件")</f>
        <v>王様殺人事件</v>
      </c>
      <c r="B759" s="3" t="s">
        <v>14</v>
      </c>
      <c r="D759" t="s">
        <v>317</v>
      </c>
      <c r="E759" s="1">
        <v>35370</v>
      </c>
    </row>
    <row r="760" spans="1:5" x14ac:dyDescent="0.7">
      <c r="A760" t="str">
        <f>HYPERLINK("https://rocky-and-hopper.sakura.ne.jp/Kisho-Michelin/86137/4-86137-008-6.htm","HABU'S WORDS")</f>
        <v>HABU'S WORDS</v>
      </c>
      <c r="B760" s="3" t="s">
        <v>14</v>
      </c>
      <c r="D760" t="s">
        <v>21</v>
      </c>
      <c r="E760" s="1">
        <v>36861</v>
      </c>
    </row>
    <row r="761" spans="1:5" x14ac:dyDescent="0.7">
      <c r="A761" t="str">
        <f>HYPERLINK("https://rocky-and-hopper.sakura.ne.jp/Kisho-Michelin/490/4-490-10660-2.htm","日本将棋用語事典")</f>
        <v>日本将棋用語事典</v>
      </c>
      <c r="B761" s="3" t="s">
        <v>14</v>
      </c>
      <c r="C761" t="s">
        <v>461</v>
      </c>
      <c r="E761" s="1">
        <v>38322</v>
      </c>
    </row>
    <row r="762" spans="1:5" x14ac:dyDescent="0.7">
      <c r="A762" t="str">
        <f>HYPERLINK("https://rocky-and-hopper.sakura.ne.jp/Kisho-Michelin/8197/4-8197-0378-1.htm","谷川流寄せの法則 応用編")</f>
        <v>谷川流寄せの法則 応用編</v>
      </c>
      <c r="B762" s="3" t="s">
        <v>14</v>
      </c>
      <c r="C762" t="s">
        <v>449</v>
      </c>
      <c r="D762" t="s">
        <v>105</v>
      </c>
      <c r="E762" s="1">
        <v>38322</v>
      </c>
    </row>
    <row r="763" spans="1:5" x14ac:dyDescent="0.7">
      <c r="A763" t="str">
        <f>HYPERLINK("https://rocky-and-hopper.sakura.ne.jp/Kisho-Michelin/89563/4-89563-506-6.htm","週将ブックスオレンジシリーズ(6) だるま流森安の 振り飛車のススメ")</f>
        <v>週将ブックスオレンジシリーズ(6) だるま流森安の 振り飛車のススメ</v>
      </c>
      <c r="B763" s="3" t="s">
        <v>179</v>
      </c>
      <c r="C763" t="s">
        <v>45</v>
      </c>
      <c r="D763" t="s">
        <v>142</v>
      </c>
      <c r="E763" s="1">
        <v>31594</v>
      </c>
    </row>
    <row r="764" spans="1:5" x14ac:dyDescent="0.7">
      <c r="A764" t="str">
        <f>HYPERLINK("https://rocky-and-hopper.sakura.ne.jp/Kisho-Michelin/422/4-422-75053-4.htm","初段に挑戦するシリーズ(3) 振飛車戦法 【振飛車のコツをつかむ】")</f>
        <v>初段に挑戦するシリーズ(3) 振飛車戦法 【振飛車のコツをつかむ】</v>
      </c>
      <c r="B764" s="3" t="s">
        <v>14</v>
      </c>
      <c r="C764" t="s">
        <v>473</v>
      </c>
      <c r="D764" t="s">
        <v>295</v>
      </c>
      <c r="E764" s="1">
        <v>29495</v>
      </c>
    </row>
    <row r="765" spans="1:5" x14ac:dyDescent="0.7">
      <c r="A765" t="str">
        <f>HYPERLINK("https://rocky-and-hopper.sakura.ne.jp/Kisho-Michelin/8399/4-8399-1637-3.htm","新プロの将棋シリーズ(3) 田村流けんか殺法")</f>
        <v>新プロの将棋シリーズ(3) 田村流けんか殺法</v>
      </c>
      <c r="B765" s="3" t="s">
        <v>40</v>
      </c>
      <c r="C765" t="s">
        <v>489</v>
      </c>
      <c r="D765" t="s">
        <v>319</v>
      </c>
      <c r="E765" s="1">
        <v>38292</v>
      </c>
    </row>
    <row r="766" spans="1:5" x14ac:dyDescent="0.7">
      <c r="A766" t="str">
        <f>HYPERLINK("https://rocky-and-hopper.sakura.ne.jp/Kisho-Michelin/278/4-278-08119-7.htm","中原誠の 3度将棋が強くなるシリーズ 居飛車穴熊 〔3度〕将棋が強くなる")</f>
        <v>中原誠の 3度将棋が強くなるシリーズ 居飛車穴熊 〔3度〕将棋が強くなる</v>
      </c>
      <c r="B766" s="3" t="s">
        <v>40</v>
      </c>
      <c r="C766" t="s">
        <v>131</v>
      </c>
      <c r="D766" t="s">
        <v>254</v>
      </c>
      <c r="E766" s="1">
        <v>32051</v>
      </c>
    </row>
    <row r="767" spans="1:5" x14ac:dyDescent="0.7">
      <c r="A767" t="str">
        <f>HYPERLINK("https://rocky-and-hopper.sakura.ne.jp/Kisho-Michelin/8399/4-8399-1697-7.htm","MYCOM将棋文庫SP 手筋の達人 矢倉の手筋が満載")</f>
        <v>MYCOM将棋文庫SP 手筋の達人 矢倉の手筋が満載</v>
      </c>
      <c r="B767" s="3" t="s">
        <v>12</v>
      </c>
      <c r="D767" t="s">
        <v>143</v>
      </c>
      <c r="E767" s="1">
        <v>38384</v>
      </c>
    </row>
    <row r="768" spans="1:5" x14ac:dyDescent="0.7">
      <c r="A768" t="str">
        <f>HYPERLINK("https://rocky-and-hopper.sakura.ne.jp/Kisho-Michelin/1076/1076-1112-0651.htm","チャート式穴熊破り これを知らないと勝てない")</f>
        <v>チャート式穴熊破り これを知らないと勝てない</v>
      </c>
      <c r="B768" s="3" t="s">
        <v>12</v>
      </c>
      <c r="C768" t="s">
        <v>133</v>
      </c>
      <c r="D768" t="s">
        <v>320</v>
      </c>
      <c r="E768" s="1">
        <v>29465</v>
      </c>
    </row>
    <row r="769" spans="1:5" x14ac:dyDescent="0.7">
      <c r="A769" t="str">
        <f>HYPERLINK("https://rocky-and-hopper.sakura.ne.jp/Kisho-Michelin/422/4-422-75052-6.htm","初段に挑戦する将棋シリーズ(2) なぜ疑問手か？ イモ筋をプロ筋に!!")</f>
        <v>初段に挑戦する将棋シリーズ(2) なぜ疑問手か？ イモ筋をプロ筋に!!</v>
      </c>
      <c r="B769" s="3" t="s">
        <v>14</v>
      </c>
      <c r="C769" t="s">
        <v>34</v>
      </c>
      <c r="D769" t="s">
        <v>315</v>
      </c>
      <c r="E769" s="1">
        <v>29373</v>
      </c>
    </row>
    <row r="770" spans="1:5" x14ac:dyDescent="0.7">
      <c r="A770" t="str">
        <f>HYPERLINK("https://rocky-and-hopper.sakura.ne.jp/Kisho-Michelin/89287/4-89287-109-5.htm","王将ブックス 将棋入門 一手の奇襲")</f>
        <v>王将ブックス 将棋入門 一手の奇襲</v>
      </c>
      <c r="B770" s="3" t="s">
        <v>40</v>
      </c>
      <c r="C770" t="s">
        <v>64</v>
      </c>
      <c r="D770" t="s">
        <v>239</v>
      </c>
      <c r="E770" s="1">
        <v>34151</v>
      </c>
    </row>
    <row r="771" spans="1:5" x14ac:dyDescent="0.7">
      <c r="A771" t="str">
        <f>HYPERLINK("https://rocky-and-hopper.sakura.ne.jp/Kisho-Michelin/278/4-278-08116-2.htm","中原誠の 3度将棋が強くなるシリーズ 必殺 美濃破り 〔3度〕将棋が強くなる")</f>
        <v>中原誠の 3度将棋が強くなるシリーズ 必殺 美濃破り 〔3度〕将棋が強くなる</v>
      </c>
      <c r="B771" s="3" t="s">
        <v>40</v>
      </c>
      <c r="C771" t="s">
        <v>428</v>
      </c>
      <c r="D771" t="s">
        <v>254</v>
      </c>
      <c r="E771" s="1">
        <v>31625</v>
      </c>
    </row>
    <row r="772" spans="1:5" x14ac:dyDescent="0.7">
      <c r="A772" t="str">
        <f>HYPERLINK("https://rocky-and-hopper.sakura.ne.jp/Kisho-Michelin/638/4-638-07232-1.htm","米長将棋全4巻-3 米長流基本手筋 実戦の急所 仕掛けの徹底研究")</f>
        <v>米長将棋全4巻-3 米長流基本手筋 実戦の急所 仕掛けの徹底研究</v>
      </c>
      <c r="B772" s="3" t="s">
        <v>40</v>
      </c>
      <c r="C772" t="s">
        <v>486</v>
      </c>
      <c r="D772" t="s">
        <v>191</v>
      </c>
      <c r="E772" s="1">
        <v>32203</v>
      </c>
    </row>
    <row r="773" spans="1:5" x14ac:dyDescent="0.7">
      <c r="A773" t="str">
        <f>HYPERLINK("https://rocky-and-hopper.sakura.ne.jp/Kisho-Michelin/321/4-321-55214-1.htm","内藤国雄の次の一手シリーズ 石田流・穴熊破り")</f>
        <v>内藤国雄の次の一手シリーズ 石田流・穴熊破り</v>
      </c>
      <c r="B773" s="3" t="s">
        <v>12</v>
      </c>
      <c r="D773" t="s">
        <v>247</v>
      </c>
      <c r="E773" s="1">
        <v>29495</v>
      </c>
    </row>
    <row r="774" spans="1:5" x14ac:dyDescent="0.7">
      <c r="A774" t="str">
        <f>HYPERLINK("https://rocky-and-hopper.sakura.ne.jp/Kisho-Michelin/278/4-278-08114-6.htm","3度将棋が強くなるシリーズ 矢倉戦 〔3度〕将棋が強くなる")</f>
        <v>3度将棋が強くなるシリーズ 矢倉戦 〔3度〕将棋が強くなる</v>
      </c>
      <c r="B774" s="3" t="s">
        <v>40</v>
      </c>
      <c r="D774" t="s">
        <v>254</v>
      </c>
      <c r="E774" s="1">
        <v>31138</v>
      </c>
    </row>
    <row r="775" spans="1:5" x14ac:dyDescent="0.7">
      <c r="A775" t="str">
        <f>HYPERLINK("https://rocky-and-hopper.sakura.ne.jp/Kisho-Michelin/905689/4-905689-08-2.htm","(秘)初公開！ アマ将棋日本一になる法")</f>
        <v>(秘)初公開！ アマ将棋日本一になる法</v>
      </c>
      <c r="B775" s="3" t="s">
        <v>14</v>
      </c>
      <c r="D775" t="s">
        <v>321</v>
      </c>
      <c r="E775" s="1">
        <v>31747</v>
      </c>
    </row>
    <row r="776" spans="1:5" x14ac:dyDescent="0.7">
      <c r="A776" t="str">
        <f>HYPERLINK("https://rocky-and-hopper.sakura.ne.jp/Kisho-Michelin/638/4-638-07231-3.htm","米長将棋全4巻-2 米長流攻め方の基本手筋 一手入魂手筋の極意")</f>
        <v>米長将棋全4巻-2 米長流攻め方の基本手筋 一手入魂手筋の極意</v>
      </c>
      <c r="B776" s="3" t="s">
        <v>40</v>
      </c>
      <c r="C776" t="s">
        <v>428</v>
      </c>
      <c r="D776" t="s">
        <v>191</v>
      </c>
      <c r="E776" s="1">
        <v>31868</v>
      </c>
    </row>
    <row r="777" spans="1:5" x14ac:dyDescent="0.7">
      <c r="A777" t="str">
        <f>HYPERLINK("https://rocky-and-hopper.sakura.ne.jp/Kisho-Michelin/86137/4-86137-003-5.htm","最強将棋レクチャーブックス(2) 寄せが見える本 【応用編】")</f>
        <v>最強将棋レクチャーブックス(2) 寄せが見える本 【応用編】</v>
      </c>
      <c r="B777" s="3" t="s">
        <v>0</v>
      </c>
      <c r="D777" t="s">
        <v>213</v>
      </c>
      <c r="E777" s="1">
        <v>38108</v>
      </c>
    </row>
    <row r="778" spans="1:5" x14ac:dyDescent="0.7">
      <c r="A778" t="str">
        <f>HYPERLINK("https://rocky-and-hopper.sakura.ne.jp/Kisho-Michelin/422/4-422-75051-8.htm","初段に挑戦する将棋シリーズ(1) 仕掛けの時機 攻めの原点を探る")</f>
        <v>初段に挑戦する将棋シリーズ(1) 仕掛けの時機 攻めの原点を探る</v>
      </c>
      <c r="B778" s="3" t="s">
        <v>40</v>
      </c>
      <c r="C778" t="s">
        <v>41</v>
      </c>
      <c r="D778" t="s">
        <v>217</v>
      </c>
      <c r="E778" s="1">
        <v>29373</v>
      </c>
    </row>
    <row r="779" spans="1:5" x14ac:dyDescent="0.7">
      <c r="A779" t="str">
        <f>HYPERLINK("https://rocky-and-hopper.sakura.ne.jp/Kisho-Michelin/422/4-422-75046-1.htm","アマの将棋 ここが悪い！(6) 棒銀戦法")</f>
        <v>アマの将棋 ここが悪い！(6) 棒銀戦法</v>
      </c>
      <c r="B779" s="3" t="s">
        <v>12</v>
      </c>
      <c r="C779" t="s">
        <v>424</v>
      </c>
      <c r="D779" t="s">
        <v>71</v>
      </c>
      <c r="E779" s="1">
        <v>37257</v>
      </c>
    </row>
    <row r="780" spans="1:5" x14ac:dyDescent="0.7">
      <c r="A780" t="str">
        <f>HYPERLINK("https://rocky-and-hopper.sakura.ne.jp/Kisho-Michelin/0276/0276-000057-4808.htm","花村流実戦将棋 ─鬼手・妙手入門─")</f>
        <v>花村流実戦将棋 ─鬼手・妙手入門─</v>
      </c>
      <c r="B780" s="3" t="s">
        <v>12</v>
      </c>
      <c r="D780" t="s">
        <v>322</v>
      </c>
      <c r="E780" t="s">
        <v>323</v>
      </c>
    </row>
    <row r="781" spans="1:5" x14ac:dyDescent="0.7">
      <c r="A781" t="str">
        <f>HYPERLINK("https://rocky-and-hopper.sakura.ne.jp/Kisho-Michelin/278/4-278-08115-4.htm","中原誠の 3度将棋が強くなるシリーズ 必殺 穴熊破り 〔3度〕将棋が強くなる")</f>
        <v>中原誠の 3度将棋が強くなるシリーズ 必殺 穴熊破り 〔3度〕将棋が強くなる</v>
      </c>
      <c r="B781" s="3" t="s">
        <v>179</v>
      </c>
      <c r="C781" t="s">
        <v>41</v>
      </c>
      <c r="D781" t="s">
        <v>254</v>
      </c>
      <c r="E781" s="1">
        <v>31444</v>
      </c>
    </row>
    <row r="782" spans="1:5" x14ac:dyDescent="0.7">
      <c r="A782" t="str">
        <f>HYPERLINK("https://rocky-and-hopper.sakura.ne.jp/Kisho-Michelin/8197/4-8197-0229-7.htm","米長邦雄の本")</f>
        <v>米長邦雄の本</v>
      </c>
      <c r="B782" s="3" t="s">
        <v>14</v>
      </c>
      <c r="D782" t="s">
        <v>191</v>
      </c>
      <c r="E782" s="1">
        <v>38078</v>
      </c>
    </row>
    <row r="783" spans="1:5" x14ac:dyDescent="0.7">
      <c r="A783" t="str">
        <f>HYPERLINK("https://rocky-and-hopper.sakura.ne.jp/Kisho-Michelin/638/4-638-07230-5.htm","米長将棋全4巻-1 米長流必ず勝つ基本手筋 米長手筋の基礎の基礎")</f>
        <v>米長将棋全4巻-1 米長流必ず勝つ基本手筋 米長手筋の基礎の基礎</v>
      </c>
      <c r="B783" s="3" t="s">
        <v>12</v>
      </c>
      <c r="C783" t="s">
        <v>493</v>
      </c>
      <c r="D783" t="s">
        <v>191</v>
      </c>
      <c r="E783" s="1">
        <v>31564</v>
      </c>
    </row>
    <row r="784" spans="1:5" x14ac:dyDescent="0.7">
      <c r="A784" t="str">
        <f>HYPERLINK("https://rocky-and-hopper.sakura.ne.jp/Kisho-Michelin/278/4-278-08118-9.htm","中原誠の 3度将棋が強くなるシリーズ 急戦腰掛銀 〔3度〕将棋が強くなる")</f>
        <v>中原誠の 3度将棋が強くなるシリーズ 急戦腰掛銀 〔3度〕将棋が強くなる</v>
      </c>
      <c r="B784" s="3" t="s">
        <v>40</v>
      </c>
      <c r="D784" t="s">
        <v>254</v>
      </c>
      <c r="E784" s="1">
        <v>32021</v>
      </c>
    </row>
    <row r="785" spans="1:5" x14ac:dyDescent="0.7">
      <c r="A785" t="str">
        <f>HYPERLINK("https://rocky-and-hopper.sakura.ne.jp/Kisho-Michelin/1076/1076-1111-0651.htm","５人の一流棋士が明かす 将棋(秘)上達法")</f>
        <v>５人の一流棋士が明かす 将棋(秘)上達法</v>
      </c>
      <c r="B785" s="3" t="s">
        <v>14</v>
      </c>
      <c r="D785" t="s">
        <v>324</v>
      </c>
      <c r="E785" s="1">
        <v>29160</v>
      </c>
    </row>
    <row r="786" spans="1:5" x14ac:dyDescent="0.7">
      <c r="A786" t="str">
        <f>HYPERLINK("https://rocky-and-hopper.sakura.ne.jp/Kisho-Michelin/278/4-278-08117-0.htm","中原誠の 3度将棋が強くなるシリーズ 急戦矢倉 〔3度〕将棋が強くなる")</f>
        <v>中原誠の 3度将棋が強くなるシリーズ 急戦矢倉 〔3度〕将棋が強くなる</v>
      </c>
      <c r="B786" s="3" t="s">
        <v>40</v>
      </c>
      <c r="C786" t="s">
        <v>64</v>
      </c>
      <c r="D786" t="s">
        <v>254</v>
      </c>
      <c r="E786" s="1">
        <v>31809</v>
      </c>
    </row>
    <row r="787" spans="1:5" x14ac:dyDescent="0.7">
      <c r="A787" t="str">
        <f>HYPERLINK("https://rocky-and-hopper.sakura.ne.jp/Kisho-Michelin/8197/4-8197-0113-4.htm","寅ちゃん流上達法 なかなか強くなれないと悩んでいる人へ")</f>
        <v>寅ちゃん流上達法 なかなか強くなれないと悩んでいる人へ</v>
      </c>
      <c r="B787" s="3" t="s">
        <v>12</v>
      </c>
      <c r="D787" t="s">
        <v>139</v>
      </c>
      <c r="E787" s="1">
        <v>30987</v>
      </c>
    </row>
    <row r="788" spans="1:5" x14ac:dyDescent="0.7">
      <c r="A788" t="str">
        <f>HYPERLINK("https://rocky-and-hopper.sakura.ne.jp/Kisho-Michelin/86137/4-86137-002-7.htm","最強将棋レクチャーブックス(1) 寄せが見える本 【基礎編】")</f>
        <v>最強将棋レクチャーブックス(1) 寄せが見える本 【基礎編】</v>
      </c>
      <c r="B788" s="3" t="s">
        <v>0</v>
      </c>
      <c r="D788" t="s">
        <v>213</v>
      </c>
      <c r="E788" s="1">
        <v>38078</v>
      </c>
    </row>
    <row r="789" spans="1:5" x14ac:dyDescent="0.7">
      <c r="A789" t="str">
        <f>HYPERLINK("https://rocky-and-hopper.sakura.ne.jp/Kisho-Michelin/87576/4-87576-993-8.htm","まんが羽生善治物語")</f>
        <v>まんが羽生善治物語</v>
      </c>
      <c r="B789" s="3" t="s">
        <v>40</v>
      </c>
      <c r="D789" t="s">
        <v>325</v>
      </c>
      <c r="E789" s="1">
        <v>34851</v>
      </c>
    </row>
    <row r="790" spans="1:5" x14ac:dyDescent="0.7">
      <c r="A790" t="str">
        <f>HYPERLINK("https://rocky-and-hopper.sakura.ne.jp/Kisho-Michelin/8197/4-8197-0377-3.htm","羽生の法則 Volume 3 玉桂香の手筋")</f>
        <v>羽生の法則 Volume 3 玉桂香の手筋</v>
      </c>
      <c r="B790" s="3" t="s">
        <v>12</v>
      </c>
      <c r="D790" t="s">
        <v>294</v>
      </c>
      <c r="E790" s="1">
        <v>38231</v>
      </c>
    </row>
    <row r="791" spans="1:5" x14ac:dyDescent="0.7">
      <c r="A791" t="str">
        <f>HYPERLINK("https://rocky-and-hopper.sakura.ne.jp/Kisho-Michelin/278/4-278-08110-3.htm","中原誠の 3度将棋が強くなるシリーズ 四間飛車 〔3度〕将棋が強くなる")</f>
        <v>中原誠の 3度将棋が強くなるシリーズ 四間飛車 〔3度〕将棋が強くなる</v>
      </c>
      <c r="B791" s="3" t="s">
        <v>12</v>
      </c>
      <c r="C791" t="s">
        <v>8</v>
      </c>
      <c r="D791" t="s">
        <v>254</v>
      </c>
      <c r="E791" s="1">
        <v>30773</v>
      </c>
    </row>
    <row r="792" spans="1:5" x14ac:dyDescent="0.7">
      <c r="A792" t="str">
        <f>HYPERLINK("https://rocky-and-hopper.sakura.ne.jp/Kisho-Michelin/422/4-422-75045-3.htm","アマの将棋 ここが悪い！(5) 居飛車穴熊戦法")</f>
        <v>アマの将棋 ここが悪い！(5) 居飛車穴熊戦法</v>
      </c>
      <c r="B792" s="3" t="s">
        <v>40</v>
      </c>
      <c r="C792" t="s">
        <v>41</v>
      </c>
      <c r="D792" t="s">
        <v>139</v>
      </c>
      <c r="E792" s="1">
        <v>37135</v>
      </c>
    </row>
    <row r="793" spans="1:5" x14ac:dyDescent="0.7">
      <c r="A793" t="str">
        <f>HYPERLINK("https://rocky-and-hopper.sakura.ne.jp/Kisho-Michelin/8197/4-8197-0102-9.htm","青野流近代棒銀")</f>
        <v>青野流近代棒銀</v>
      </c>
      <c r="B793" s="3" t="s">
        <v>14</v>
      </c>
      <c r="C793" t="s">
        <v>242</v>
      </c>
      <c r="D793" t="s">
        <v>71</v>
      </c>
      <c r="E793" s="1">
        <v>30529</v>
      </c>
    </row>
    <row r="794" spans="1:5" x14ac:dyDescent="0.7">
      <c r="A794" t="str">
        <f>HYPERLINK("https://rocky-and-hopper.sakura.ne.jp/Kisho-Michelin/0276/0276-064014-0316.htm","中原の将棋シリーズ(1) 中原の将棋教室")</f>
        <v>中原の将棋シリーズ(1) 中原の将棋教室</v>
      </c>
      <c r="B794" s="3" t="s">
        <v>179</v>
      </c>
      <c r="C794" t="s">
        <v>480</v>
      </c>
      <c r="D794" t="s">
        <v>254</v>
      </c>
      <c r="E794" s="1">
        <v>27211</v>
      </c>
    </row>
    <row r="795" spans="1:5" x14ac:dyDescent="0.7">
      <c r="A795" t="str">
        <f>HYPERLINK("https://rocky-and-hopper.sakura.ne.jp/Kisho-Michelin/257/4-257-03482-3.htm","熱闘!100番勝負 将棋・珍プレー好プレー")</f>
        <v>熱闘!100番勝負 将棋・珍プレー好プレー</v>
      </c>
      <c r="B795" s="3" t="s">
        <v>12</v>
      </c>
      <c r="D795" t="s">
        <v>326</v>
      </c>
      <c r="E795" s="1">
        <v>35186</v>
      </c>
    </row>
    <row r="796" spans="1:5" x14ac:dyDescent="0.7">
      <c r="A796" t="str">
        <f>HYPERLINK("https://rocky-and-hopper.sakura.ne.jp/Kisho-Michelin/422/4-422-75044-5.htm","アマの将棋 ここが悪い！(4) 四間飛車戦法")</f>
        <v>アマの将棋 ここが悪い！(4) 四間飛車戦法</v>
      </c>
      <c r="B796" s="3" t="s">
        <v>12</v>
      </c>
      <c r="C796" t="s">
        <v>8</v>
      </c>
      <c r="D796" t="s">
        <v>152</v>
      </c>
      <c r="E796" s="1">
        <v>37104</v>
      </c>
    </row>
    <row r="797" spans="1:5" x14ac:dyDescent="0.7">
      <c r="A797" t="str">
        <f>HYPERLINK("https://rocky-and-hopper.sakura.ne.jp/Kisho-Michelin/7703/4-7703-3551-2.htm","高島一岐代九段攻戦集 攻めの高島実戦21局集")</f>
        <v>高島一岐代九段攻戦集 攻めの高島実戦21局集</v>
      </c>
      <c r="B797" s="3" t="s">
        <v>14</v>
      </c>
      <c r="C797" t="s">
        <v>415</v>
      </c>
      <c r="D797" t="s">
        <v>327</v>
      </c>
      <c r="E797" t="s">
        <v>328</v>
      </c>
    </row>
    <row r="798" spans="1:5" x14ac:dyDescent="0.7">
      <c r="A798" t="str">
        <f>HYPERLINK("https://rocky-and-hopper.sakura.ne.jp/Kisho-Michelin/0200/0200-011294-7617.htm","ワニの本 歩兵の妙手 ヘボ将棋に強い(2)")</f>
        <v>ワニの本 歩兵の妙手 ヘボ将棋に強い(2)</v>
      </c>
      <c r="B798" s="3" t="s">
        <v>12</v>
      </c>
      <c r="D798" t="s">
        <v>112</v>
      </c>
      <c r="E798" s="1">
        <v>28034</v>
      </c>
    </row>
    <row r="799" spans="1:5" x14ac:dyDescent="0.7">
      <c r="A799" t="str">
        <f>HYPERLINK("https://rocky-and-hopper.sakura.ne.jp/Kisho-Michelin/278/4-278-08113-8.htm","中原誠の3度将棋が強くなるシリーズ 棒銀戦 〔3度〕将棋が強くなる")</f>
        <v>中原誠の3度将棋が強くなるシリーズ 棒銀戦 〔3度〕将棋が強くなる</v>
      </c>
      <c r="B799" s="3" t="s">
        <v>12</v>
      </c>
      <c r="C799" t="s">
        <v>1</v>
      </c>
      <c r="D799" t="s">
        <v>254</v>
      </c>
      <c r="E799" s="1">
        <v>31079</v>
      </c>
    </row>
    <row r="800" spans="1:5" x14ac:dyDescent="0.7">
      <c r="A800" t="str">
        <f>HYPERLINK("https://rocky-and-hopper.sakura.ne.jp/Kisho-Michelin/391/4-391-12066-6.htm","森内優駿流棋本ブックス 囲い崩しの棋本手筋 終盤の一手に大きな差が出る")</f>
        <v>森内優駿流棋本ブックス 囲い崩しの棋本手筋 終盤の一手に大きな差が出る</v>
      </c>
      <c r="B800" s="3" t="s">
        <v>12</v>
      </c>
      <c r="C800" t="s">
        <v>20</v>
      </c>
      <c r="D800" t="s">
        <v>329</v>
      </c>
      <c r="E800" s="1">
        <v>35674</v>
      </c>
    </row>
    <row r="801" spans="1:5" x14ac:dyDescent="0.7">
      <c r="A801" t="str">
        <f>HYPERLINK("https://rocky-and-hopper.sakura.ne.jp/Kisho-Michelin/309/4-309-73133-3.htm","最強将棋塾 ごきげん中飛車を指しこなす本")</f>
        <v>最強将棋塾 ごきげん中飛車を指しこなす本</v>
      </c>
      <c r="B801" s="3" t="s">
        <v>14</v>
      </c>
      <c r="C801" t="s">
        <v>64</v>
      </c>
      <c r="D801" t="s">
        <v>163</v>
      </c>
      <c r="E801" s="1">
        <v>37438</v>
      </c>
    </row>
    <row r="802" spans="1:5" x14ac:dyDescent="0.7">
      <c r="A802" t="str">
        <f>HYPERLINK("https://rocky-and-hopper.sakura.ne.jp/Kisho-Michelin/88574/4-88574-428-8.htm","詰めと必至")</f>
        <v>詰めと必至</v>
      </c>
      <c r="B802" s="3" t="s">
        <v>12</v>
      </c>
      <c r="D802" t="s">
        <v>247</v>
      </c>
      <c r="E802" t="s">
        <v>330</v>
      </c>
    </row>
    <row r="803" spans="1:5" x14ac:dyDescent="0.7">
      <c r="A803" t="str">
        <f>HYPERLINK("https://rocky-and-hopper.sakura.ne.jp/Kisho-Michelin/89563/4-89563-578-3.htm","週刊将棋特選 好プレー・珍プレー集(2) 将棋ザ・ハプニング")</f>
        <v>週刊将棋特選 好プレー・珍プレー集(2) 将棋ザ・ハプニング</v>
      </c>
      <c r="B803" s="3" t="s">
        <v>12</v>
      </c>
      <c r="D803" t="s">
        <v>331</v>
      </c>
      <c r="E803" s="1">
        <v>34029</v>
      </c>
    </row>
    <row r="804" spans="1:5" x14ac:dyDescent="0.7">
      <c r="A804" t="str">
        <f>HYPERLINK("https://rocky-and-hopper.sakura.ne.jp/Kisho-Michelin/86137/4-86137-005-1.htm","最強将棋21 注釈 康光戦記")</f>
        <v>最強将棋21 注釈 康光戦記</v>
      </c>
      <c r="B804" s="3" t="s">
        <v>12</v>
      </c>
      <c r="C804" t="s">
        <v>494</v>
      </c>
      <c r="D804" t="s">
        <v>129</v>
      </c>
      <c r="E804" s="1">
        <v>38169</v>
      </c>
    </row>
    <row r="805" spans="1:5" x14ac:dyDescent="0.7">
      <c r="A805" t="str">
        <f>HYPERLINK("https://rocky-and-hopper.sakura.ne.jp/Kisho-Michelin/2276/2276-0106-5892.htm","日将ブックス 初段最短コース")</f>
        <v>日将ブックス 初段最短コース</v>
      </c>
      <c r="B805" s="3" t="s">
        <v>14</v>
      </c>
      <c r="D805" t="s">
        <v>247</v>
      </c>
      <c r="E805" s="1">
        <v>26755</v>
      </c>
    </row>
    <row r="806" spans="1:5" x14ac:dyDescent="0.7">
      <c r="A806" t="str">
        <f>HYPERLINK("https://rocky-and-hopper.sakura.ne.jp/Kisho-Michelin/05/4-05-201768-4.htm","学研まんが 新ひみつシリーズ(6) 将棋のひみつ")</f>
        <v>学研まんが 新ひみつシリーズ(6) 将棋のひみつ</v>
      </c>
      <c r="B806" s="3" t="s">
        <v>14</v>
      </c>
      <c r="C806" t="s">
        <v>428</v>
      </c>
      <c r="D806" t="s">
        <v>332</v>
      </c>
      <c r="E806" s="1">
        <v>37773</v>
      </c>
    </row>
    <row r="807" spans="1:5" x14ac:dyDescent="0.7">
      <c r="A807" t="str">
        <f>HYPERLINK("https://rocky-and-hopper.sakura.ne.jp/Kisho-Michelin/07/4-07-239600-1.htm","主婦の友ベストBOOKS 羽生善治 みんなの将棋入門")</f>
        <v>主婦の友ベストBOOKS 羽生善治 みんなの将棋入門</v>
      </c>
      <c r="B807" s="3" t="s">
        <v>179</v>
      </c>
      <c r="D807" t="s">
        <v>21</v>
      </c>
      <c r="E807" s="1">
        <v>38078</v>
      </c>
    </row>
    <row r="808" spans="1:5" x14ac:dyDescent="0.7">
      <c r="A808" t="str">
        <f>HYPERLINK("https://rocky-and-hopper.sakura.ne.jp/Kisho-Michelin/89287/4-89287-036-6.htm","王将ブックス DELUXE版 Ｃ ハメ手シリーズ(1) 奇襲戦法 上")</f>
        <v>王将ブックス DELUXE版 Ｃ ハメ手シリーズ(1) 奇襲戦法 上</v>
      </c>
      <c r="B808" s="3" t="s">
        <v>12</v>
      </c>
      <c r="C808" t="s">
        <v>64</v>
      </c>
      <c r="D808" t="s">
        <v>218</v>
      </c>
      <c r="E808" s="1">
        <v>32325</v>
      </c>
    </row>
    <row r="809" spans="1:5" x14ac:dyDescent="0.7">
      <c r="A809" t="str">
        <f>HYPERLINK("https://rocky-and-hopper.sakura.ne.jp/Kisho-Michelin/2276/2276-0119-5892.htm","独自の細密解説 加藤一二三格言集")</f>
        <v>独自の細密解説 加藤一二三格言集</v>
      </c>
      <c r="B809" s="3" t="s">
        <v>40</v>
      </c>
      <c r="D809" t="s">
        <v>77</v>
      </c>
      <c r="E809" s="1">
        <v>27607</v>
      </c>
    </row>
    <row r="810" spans="1:5" x14ac:dyDescent="0.7">
      <c r="A810" t="str">
        <f>HYPERLINK("https://rocky-and-hopper.sakura.ne.jp/Kisho-Michelin/408/4-408-39457-2.htm","羽生善治大逆転十番勝負")</f>
        <v>羽生善治大逆転十番勝負</v>
      </c>
      <c r="B810" s="3" t="s">
        <v>12</v>
      </c>
      <c r="D810" t="s">
        <v>333</v>
      </c>
      <c r="E810" s="1">
        <v>35582</v>
      </c>
    </row>
    <row r="811" spans="1:5" x14ac:dyDescent="0.7">
      <c r="A811" t="str">
        <f>HYPERLINK("https://rocky-and-hopper.sakura.ne.jp/Kisho-Michelin/8197/4-8197-0376-5.htm","谷川流寄せの法則 基礎編")</f>
        <v>谷川流寄せの法則 基礎編</v>
      </c>
      <c r="B811" s="3" t="s">
        <v>0</v>
      </c>
      <c r="C811" t="s">
        <v>116</v>
      </c>
      <c r="D811" t="s">
        <v>105</v>
      </c>
      <c r="E811" s="1">
        <v>38169</v>
      </c>
    </row>
    <row r="812" spans="1:5" x14ac:dyDescent="0.7">
      <c r="A812" t="str">
        <f>HYPERLINK("https://rocky-and-hopper.sakura.ne.jp/Kisho-Michelin/89287/4-89287-040-4.htm","王将ブックスDELUXE版 ―C ハメ手シリーズ(5) 九段 芹沢博文の 猪突銀戦法")</f>
        <v>王将ブックスDELUXE版 ―C ハメ手シリーズ(5) 九段 芹沢博文の 猪突銀戦法</v>
      </c>
      <c r="B812" s="3" t="s">
        <v>12</v>
      </c>
      <c r="C812" t="s">
        <v>34</v>
      </c>
      <c r="D812" t="s">
        <v>218</v>
      </c>
      <c r="E812" s="1">
        <v>32203</v>
      </c>
    </row>
    <row r="813" spans="1:5" x14ac:dyDescent="0.7">
      <c r="A813" t="str">
        <f>HYPERLINK("https://rocky-and-hopper.sakura.ne.jp/Kisho-Michelin/89563/4-89563-646-1.htm","めちゃカンタン 先ちゃんの将棋ABC")</f>
        <v>めちゃカンタン 先ちゃんの将棋ABC</v>
      </c>
      <c r="B813" s="3" t="s">
        <v>14</v>
      </c>
      <c r="D813" t="s">
        <v>186</v>
      </c>
      <c r="E813" s="1">
        <v>35065</v>
      </c>
    </row>
    <row r="814" spans="1:5" x14ac:dyDescent="0.7">
      <c r="A814" t="str">
        <f>HYPERLINK("https://rocky-and-hopper.sakura.ne.jp/Kisho-Michelin/89563/4-89563-606-2.htm","棒銀一直線 将棋がもっと楽しくなる！")</f>
        <v>棒銀一直線 将棋がもっと楽しくなる！</v>
      </c>
      <c r="B814" s="3" t="s">
        <v>14</v>
      </c>
      <c r="C814" t="s">
        <v>495</v>
      </c>
      <c r="D814" t="s">
        <v>132</v>
      </c>
      <c r="E814" s="1">
        <v>34578</v>
      </c>
    </row>
    <row r="815" spans="1:5" x14ac:dyDescent="0.7">
      <c r="A815" t="str">
        <f>HYPERLINK("https://rocky-and-hopper.sakura.ne.jp/Kisho-Michelin/00/4-00-700119-7.htm","岩波アクティブ新書(119) やりなおしの将棋")</f>
        <v>岩波アクティブ新書(119) やりなおしの将棋</v>
      </c>
      <c r="B815" s="3" t="s">
        <v>14</v>
      </c>
      <c r="C815" t="s">
        <v>8</v>
      </c>
      <c r="D815" t="s">
        <v>186</v>
      </c>
      <c r="E815" s="1">
        <v>38169</v>
      </c>
    </row>
    <row r="816" spans="1:5" x14ac:dyDescent="0.7">
      <c r="A816" t="str">
        <f>HYPERLINK("https://rocky-and-hopper.sakura.ne.jp/Kisho-Michelin/89287/4-89287-107-9.htm","王将ブックス これが極秘の一手だ NHK杯戦にみる投了図100選")</f>
        <v>王将ブックス これが極秘の一手だ NHK杯戦にみる投了図100選</v>
      </c>
      <c r="B816" s="3" t="s">
        <v>12</v>
      </c>
      <c r="D816" t="s">
        <v>334</v>
      </c>
      <c r="E816" s="1">
        <v>33664</v>
      </c>
    </row>
    <row r="817" spans="1:5" x14ac:dyDescent="0.7">
      <c r="A817" t="str">
        <f>HYPERLINK("https://rocky-and-hopper.sakura.ne.jp/Kisho-Michelin/480/4-480-05141-4.htm","ちくまライブラリー(41) ロジカルな将棋入門")</f>
        <v>ちくまライブラリー(41) ロジカルな将棋入門</v>
      </c>
      <c r="B817" s="3" t="s">
        <v>12</v>
      </c>
      <c r="D817" t="s">
        <v>335</v>
      </c>
      <c r="E817" s="1">
        <v>32994</v>
      </c>
    </row>
    <row r="818" spans="1:5" x14ac:dyDescent="0.7">
      <c r="A818" t="str">
        <f>HYPERLINK("https://rocky-and-hopper.sakura.ne.jp/Kisho-Michelin/0076/0076-10415-5139.htm","実戦解説 中原の自然流")</f>
        <v>実戦解説 中原の自然流</v>
      </c>
      <c r="B818" s="3" t="s">
        <v>40</v>
      </c>
      <c r="C818" t="s">
        <v>34</v>
      </c>
      <c r="D818" t="s">
        <v>254</v>
      </c>
      <c r="E818" s="1">
        <v>26877</v>
      </c>
    </row>
    <row r="819" spans="1:5" x14ac:dyDescent="0.7">
      <c r="A819" t="str">
        <f>HYPERLINK("https://rocky-and-hopper.sakura.ne.jp/Kisho-Michelin/2076/2076-0004-1535.htm","第一回 朝日アマ・プロ角落戦")</f>
        <v>第一回 朝日アマ・プロ角落戦</v>
      </c>
      <c r="B819" s="3" t="s">
        <v>12</v>
      </c>
      <c r="D819" t="s">
        <v>336</v>
      </c>
      <c r="E819" s="1">
        <v>29373</v>
      </c>
    </row>
    <row r="820" spans="1:5" x14ac:dyDescent="0.7">
      <c r="A820" t="str">
        <f>HYPERLINK("https://rocky-and-hopper.sakura.ne.jp/Kisho-Michelin/905689/4-905689-77-5.htm","級位者のための実力養成講座 有段者への道案内")</f>
        <v>級位者のための実力養成講座 有段者への道案内</v>
      </c>
      <c r="B820" s="3" t="s">
        <v>40</v>
      </c>
      <c r="C820" t="s">
        <v>420</v>
      </c>
      <c r="D820" t="s">
        <v>258</v>
      </c>
      <c r="E820" s="1">
        <v>38047</v>
      </c>
    </row>
    <row r="821" spans="1:5" x14ac:dyDescent="0.7">
      <c r="A821" t="str">
        <f>HYPERLINK("https://rocky-and-hopper.sakura.ne.jp/Kisho-Michelin/584/4-584-00493-5.htm","ワニの本 ベストセラーズ ボクは陽気な負け犬 強いばかりが人生じゃない")</f>
        <v>ワニの本 ベストセラーズ ボクは陽気な負け犬 強いばかりが人生じゃない</v>
      </c>
      <c r="B821" s="3" t="s">
        <v>40</v>
      </c>
      <c r="D821" t="s">
        <v>337</v>
      </c>
      <c r="E821" s="1">
        <v>30348</v>
      </c>
    </row>
    <row r="822" spans="1:5" x14ac:dyDescent="0.7">
      <c r="A822" t="str">
        <f>HYPERLINK("https://rocky-and-hopper.sakura.ne.jp/Kisho-Michelin/8197/4-8197-0204-1.htm","光速の終盤術")</f>
        <v>光速の終盤術</v>
      </c>
      <c r="B822" s="3" t="s">
        <v>0</v>
      </c>
      <c r="D822" t="s">
        <v>105</v>
      </c>
      <c r="E822" s="1">
        <v>32478</v>
      </c>
    </row>
    <row r="823" spans="1:5" x14ac:dyDescent="0.7">
      <c r="A823" t="str">
        <f>HYPERLINK("https://rocky-and-hopper.sakura.ne.jp/Kisho-Michelin/0276/0276-0197-4664.htm","楽しみながら覚える妙手 将棋格言この一手")</f>
        <v>楽しみながら覚える妙手 将棋格言この一手</v>
      </c>
      <c r="B823" s="3" t="s">
        <v>40</v>
      </c>
      <c r="D823" t="s">
        <v>201</v>
      </c>
      <c r="E823" s="1">
        <v>28764</v>
      </c>
    </row>
    <row r="824" spans="1:5" x14ac:dyDescent="0.7">
      <c r="A824" t="str">
        <f>HYPERLINK("https://rocky-and-hopper.sakura.ne.jp/Kisho-Michelin/89563/4-89563-584-8.htm","名局コレクション[1] 現代矢倉")</f>
        <v>名局コレクション[1] 現代矢倉</v>
      </c>
      <c r="B824" s="3" t="s">
        <v>40</v>
      </c>
      <c r="C824" t="s">
        <v>1</v>
      </c>
      <c r="D824" t="s">
        <v>338</v>
      </c>
      <c r="E824" s="1">
        <v>34243</v>
      </c>
    </row>
    <row r="825" spans="1:5" x14ac:dyDescent="0.7">
      <c r="A825" t="str">
        <f>HYPERLINK("https://rocky-and-hopper.sakura.ne.jp/Kisho-Michelin/2076/2076-12100-5615.htm","実用百科シリーズ 大五郎流中飛車 負けない中飛車の攻め方")</f>
        <v>実用百科シリーズ 大五郎流中飛車 負けない中飛車の攻め方</v>
      </c>
      <c r="B825" s="3" t="s">
        <v>40</v>
      </c>
      <c r="C825" t="s">
        <v>64</v>
      </c>
      <c r="D825" t="s">
        <v>220</v>
      </c>
      <c r="E825" s="1">
        <v>27364</v>
      </c>
    </row>
    <row r="826" spans="1:5" x14ac:dyDescent="0.7">
      <c r="A826" t="str">
        <f>HYPERLINK("https://rocky-and-hopper.sakura.ne.jp/Kisho-Michelin/0200/0200-115800-3822.htm","プレイブックス 逆転の将棋 ─秘密の受け・攻め・読み・捌き")</f>
        <v>プレイブックス 逆転の将棋 ─秘密の受け・攻め・読み・捌き</v>
      </c>
      <c r="B826" s="3" t="s">
        <v>12</v>
      </c>
      <c r="C826" t="s">
        <v>494</v>
      </c>
      <c r="D826" t="s">
        <v>77</v>
      </c>
      <c r="E826" t="s">
        <v>323</v>
      </c>
    </row>
    <row r="827" spans="1:5" x14ac:dyDescent="0.7">
      <c r="A827" t="str">
        <f>HYPERLINK("https://rocky-and-hopper.sakura.ne.jp/Kisho-Michelin/8197/4-8197-0210-6.htm","谷川VS羽生100番勝負 最高峰の激闘譜")</f>
        <v>谷川VS羽生100番勝負 最高峰の激闘譜</v>
      </c>
      <c r="B827" s="3" t="s">
        <v>0</v>
      </c>
      <c r="C827" t="s">
        <v>41</v>
      </c>
      <c r="D827" t="s">
        <v>256</v>
      </c>
      <c r="E827" s="1">
        <v>36770</v>
      </c>
    </row>
    <row r="828" spans="1:5" x14ac:dyDescent="0.7">
      <c r="A828" t="str">
        <f>HYPERLINK("https://rocky-and-hopper.sakura.ne.jp/Kisho-Michelin/471/4-471-13291-1.htm","塚田泰明の速攻将棋 中飛車破り 【5七銀左戦法】")</f>
        <v>塚田泰明の速攻将棋 中飛車破り 【5七銀左戦法】</v>
      </c>
      <c r="B828" s="3" t="s">
        <v>14</v>
      </c>
      <c r="C828" t="s">
        <v>64</v>
      </c>
      <c r="D828" t="s">
        <v>279</v>
      </c>
      <c r="E828" s="1">
        <v>33208</v>
      </c>
    </row>
    <row r="829" spans="1:5" x14ac:dyDescent="0.7">
      <c r="A829" t="str">
        <f>HYPERLINK("https://rocky-and-hopper.sakura.ne.jp/Kisho-Michelin/8197/4-8197-0112-6.htm","逆転のテクニック 下巻 悪い将棋はこう指せ！")</f>
        <v>逆転のテクニック 下巻 悪い将棋はこう指せ！</v>
      </c>
      <c r="B829" s="3" t="s">
        <v>40</v>
      </c>
      <c r="D829" t="s">
        <v>191</v>
      </c>
      <c r="E829" s="1">
        <v>30864</v>
      </c>
    </row>
    <row r="830" spans="1:5" x14ac:dyDescent="0.7">
      <c r="A830" t="str">
        <f>HYPERLINK("https://rocky-and-hopper.sakura.ne.jp/Kisho-Michelin/8197/4-8197-0111-8.htm","逆転のテクニック 上巻 悪い将棋はこう指せ！")</f>
        <v>逆転のテクニック 上巻 悪い将棋はこう指せ！</v>
      </c>
      <c r="B830" s="3" t="s">
        <v>12</v>
      </c>
      <c r="D830" t="s">
        <v>191</v>
      </c>
      <c r="E830" s="1">
        <v>30864</v>
      </c>
    </row>
    <row r="831" spans="1:5" x14ac:dyDescent="0.7">
      <c r="A831" t="str">
        <f>HYPERLINK("https://rocky-and-hopper.sakura.ne.jp/Kisho-Michelin/2076/2076-10911-5892.htm","弱いのが強いのに勝つ法 ─勝負の理論─")</f>
        <v>弱いのが強いのに勝つ法 ─勝負の理論─</v>
      </c>
      <c r="B831" s="3" t="s">
        <v>14</v>
      </c>
      <c r="D831" t="s">
        <v>337</v>
      </c>
      <c r="E831" s="1">
        <v>29465</v>
      </c>
    </row>
    <row r="832" spans="1:5" x14ac:dyDescent="0.7">
      <c r="A832" t="str">
        <f>HYPERLINK("https://rocky-and-hopper.sakura.ne.jp/Kisho-Michelin/8399/4-8399-1563-6.htm","週将ブックス 役に立つ 将棋の格言99")</f>
        <v>週将ブックス 役に立つ 将棋の格言99</v>
      </c>
      <c r="B832" s="3" t="s">
        <v>14</v>
      </c>
      <c r="D832" t="s">
        <v>132</v>
      </c>
      <c r="E832" s="1">
        <v>38047</v>
      </c>
    </row>
    <row r="833" spans="1:5" x14ac:dyDescent="0.7">
      <c r="A833" t="str">
        <f>HYPERLINK("https://rocky-and-hopper.sakura.ne.jp/Kisho-Michelin/8197/4-8197-0353-6.htm","日将ブックス 最強中飛車 中飛車を使って攻めつぶせ！")</f>
        <v>日将ブックス 最強中飛車 中飛車を使って攻めつぶせ！</v>
      </c>
      <c r="B833" s="3" t="s">
        <v>12</v>
      </c>
      <c r="C833" t="s">
        <v>64</v>
      </c>
      <c r="D833" t="s">
        <v>191</v>
      </c>
      <c r="E833" s="1">
        <v>27120</v>
      </c>
    </row>
    <row r="834" spans="1:5" x14ac:dyDescent="0.7">
      <c r="A834" t="str">
        <f>HYPERLINK("https://rocky-and-hopper.sakura.ne.jp/Kisho-Michelin/0276/0276-30056-2270.htm","十段戦名局集(1) 盤側観戦記")</f>
        <v>十段戦名局集(1) 盤側観戦記</v>
      </c>
      <c r="B834" s="3" t="s">
        <v>12</v>
      </c>
      <c r="C834" t="s">
        <v>496</v>
      </c>
      <c r="D834" t="s">
        <v>339</v>
      </c>
      <c r="E834" t="s">
        <v>244</v>
      </c>
    </row>
    <row r="835" spans="1:5" x14ac:dyDescent="0.7">
      <c r="A835" t="str">
        <f>HYPERLINK("https://rocky-and-hopper.sakura.ne.jp/Kisho-Michelin/262/4-262-10206-8.htm","中原の将棋シリーズ(6) 中原の 駒別 次の一手 《歩・香・桂》")</f>
        <v>中原の将棋シリーズ(6) 中原の 駒別 次の一手 《歩・香・桂》</v>
      </c>
      <c r="B835" s="3" t="s">
        <v>12</v>
      </c>
      <c r="D835" t="s">
        <v>254</v>
      </c>
      <c r="E835" s="1">
        <v>28581</v>
      </c>
    </row>
    <row r="836" spans="1:5" x14ac:dyDescent="0.7">
      <c r="A836" t="str">
        <f>HYPERLINK("https://rocky-and-hopper.sakura.ne.jp/Kisho-Michelin/89287/4-89287-021-8.htm","王将ブックス ポケット版 ─ 振飛車 シリーズ�T 中飛車戦法")</f>
        <v>王将ブックス ポケット版 ─ 振飛車 シリーズ�T 中飛車戦法</v>
      </c>
      <c r="B836" s="3" t="s">
        <v>40</v>
      </c>
      <c r="C836" t="s">
        <v>64</v>
      </c>
      <c r="D836" t="s">
        <v>237</v>
      </c>
      <c r="E836" t="s">
        <v>223</v>
      </c>
    </row>
    <row r="837" spans="1:5" x14ac:dyDescent="0.7">
      <c r="A837" t="str">
        <f>HYPERLINK("https://rocky-and-hopper.sakura.ne.jp/Kisho-Michelin/8399/4-8399-1220-3.htm","寝る前に解く3手詰・5手詰")</f>
        <v>寝る前に解く3手詰・5手詰</v>
      </c>
      <c r="B837" s="3" t="s">
        <v>12</v>
      </c>
      <c r="D837" t="s">
        <v>340</v>
      </c>
      <c r="E837" s="1">
        <v>37834</v>
      </c>
    </row>
    <row r="838" spans="1:5" x14ac:dyDescent="0.7">
      <c r="A838" t="str">
        <f>HYPERLINK("https://rocky-and-hopper.sakura.ne.jp/Kisho-Michelin/278/4-278-08111-1.htm","中原誠の 3度将棋が強くなるシリーズ 中飛車 〔3度〕将棋が強くなる")</f>
        <v>中原誠の 3度将棋が強くなるシリーズ 中飛車 〔3度〕将棋が強くなる</v>
      </c>
      <c r="B838" s="3" t="s">
        <v>12</v>
      </c>
      <c r="C838" t="s">
        <v>64</v>
      </c>
      <c r="D838" t="s">
        <v>254</v>
      </c>
      <c r="E838" s="1">
        <v>30895</v>
      </c>
    </row>
    <row r="839" spans="1:5" x14ac:dyDescent="0.7">
      <c r="A839" t="str">
        <f>HYPERLINK("https://rocky-and-hopper.sakura.ne.jp/Kisho-Michelin/905689/4-905689-20-1.htm","振飛車破りシリーズ 中飛車を破れ・下巻")</f>
        <v>振飛車破りシリーズ 中飛車を破れ・下巻</v>
      </c>
      <c r="B839" s="3" t="s">
        <v>14</v>
      </c>
      <c r="C839" t="s">
        <v>64</v>
      </c>
      <c r="D839" t="s">
        <v>315</v>
      </c>
      <c r="E839" s="1">
        <v>30103</v>
      </c>
    </row>
    <row r="840" spans="1:5" x14ac:dyDescent="0.7">
      <c r="A840" t="str">
        <f>HYPERLINK("https://rocky-and-hopper.sakura.ne.jp/Kisho-Michelin/905689/4-905689-19-8.htm","振飛車破りシリーズ 中飛車を破れ・上巻")</f>
        <v>振飛車破りシリーズ 中飛車を破れ・上巻</v>
      </c>
      <c r="B840" s="3" t="s">
        <v>14</v>
      </c>
      <c r="C840" t="s">
        <v>64</v>
      </c>
      <c r="D840" t="s">
        <v>315</v>
      </c>
      <c r="E840" s="1">
        <v>29921</v>
      </c>
    </row>
    <row r="841" spans="1:5" x14ac:dyDescent="0.7">
      <c r="A841" t="str">
        <f>HYPERLINK("https://rocky-and-hopper.sakura.ne.jp/Kisho-Michelin/8399/4-8399-1448-6.htm","達人の道 米長邦雄達人戦勝局集")</f>
        <v>達人の道 米長邦雄達人戦勝局集</v>
      </c>
      <c r="B841" s="3" t="s">
        <v>12</v>
      </c>
      <c r="D841" t="s">
        <v>191</v>
      </c>
      <c r="E841" s="1">
        <v>38047</v>
      </c>
    </row>
    <row r="842" spans="1:5" x14ac:dyDescent="0.7">
      <c r="A842" t="str">
        <f>HYPERLINK("https://rocky-and-hopper.sakura.ne.jp/Kisho-Michelin/415/4-415-04735-1.htm","新しい詰将棋 ２・３・４級")</f>
        <v>新しい詰将棋 ２・３・４級</v>
      </c>
      <c r="B842" s="3" t="s">
        <v>40</v>
      </c>
      <c r="D842" t="s">
        <v>79</v>
      </c>
      <c r="E842" t="s">
        <v>341</v>
      </c>
    </row>
    <row r="843" spans="1:5" x14ac:dyDescent="0.7">
      <c r="A843" t="str">
        <f>HYPERLINK("https://rocky-and-hopper.sakura.ne.jp/Kisho-Michelin/391/4-391-12323-1.htm","森内優駿流 棋本ブックス 華麗なる将棋大技テクニック 【問題150】飛車角の大駒が盤上に舞う！")</f>
        <v>森内優駿流 棋本ブックス 華麗なる将棋大技テクニック 【問題150】飛車角の大駒が盤上に舞う！</v>
      </c>
      <c r="B843" s="3" t="s">
        <v>14</v>
      </c>
      <c r="C843" t="s">
        <v>41</v>
      </c>
      <c r="D843" t="s">
        <v>342</v>
      </c>
      <c r="E843" s="1">
        <v>36373</v>
      </c>
    </row>
    <row r="844" spans="1:5" x14ac:dyDescent="0.7">
      <c r="A844" t="str">
        <f>HYPERLINK("https://rocky-and-hopper.sakura.ne.jp/Kisho-Michelin/2076/2076-313222-7108.htm","ヤング・レジャー(32) 現代将棋読本《初級編》 内藤国雄の 駒別 次の妙手")</f>
        <v>ヤング・レジャー(32) 現代将棋読本《初級編》 内藤国雄の 駒別 次の妙手</v>
      </c>
      <c r="B844" s="3" t="s">
        <v>14</v>
      </c>
      <c r="D844" t="s">
        <v>247</v>
      </c>
      <c r="E844" s="1">
        <v>30072</v>
      </c>
    </row>
    <row r="845" spans="1:5" x14ac:dyDescent="0.7">
      <c r="A845" t="str">
        <f>HYPERLINK("https://rocky-and-hopper.sakura.ne.jp/Kisho-Michelin/422/4-422-75034-8.htm","駒別スーパー手筋講座(2) 飛角桂香の徹底活用術")</f>
        <v>駒別スーパー手筋講座(2) 飛角桂香の徹底活用術</v>
      </c>
      <c r="B845" s="3" t="s">
        <v>12</v>
      </c>
      <c r="D845" t="s">
        <v>135</v>
      </c>
      <c r="E845" s="1">
        <v>36739</v>
      </c>
    </row>
    <row r="846" spans="1:5" x14ac:dyDescent="0.7">
      <c r="A846" t="str">
        <f>HYPERLINK("https://rocky-and-hopper.sakura.ne.jp/Kisho-Michelin/620/4-620-50449-1.htm","第四十九期将棋名人戦 全記録")</f>
        <v>第四十九期将棋名人戦 全記録</v>
      </c>
      <c r="B846" s="3" t="s">
        <v>40</v>
      </c>
      <c r="C846" t="s">
        <v>1</v>
      </c>
      <c r="D846" t="s">
        <v>262</v>
      </c>
      <c r="E846" s="1">
        <v>33451</v>
      </c>
    </row>
    <row r="847" spans="1:5" x14ac:dyDescent="0.7">
      <c r="A847" t="str">
        <f>HYPERLINK("https://rocky-and-hopper.sakura.ne.jp/Kisho-Michelin/2076/2076-313627-7108.htm","ヤング・レジャー(36) 内藤国雄の 詰将棋傑作集 ハンディ版")</f>
        <v>ヤング・レジャー(36) 内藤国雄の 詰将棋傑作集 ハンディ版</v>
      </c>
      <c r="B847" s="3" t="s">
        <v>12</v>
      </c>
      <c r="D847" t="s">
        <v>247</v>
      </c>
      <c r="E847" s="1">
        <v>30895</v>
      </c>
    </row>
    <row r="848" spans="1:5" x14ac:dyDescent="0.7">
      <c r="A848" t="str">
        <f>HYPERLINK("https://rocky-and-hopper.sakura.ne.jp/Kisho-Michelin/2076/2076-11010-5892.htm","中原・森の第36期名人戦写真集")</f>
        <v>中原・森の第36期名人戦写真集</v>
      </c>
      <c r="B848" s="3" t="s">
        <v>12</v>
      </c>
      <c r="E848" s="1">
        <v>28004</v>
      </c>
    </row>
    <row r="849" spans="1:5" x14ac:dyDescent="0.7">
      <c r="A849" t="str">
        <f>HYPERLINK("https://rocky-and-hopper.sakura.ne.jp/Kisho-Michelin/0276/0276-209-6016.htm","入門詰将棋100題")</f>
        <v>入門詰将棋100題</v>
      </c>
      <c r="B849" s="3" t="s">
        <v>40</v>
      </c>
      <c r="D849" t="s">
        <v>287</v>
      </c>
      <c r="E849" s="1">
        <v>29434</v>
      </c>
    </row>
    <row r="850" spans="1:5" x14ac:dyDescent="0.7">
      <c r="A850" t="str">
        <f>HYPERLINK("https://rocky-and-hopper.sakura.ne.jp/Kisho-Michelin/2076/2076-313930-7108.htm","ヤング・レジャー(39) 内藤国雄の 袖飛車戦法と石田流 ハンディ版")</f>
        <v>ヤング・レジャー(39) 内藤国雄の 袖飛車戦法と石田流 ハンディ版</v>
      </c>
      <c r="B850" s="3" t="s">
        <v>14</v>
      </c>
      <c r="D850" t="s">
        <v>247</v>
      </c>
      <c r="E850" s="1">
        <v>30803</v>
      </c>
    </row>
    <row r="851" spans="1:5" x14ac:dyDescent="0.7">
      <c r="A851" t="str">
        <f>HYPERLINK("https://rocky-and-hopper.sakura.ne.jp/Kisho-Michelin/8197/4-8197-0375-7.htm","羽生の法則 Volume 2 金銀の手筋")</f>
        <v>羽生の法則 Volume 2 金銀の手筋</v>
      </c>
      <c r="B851" s="3" t="s">
        <v>12</v>
      </c>
      <c r="D851" t="s">
        <v>294</v>
      </c>
      <c r="E851" s="1">
        <v>38078</v>
      </c>
    </row>
    <row r="852" spans="1:5" x14ac:dyDescent="0.7">
      <c r="A852" t="str">
        <f>HYPERLINK("https://rocky-and-hopper.sakura.ne.jp/Kisho-Michelin/262/4-262-10286-6.htm","5手詰めから15手詰めまで 中村修の不思議流詰め将棋 ─詰め棋力判定付き─")</f>
        <v>5手詰めから15手詰めまで 中村修の不思議流詰め将棋 ─詰め棋力判定付き─</v>
      </c>
      <c r="B852" s="3" t="s">
        <v>40</v>
      </c>
      <c r="D852" t="s">
        <v>290</v>
      </c>
      <c r="E852" s="1">
        <v>32540</v>
      </c>
    </row>
    <row r="853" spans="1:5" x14ac:dyDescent="0.7">
      <c r="A853" t="str">
        <f>HYPERLINK("https://rocky-and-hopper.sakura.ne.jp/Kisho-Michelin/340/4-340-07107-2.htm","駒落ち定跡から覚えよう 将棋初級入門")</f>
        <v>駒落ち定跡から覚えよう 将棋初級入門</v>
      </c>
      <c r="B853" s="3" t="s">
        <v>179</v>
      </c>
      <c r="C853" t="s">
        <v>8</v>
      </c>
      <c r="D853" t="s">
        <v>343</v>
      </c>
      <c r="E853" s="1">
        <v>28764</v>
      </c>
    </row>
    <row r="854" spans="1:5" x14ac:dyDescent="0.7">
      <c r="A854" t="str">
        <f>HYPERLINK("https://rocky-and-hopper.sakura.ne.jp/Kisho-Michelin/422/4-422-75094-1.htm","将棋終盤力養成講座(4) 次の一手問題集 必至のかけ方 寄せのコツを体得する")</f>
        <v>将棋終盤力養成講座(4) 次の一手問題集 必至のかけ方 寄せのコツを体得する</v>
      </c>
      <c r="B854" s="3" t="s">
        <v>12</v>
      </c>
      <c r="D854" t="s">
        <v>112</v>
      </c>
      <c r="E854" s="1">
        <v>37712</v>
      </c>
    </row>
    <row r="855" spans="1:5" x14ac:dyDescent="0.7">
      <c r="A855" t="str">
        <f>HYPERLINK("https://rocky-and-hopper.sakura.ne.jp/Kisho-Michelin/422/4-422-75035-6.htm","駒別スーパー手筋講座(3) 玉金銀の徹底活用術")</f>
        <v>駒別スーパー手筋講座(3) 玉金銀の徹底活用術</v>
      </c>
      <c r="B855" s="3" t="s">
        <v>12</v>
      </c>
      <c r="D855" t="s">
        <v>135</v>
      </c>
      <c r="E855" s="1">
        <v>36861</v>
      </c>
    </row>
    <row r="856" spans="1:5" x14ac:dyDescent="0.7">
      <c r="A856" t="str">
        <f>HYPERLINK("https://rocky-and-hopper.sakura.ne.jp/Kisho-Michelin/620/4-620-50448-3.htm","第四十八期将棋名人戦 全記録")</f>
        <v>第四十八期将棋名人戦 全記録</v>
      </c>
      <c r="B856" s="3" t="s">
        <v>179</v>
      </c>
      <c r="C856" t="s">
        <v>122</v>
      </c>
      <c r="D856" t="s">
        <v>262</v>
      </c>
      <c r="E856" s="1">
        <v>33147</v>
      </c>
    </row>
    <row r="857" spans="1:5" x14ac:dyDescent="0.7">
      <c r="A857" t="str">
        <f>HYPERLINK("https://rocky-and-hopper.sakura.ne.jp/Kisho-Michelin/89563/4-89563-669-0.htm","実戦！スーパー四間飛車")</f>
        <v>実戦！スーパー四間飛車</v>
      </c>
      <c r="B857" s="3" t="s">
        <v>12</v>
      </c>
      <c r="C857" t="s">
        <v>8</v>
      </c>
      <c r="D857" t="s">
        <v>135</v>
      </c>
      <c r="E857" s="1">
        <v>35462</v>
      </c>
    </row>
    <row r="858" spans="1:5" x14ac:dyDescent="0.7">
      <c r="A858" t="str">
        <f>HYPERLINK("https://rocky-and-hopper.sakura.ne.jp/Kisho-Michelin/89563/4-89563-673-9.htm","力戦！スーパー振り飛車")</f>
        <v>力戦！スーパー振り飛車</v>
      </c>
      <c r="B858" s="3" t="s">
        <v>12</v>
      </c>
      <c r="C858" t="s">
        <v>430</v>
      </c>
      <c r="D858" t="s">
        <v>135</v>
      </c>
      <c r="E858" s="1">
        <v>35643</v>
      </c>
    </row>
    <row r="859" spans="1:5" x14ac:dyDescent="0.7">
      <c r="A859" t="str">
        <f>HYPERLINK("https://rocky-and-hopper.sakura.ne.jp/Kisho-Michelin/8197/4-8197-0166-5.htm","5手詰ハンドブック")</f>
        <v>5手詰ハンドブック</v>
      </c>
      <c r="B859" s="3" t="s">
        <v>14</v>
      </c>
      <c r="D859" t="s">
        <v>214</v>
      </c>
      <c r="E859" s="1">
        <v>38018</v>
      </c>
    </row>
    <row r="860" spans="1:5" x14ac:dyDescent="0.7">
      <c r="A860" t="str">
        <f>HYPERLINK("https://rocky-and-hopper.sakura.ne.jp/Kisho-Michelin/1076/1076-1116-0651.htm","新版 角落必勝法 これを知らないと勝てない！")</f>
        <v>新版 角落必勝法 これを知らないと勝てない！</v>
      </c>
      <c r="B860" s="3" t="s">
        <v>12</v>
      </c>
      <c r="D860" t="s">
        <v>254</v>
      </c>
      <c r="E860" s="1">
        <v>29190</v>
      </c>
    </row>
    <row r="861" spans="1:5" x14ac:dyDescent="0.7">
      <c r="A861" t="str">
        <f>HYPERLINK("https://rocky-and-hopper.sakura.ne.jp/Kisho-Michelin/620/4-620-50447-5.htm","第四十七期将棋名人戦 全記録")</f>
        <v>第四十七期将棋名人戦 全記録</v>
      </c>
      <c r="B861" s="3" t="s">
        <v>40</v>
      </c>
      <c r="C861" t="s">
        <v>22</v>
      </c>
      <c r="D861" t="s">
        <v>262</v>
      </c>
      <c r="E861" s="1">
        <v>32813</v>
      </c>
    </row>
    <row r="862" spans="1:5" x14ac:dyDescent="0.7">
      <c r="A862" t="str">
        <f>HYPERLINK("https://rocky-and-hopper.sakura.ne.jp/Kisho-Michelin/89563/4-89563-599-6.htm","さわやかな詰将棋105 楽しみながら強くなる")</f>
        <v>さわやかな詰将棋105 楽しみながら強くなる</v>
      </c>
      <c r="B862" s="3" t="s">
        <v>12</v>
      </c>
      <c r="D862" t="s">
        <v>344</v>
      </c>
      <c r="E862" s="1">
        <v>34455</v>
      </c>
    </row>
    <row r="863" spans="1:5" x14ac:dyDescent="0.7">
      <c r="A863" t="str">
        <f>HYPERLINK("https://rocky-and-hopper.sakura.ne.jp/Kisho-Michelin/931538/4-931538-03-7.htm","将棋倶楽部24万局集")</f>
        <v>将棋倶楽部24万局集</v>
      </c>
      <c r="B863" s="3" t="s">
        <v>14</v>
      </c>
      <c r="C863" t="s">
        <v>8</v>
      </c>
      <c r="D863" t="s">
        <v>345</v>
      </c>
      <c r="E863" s="1">
        <v>37316</v>
      </c>
    </row>
    <row r="864" spans="1:5" x14ac:dyDescent="0.7">
      <c r="A864" t="str">
        <f>HYPERLINK("https://rocky-and-hopper.sakura.ne.jp/Kisho-Michelin/253/4-253-01052-0.htm","秋田書店・将棋教室シリーズ(1) 駒の力と働き ─生きた駒の使い方")</f>
        <v>秋田書店・将棋教室シリーズ(1) 駒の力と働き ─生きた駒の使い方</v>
      </c>
      <c r="B864" s="3" t="s">
        <v>12</v>
      </c>
      <c r="D864" t="s">
        <v>246</v>
      </c>
      <c r="E864" s="1">
        <v>31048</v>
      </c>
    </row>
    <row r="865" spans="1:5" x14ac:dyDescent="0.7">
      <c r="A865" t="str">
        <f>HYPERLINK("https://rocky-and-hopper.sakura.ne.jp/Kisho-Michelin/620/4-620-50446-7.htm","第四十六期将棋名人戦 全記録")</f>
        <v>第四十六期将棋名人戦 全記録</v>
      </c>
      <c r="B865" s="3" t="s">
        <v>40</v>
      </c>
      <c r="C865" t="s">
        <v>264</v>
      </c>
      <c r="D865" t="s">
        <v>262</v>
      </c>
      <c r="E865" s="1">
        <v>32417</v>
      </c>
    </row>
    <row r="866" spans="1:5" x14ac:dyDescent="0.7">
      <c r="A866" t="str">
        <f>HYPERLINK("https://rocky-and-hopper.sakura.ne.jp/Kisho-Michelin/89287/4-89287-069-2.htm","王将ブックス ポケット版 ─特殊戦法シリーズ�W ジュニア詰め将棋")</f>
        <v>王将ブックス ポケット版 ─特殊戦法シリーズ�W ジュニア詰め将棋</v>
      </c>
      <c r="B866" s="3" t="s">
        <v>12</v>
      </c>
      <c r="D866" t="s">
        <v>220</v>
      </c>
      <c r="E866" s="1">
        <v>29007</v>
      </c>
    </row>
    <row r="867" spans="1:5" x14ac:dyDescent="0.7">
      <c r="A867" t="str">
        <f>HYPERLINK("https://rocky-and-hopper.sakura.ne.jp/Kisho-Michelin/89563/4-89563-611-9.htm","1問ごとに強くなる 勝つための詰将棋81")</f>
        <v>1問ごとに強くなる 勝つための詰将棋81</v>
      </c>
      <c r="B867" s="3" t="s">
        <v>12</v>
      </c>
      <c r="D867" t="s">
        <v>346</v>
      </c>
      <c r="E867" s="1">
        <v>34608</v>
      </c>
    </row>
    <row r="868" spans="1:5" x14ac:dyDescent="0.7">
      <c r="A868" t="str">
        <f>HYPERLINK("https://rocky-and-hopper.sakura.ne.jp/Kisho-Michelin/89287/4-89287-052-8.htm","王将ブックス DELUXE版 ―駒落ちシリーズ(2) 飛香落ち必勝法")</f>
        <v>王将ブックス DELUXE版 ―駒落ちシリーズ(2) 飛香落ち必勝法</v>
      </c>
      <c r="B868" s="3" t="s">
        <v>12</v>
      </c>
      <c r="C868" t="s">
        <v>8</v>
      </c>
      <c r="D868" t="s">
        <v>243</v>
      </c>
      <c r="E868" s="1">
        <v>32295</v>
      </c>
    </row>
    <row r="869" spans="1:5" x14ac:dyDescent="0.7">
      <c r="A869" t="str">
        <f>HYPERLINK("https://rocky-and-hopper.sakura.ne.jp/Kisho-Michelin/582/4-582-61405-1.htm","米長の将棋 5 棒銀・腰掛銀")</f>
        <v>米長の将棋 5 棒銀・腰掛銀</v>
      </c>
      <c r="B869" s="3" t="s">
        <v>14</v>
      </c>
      <c r="C869" t="s">
        <v>429</v>
      </c>
      <c r="D869" t="s">
        <v>191</v>
      </c>
      <c r="E869" s="1">
        <v>29618</v>
      </c>
    </row>
    <row r="870" spans="1:5" x14ac:dyDescent="0.7">
      <c r="A870" t="str">
        <f>HYPERLINK("https://rocky-and-hopper.sakura.ne.jp/Kisho-Michelin/620/4-620-50445-9.htm","第四十五期将棋名人戦 全記録")</f>
        <v>第四十五期将棋名人戦 全記録</v>
      </c>
      <c r="B870" s="3" t="s">
        <v>40</v>
      </c>
      <c r="C870" t="s">
        <v>8</v>
      </c>
      <c r="D870" t="s">
        <v>262</v>
      </c>
      <c r="E870" s="1">
        <v>32021</v>
      </c>
    </row>
    <row r="871" spans="1:5" x14ac:dyDescent="0.7">
      <c r="A871" t="str">
        <f>HYPERLINK("https://rocky-and-hopper.sakura.ne.jp/Kisho-Michelin/415/4-415-03923-5.htm","ジュニアライブラリー ぼくらの詰将棋入門")</f>
        <v>ジュニアライブラリー ぼくらの詰将棋入門</v>
      </c>
      <c r="B871" s="3" t="s">
        <v>40</v>
      </c>
      <c r="D871" t="s">
        <v>347</v>
      </c>
      <c r="E871" s="1">
        <v>29587</v>
      </c>
    </row>
    <row r="872" spans="1:5" x14ac:dyDescent="0.7">
      <c r="A872" t="str">
        <f>HYPERLINK("https://rocky-and-hopper.sakura.ne.jp/Kisho-Michelin/2276/2276-0116-5892.htm","地位と名誉をかけた男の激烈な戦い 熱血将棋順位戦")</f>
        <v>地位と名誉をかけた男の激烈な戦い 熱血将棋順位戦</v>
      </c>
      <c r="B872" s="3" t="s">
        <v>40</v>
      </c>
      <c r="C872" t="s">
        <v>473</v>
      </c>
      <c r="D872" t="s">
        <v>316</v>
      </c>
      <c r="E872" s="1">
        <v>27303</v>
      </c>
    </row>
    <row r="873" spans="1:5" x14ac:dyDescent="0.7">
      <c r="A873" t="str">
        <f>HYPERLINK("https://rocky-and-hopper.sakura.ne.jp/Kisho-Michelin/262/4-262-10263-7.htm","勝利シリーズ(3) 将棋・勝つ受け方")</f>
        <v>勝利シリーズ(3) 将棋・勝つ受け方</v>
      </c>
      <c r="B873" s="3" t="s">
        <v>14</v>
      </c>
      <c r="D873" t="s">
        <v>283</v>
      </c>
      <c r="E873" s="1">
        <v>30834</v>
      </c>
    </row>
    <row r="874" spans="1:5" x14ac:dyDescent="0.7">
      <c r="A874" t="str">
        <f>HYPERLINK("https://rocky-and-hopper.sakura.ne.jp/Kisho-Michelin/620/4-620-50444-0.htm","第四十四期将棋名人戦 全記録")</f>
        <v>第四十四期将棋名人戦 全記録</v>
      </c>
      <c r="B874" s="3" t="s">
        <v>179</v>
      </c>
      <c r="C874" t="s">
        <v>423</v>
      </c>
      <c r="D874" t="s">
        <v>262</v>
      </c>
      <c r="E874" s="1">
        <v>31686</v>
      </c>
    </row>
    <row r="875" spans="1:5" x14ac:dyDescent="0.7">
      <c r="A875" t="str">
        <f>HYPERLINK("https://rocky-and-hopper.sakura.ne.jp/Kisho-Michelin/422/4-422-75068-2.htm","初段に挑戦する将棋シリーズ(18) 詰め方カタログ 実戦での詰めがすべてわかる")</f>
        <v>初段に挑戦する将棋シリーズ(18) 詰め方カタログ 実戦での詰めがすべてわかる</v>
      </c>
      <c r="B875" s="3" t="s">
        <v>14</v>
      </c>
      <c r="D875" t="s">
        <v>297</v>
      </c>
      <c r="E875" s="1">
        <v>31959</v>
      </c>
    </row>
    <row r="876" spans="1:5" x14ac:dyDescent="0.7">
      <c r="A876" t="str">
        <f>HYPERLINK("https://rocky-and-hopper.sakura.ne.jp/Kisho-Michelin/0276/0276-044003-0316.htm","大山将棋5部作(3) 明解 将棋の受け方")</f>
        <v>大山将棋5部作(3) 明解 将棋の受け方</v>
      </c>
      <c r="B876" s="3" t="s">
        <v>348</v>
      </c>
      <c r="D876" t="s">
        <v>283</v>
      </c>
      <c r="E876" s="1">
        <v>24320</v>
      </c>
    </row>
    <row r="877" spans="1:5" x14ac:dyDescent="0.7">
      <c r="A877" t="str">
        <f>HYPERLINK("https://rocky-and-hopper.sakura.ne.jp/Kisho-Michelin/620/4-620-50443-2.htm","第四十三期将棋名人戦 全記録")</f>
        <v>第四十三期将棋名人戦 全記録</v>
      </c>
      <c r="B877" s="3" t="s">
        <v>179</v>
      </c>
      <c r="D877" t="s">
        <v>262</v>
      </c>
      <c r="E877" s="1">
        <v>31260</v>
      </c>
    </row>
    <row r="878" spans="1:5" x14ac:dyDescent="0.7">
      <c r="A878" t="str">
        <f>HYPERLINK("https://rocky-and-hopper.sakura.ne.jp/Kisho-Michelin/89563/4-89563-676-3.htm","5手詰めパラダイス")</f>
        <v>5手詰めパラダイス</v>
      </c>
      <c r="B878" s="3" t="s">
        <v>40</v>
      </c>
      <c r="D878" t="s">
        <v>251</v>
      </c>
      <c r="E878" s="1">
        <v>35462</v>
      </c>
    </row>
    <row r="879" spans="1:5" x14ac:dyDescent="0.7">
      <c r="A879" t="str">
        <f>HYPERLINK("https://rocky-and-hopper.sakura.ne.jp/Kisho-Michelin/262/4-262-10121-5.htm","1･3･5手 こども詰め将棋入門 詰めの手筋がばっちりわかる！")</f>
        <v>1･3･5手 こども詰め将棋入門 詰めの手筋がばっちりわかる！</v>
      </c>
      <c r="B879" s="3" t="s">
        <v>12</v>
      </c>
      <c r="D879" t="s">
        <v>254</v>
      </c>
      <c r="E879" s="1">
        <v>35400</v>
      </c>
    </row>
    <row r="880" spans="1:5" x14ac:dyDescent="0.7">
      <c r="A880" t="str">
        <f>HYPERLINK("https://rocky-and-hopper.sakura.ne.jp/Kisho-Michelin/582/4-582-61404-3.htm","米長の将棋 4 ひねり飛車・横歩取り")</f>
        <v>米長の将棋 4 ひねり飛車・横歩取り</v>
      </c>
      <c r="B880" s="3" t="s">
        <v>14</v>
      </c>
      <c r="C880" t="s">
        <v>34</v>
      </c>
      <c r="D880" t="s">
        <v>191</v>
      </c>
      <c r="E880" s="1">
        <v>29495</v>
      </c>
    </row>
    <row r="881" spans="1:5" x14ac:dyDescent="0.7">
      <c r="A881" t="str">
        <f>HYPERLINK("https://rocky-and-hopper.sakura.ne.jp/Kisho-Michelin/278/4-278-08162-6.htm","詰将棋それ行け200題 1･3・5手")</f>
        <v>詰将棋それ行け200題 1･3・5手</v>
      </c>
      <c r="B881" s="3" t="s">
        <v>12</v>
      </c>
      <c r="D881" t="s">
        <v>315</v>
      </c>
      <c r="E881" s="1">
        <v>31444</v>
      </c>
    </row>
    <row r="882" spans="1:5" x14ac:dyDescent="0.7">
      <c r="A882" t="str">
        <f>HYPERLINK("https://rocky-and-hopper.sakura.ne.jp/Kisho-Michelin/620/4-620-50442-4.htm","第四十二期将棋名人戦 全記録")</f>
        <v>第四十二期将棋名人戦 全記録</v>
      </c>
      <c r="B882" s="3" t="s">
        <v>40</v>
      </c>
      <c r="C882" t="s">
        <v>8</v>
      </c>
      <c r="D882" t="s">
        <v>262</v>
      </c>
      <c r="E882" s="1">
        <v>30956</v>
      </c>
    </row>
    <row r="883" spans="1:5" x14ac:dyDescent="0.7">
      <c r="A883" t="str">
        <f>HYPERLINK("https://rocky-and-hopper.sakura.ne.jp/Kisho-Michelin/8399/4-8399-0176-7.htm","超初心詰将棋3手5手")</f>
        <v>超初心詰将棋3手5手</v>
      </c>
      <c r="B883" s="3" t="s">
        <v>40</v>
      </c>
      <c r="D883" t="s">
        <v>132</v>
      </c>
      <c r="E883" s="1">
        <v>36192</v>
      </c>
    </row>
    <row r="884" spans="1:5" x14ac:dyDescent="0.7">
      <c r="A884" t="str">
        <f>HYPERLINK("https://rocky-and-hopper.sakura.ne.jp/Kisho-Michelin/8197/4-8197-0163-0.htm","メキメキ将棋上達本 ラクラク次の一手 基本手筋集")</f>
        <v>メキメキ将棋上達本 ラクラク次の一手 基本手筋集</v>
      </c>
      <c r="B884" s="3" t="s">
        <v>12</v>
      </c>
      <c r="D884" t="s">
        <v>256</v>
      </c>
      <c r="E884" s="1">
        <v>37288</v>
      </c>
    </row>
    <row r="885" spans="1:5" x14ac:dyDescent="0.7">
      <c r="A885" t="str">
        <f>HYPERLINK("https://rocky-and-hopper.sakura.ne.jp/Kisho-Michelin/643/4-643-04003-3.htm","第十六期竜王決定七番勝負 激闘譜 羽生善治 VS 森内俊之")</f>
        <v>第十六期竜王決定七番勝負 激闘譜 羽生善治 VS 森内俊之</v>
      </c>
      <c r="B885" s="3" t="s">
        <v>179</v>
      </c>
      <c r="C885" t="s">
        <v>481</v>
      </c>
      <c r="D885" t="s">
        <v>252</v>
      </c>
      <c r="E885" s="1">
        <v>38018</v>
      </c>
    </row>
    <row r="886" spans="1:5" x14ac:dyDescent="0.7">
      <c r="A886" t="str">
        <f>HYPERLINK("https://rocky-and-hopper.sakura.ne.jp/Kisho-Michelin/0276/0276-30042-2270.htm","内藤シリーズ(2) 横歩取り空中戦法 付・横歩取り実戦好局集")</f>
        <v>内藤シリーズ(2) 横歩取り空中戦法 付・横歩取り実戦好局集</v>
      </c>
      <c r="B886" s="3" t="s">
        <v>12</v>
      </c>
      <c r="C886" t="s">
        <v>212</v>
      </c>
      <c r="D886" t="s">
        <v>247</v>
      </c>
      <c r="E886" t="s">
        <v>221</v>
      </c>
    </row>
    <row r="887" spans="1:5" x14ac:dyDescent="0.7">
      <c r="A887" t="str">
        <f>HYPERLINK("https://rocky-and-hopper.sakura.ne.jp/Kisho-Michelin/89563/4-89563-588-0.htm","詰棋ドリンク 初心者向け詰将棋問題集")</f>
        <v>詰棋ドリンク 初心者向け詰将棋問題集</v>
      </c>
      <c r="B887" s="3" t="s">
        <v>40</v>
      </c>
      <c r="D887" t="s">
        <v>132</v>
      </c>
      <c r="E887" s="1">
        <v>34274</v>
      </c>
    </row>
    <row r="888" spans="1:5" x14ac:dyDescent="0.7">
      <c r="A888" t="str">
        <f>HYPERLINK("https://rocky-and-hopper.sakura.ne.jp/Kisho-Michelin/422/4-422-75092-5.htm","将棋終盤力養成講座(2) 終盤の感覚を磨く202題 詰将棋 1手・3手・5手")</f>
        <v>将棋終盤力養成講座(2) 終盤の感覚を磨く202題 詰将棋 1手・3手・5手</v>
      </c>
      <c r="B888" s="3" t="s">
        <v>12</v>
      </c>
      <c r="D888" t="s">
        <v>112</v>
      </c>
      <c r="E888" s="1">
        <v>37408</v>
      </c>
    </row>
    <row r="889" spans="1:5" x14ac:dyDescent="0.7">
      <c r="A889" t="str">
        <f>HYPERLINK("https://rocky-and-hopper.sakura.ne.jp/Kisho-Michelin/262/4-262-10285-8.htm","3･5･7手の詰め将棋 ─詰め棋力判定付き─")</f>
        <v>3･5･7手の詰め将棋 ─詰め棋力判定付き─</v>
      </c>
      <c r="B889" s="3" t="s">
        <v>40</v>
      </c>
      <c r="D889" t="s">
        <v>349</v>
      </c>
      <c r="E889" s="1">
        <v>32387</v>
      </c>
    </row>
    <row r="890" spans="1:5" x14ac:dyDescent="0.7">
      <c r="A890" t="str">
        <f>HYPERLINK("https://rocky-and-hopper.sakura.ne.jp/Kisho-Michelin/620/4-620-50441-6.htm","第四十一期将棋名人戦 全記録")</f>
        <v>第四十一期将棋名人戦 全記録</v>
      </c>
      <c r="B890" s="3" t="s">
        <v>179</v>
      </c>
      <c r="D890" t="s">
        <v>262</v>
      </c>
      <c r="E890" s="1">
        <v>30560</v>
      </c>
    </row>
    <row r="891" spans="1:5" x14ac:dyDescent="0.7">
      <c r="A891" t="str">
        <f>HYPERLINK("https://rocky-and-hopper.sakura.ne.jp/Kisho-Michelin/591/4-591-07946-5.htm","キミにもできる！必殺ワザ(5) 将棋の必殺ワザ")</f>
        <v>キミにもできる！必殺ワザ(5) 将棋の必殺ワザ</v>
      </c>
      <c r="B891" s="3" t="s">
        <v>12</v>
      </c>
      <c r="E891" s="1">
        <v>37956</v>
      </c>
    </row>
    <row r="892" spans="1:5" x14ac:dyDescent="0.7">
      <c r="A892" t="str">
        <f>HYPERLINK("https://rocky-and-hopper.sakura.ne.jp/Kisho-Michelin/8315/4-8315-0618-4.htm","なるにはBOOKS 72 棋士になるには")</f>
        <v>なるにはBOOKS 72 棋士になるには</v>
      </c>
      <c r="B892" s="3" t="s">
        <v>12</v>
      </c>
      <c r="D892" t="s">
        <v>350</v>
      </c>
      <c r="E892" s="1">
        <v>34394</v>
      </c>
    </row>
    <row r="893" spans="1:5" x14ac:dyDescent="0.7">
      <c r="A893" t="str">
        <f>HYPERLINK("https://rocky-and-hopper.sakura.ne.jp/Kisho-Michelin/8197/4-8197-0164-9.htm","メキメキ将棋上達本 ラクラク詰将棋 基本手筋集")</f>
        <v>メキメキ将棋上達本 ラクラク詰将棋 基本手筋集</v>
      </c>
      <c r="B893" s="3" t="s">
        <v>12</v>
      </c>
      <c r="D893" t="s">
        <v>256</v>
      </c>
      <c r="E893" s="1">
        <v>37288</v>
      </c>
    </row>
    <row r="894" spans="1:5" x14ac:dyDescent="0.7">
      <c r="A894" t="str">
        <f>HYPERLINK("https://rocky-and-hopper.sakura.ne.jp/Kisho-Michelin/0276/0276-605110-3214.htm","実日新書D-29 ヘボ将棋の必勝法 一級以下の痛快6戦法")</f>
        <v>実日新書D-29 ヘボ将棋の必勝法 一級以下の痛快6戦法</v>
      </c>
      <c r="B894" s="3" t="s">
        <v>40</v>
      </c>
      <c r="C894" t="s">
        <v>64</v>
      </c>
      <c r="D894" t="s">
        <v>320</v>
      </c>
      <c r="E894" s="1">
        <v>30103</v>
      </c>
    </row>
    <row r="895" spans="1:5" x14ac:dyDescent="0.7">
      <c r="A895" t="str">
        <f>HYPERLINK("https://rocky-and-hopper.sakura.ne.jp/Kisho-Michelin/415/4-415-04645-2.htm","LET'S PLAY SHOGI 詰将棋 実力テスト 七・八・九級")</f>
        <v>LET'S PLAY SHOGI 詰将棋 実力テスト 七・八・九級</v>
      </c>
      <c r="B895" s="3" t="s">
        <v>12</v>
      </c>
      <c r="D895" t="s">
        <v>139</v>
      </c>
      <c r="E895" s="1">
        <v>32660</v>
      </c>
    </row>
    <row r="896" spans="1:5" x14ac:dyDescent="0.7">
      <c r="A896" t="str">
        <f>HYPERLINK("https://rocky-and-hopper.sakura.ne.jp/Kisho-Michelin/582/4-582-61403-5.htm","米長の将棋 3 矢倉戦法")</f>
        <v>米長の将棋 3 矢倉戦法</v>
      </c>
      <c r="B896" s="3" t="s">
        <v>14</v>
      </c>
      <c r="D896" t="s">
        <v>191</v>
      </c>
      <c r="E896" s="1">
        <v>29495</v>
      </c>
    </row>
    <row r="897" spans="1:5" x14ac:dyDescent="0.7">
      <c r="A897" t="str">
        <f>HYPERLINK("https://rocky-and-hopper.sakura.ne.jp/Kisho-Michelin/8197/4-8197-0372-2.htm","羽生の法則 Volume1 歩の手筋")</f>
        <v>羽生の法則 Volume1 歩の手筋</v>
      </c>
      <c r="B897" s="3" t="s">
        <v>12</v>
      </c>
      <c r="D897" t="s">
        <v>351</v>
      </c>
      <c r="E897" s="1">
        <v>37956</v>
      </c>
    </row>
    <row r="898" spans="1:5" x14ac:dyDescent="0.7">
      <c r="A898" t="str">
        <f>HYPERLINK("https://rocky-and-hopper.sakura.ne.jp/Kisho-Michelin/8399/4-8399-0463-4.htm","新5手詰めパラダイス")</f>
        <v>新5手詰めパラダイス</v>
      </c>
      <c r="B898" s="3" t="s">
        <v>40</v>
      </c>
      <c r="D898" t="s">
        <v>352</v>
      </c>
      <c r="E898" s="1">
        <v>36892</v>
      </c>
    </row>
    <row r="899" spans="1:5" x14ac:dyDescent="0.7">
      <c r="A899" t="str">
        <f>HYPERLINK("https://rocky-and-hopper.sakura.ne.jp/Kisho-Michelin/422/4-422-75037-2.htm","一から始める 大人のための将棋再入門")</f>
        <v>一から始める 大人のための将棋再入門</v>
      </c>
      <c r="B899" s="3" t="s">
        <v>14</v>
      </c>
      <c r="C899" t="s">
        <v>8</v>
      </c>
      <c r="D899" t="s">
        <v>267</v>
      </c>
      <c r="E899" s="1">
        <v>37895</v>
      </c>
    </row>
    <row r="900" spans="1:5" x14ac:dyDescent="0.7">
      <c r="A900" t="str">
        <f>HYPERLINK("https://rocky-and-hopper.sakura.ne.jp/Kisho-Michelin/8399/4-8399-1289-0.htm","振り飛車ワールド 第六巻")</f>
        <v>振り飛車ワールド 第六巻</v>
      </c>
      <c r="B900" s="3" t="s">
        <v>12</v>
      </c>
      <c r="C900" t="s">
        <v>45</v>
      </c>
      <c r="D900" t="s">
        <v>340</v>
      </c>
      <c r="E900" s="1">
        <v>37926</v>
      </c>
    </row>
    <row r="901" spans="1:5" x14ac:dyDescent="0.7">
      <c r="A901" t="str">
        <f>HYPERLINK("https://rocky-and-hopper.sakura.ne.jp/Kisho-Michelin/8197/4-8197-0080-4.htm","日本将棋連盟公式 将棋ガイドブック")</f>
        <v>日本将棋連盟公式 将棋ガイドブック</v>
      </c>
      <c r="B901" s="3" t="s">
        <v>14</v>
      </c>
      <c r="E901" s="1">
        <v>37926</v>
      </c>
    </row>
    <row r="902" spans="1:5" x14ac:dyDescent="0.7">
      <c r="A902" t="str">
        <f>HYPERLINK("https://rocky-and-hopper.sakura.ne.jp/Kisho-Michelin/422/4-422-75080-1.htm","将棋必勝シリーズ 振り飛車奇襲戦法 2 阪田流向かい飛車・奇襲袖飛車・相振り奇襲")</f>
        <v>将棋必勝シリーズ 振り飛車奇襲戦法 2 阪田流向かい飛車・奇襲袖飛車・相振り奇襲</v>
      </c>
      <c r="B902" s="3" t="s">
        <v>40</v>
      </c>
      <c r="C902" t="s">
        <v>45</v>
      </c>
      <c r="D902" t="s">
        <v>135</v>
      </c>
      <c r="E902" s="1">
        <v>37438</v>
      </c>
    </row>
    <row r="903" spans="1:5" x14ac:dyDescent="0.7">
      <c r="A903" t="str">
        <f>HYPERLINK("https://rocky-and-hopper.sakura.ne.jp/Kisho-Michelin/620/4-620-50440-8.htm","第四十期将棋名人戦 全記録")</f>
        <v>第四十期将棋名人戦 全記録</v>
      </c>
      <c r="B903" s="3" t="s">
        <v>40</v>
      </c>
      <c r="D903" t="s">
        <v>262</v>
      </c>
      <c r="E903" s="1">
        <v>30225</v>
      </c>
    </row>
    <row r="904" spans="1:5" x14ac:dyDescent="0.7">
      <c r="A904" t="str">
        <f>HYPERLINK("https://rocky-and-hopper.sakura.ne.jp/Kisho-Michelin/06/4-06-212094-1.htm","なめたらあかん三手五手")</f>
        <v>なめたらあかん三手五手</v>
      </c>
      <c r="B904" s="3" t="s">
        <v>12</v>
      </c>
      <c r="D904" t="s">
        <v>124</v>
      </c>
      <c r="E904" s="1">
        <v>37895</v>
      </c>
    </row>
    <row r="905" spans="1:5" x14ac:dyDescent="0.7">
      <c r="A905" t="str">
        <f>HYPERLINK("https://rocky-and-hopper.sakura.ne.jp/Kisho-Michelin/582/4-582-61402-7.htm","米長の将棋 2 居飛車対振飛車 下")</f>
        <v>米長の将棋 2 居飛車対振飛車 下</v>
      </c>
      <c r="B905" s="3" t="s">
        <v>14</v>
      </c>
      <c r="C905" t="s">
        <v>41</v>
      </c>
      <c r="D905" t="s">
        <v>191</v>
      </c>
      <c r="E905" s="1">
        <v>29434</v>
      </c>
    </row>
    <row r="906" spans="1:5" x14ac:dyDescent="0.7">
      <c r="A906" t="str">
        <f>HYPERLINK("https://rocky-and-hopper.sakura.ne.jp/Kisho-Michelin/575/4-575-29069-6.htm","インターネットで将棋を勝て！ マリオ武者野のパーフェクト四間飛車 （CD-ROM付き書籍）")</f>
        <v>インターネットで将棋を勝て！ マリオ武者野のパーフェクト四間飛車 （CD-ROM付き書籍）</v>
      </c>
      <c r="B906" s="3" t="s">
        <v>12</v>
      </c>
      <c r="C906" t="s">
        <v>8</v>
      </c>
      <c r="E906" s="1">
        <v>36586</v>
      </c>
    </row>
    <row r="907" spans="1:5" x14ac:dyDescent="0.7">
      <c r="A907" t="str">
        <f>HYPERLINK("https://rocky-and-hopper.sakura.ne.jp/Kisho-Michelin/905689/4-905689-11-2.htm","第25期将棋十段戦")</f>
        <v>第25期将棋十段戦</v>
      </c>
      <c r="B907" s="3" t="s">
        <v>12</v>
      </c>
      <c r="C907" t="s">
        <v>417</v>
      </c>
      <c r="D907" t="s">
        <v>353</v>
      </c>
      <c r="E907" s="1">
        <v>31929</v>
      </c>
    </row>
    <row r="908" spans="1:5" x14ac:dyDescent="0.7">
      <c r="A908" t="str">
        <f>HYPERLINK("https://rocky-and-hopper.sakura.ne.jp/Kisho-Michelin/0076/0076-570332-2368.htm","将棋 必勝の格言 将棋上達の最短コース")</f>
        <v>将棋 必勝の格言 将棋上達の最短コース</v>
      </c>
      <c r="B908" s="3" t="s">
        <v>14</v>
      </c>
      <c r="C908" t="s">
        <v>34</v>
      </c>
      <c r="D908" t="s">
        <v>204</v>
      </c>
      <c r="E908" t="s">
        <v>354</v>
      </c>
    </row>
    <row r="909" spans="1:5" x14ac:dyDescent="0.7">
      <c r="A909" t="str">
        <f>HYPERLINK("https://rocky-and-hopper.sakura.ne.jp/Kisho-Michelin/620/4-620-50439-4.htm","第三十九期将棋名人戦 全記録")</f>
        <v>第三十九期将棋名人戦 全記録</v>
      </c>
      <c r="B909" s="3" t="s">
        <v>40</v>
      </c>
      <c r="C909" t="s">
        <v>417</v>
      </c>
      <c r="D909" t="s">
        <v>262</v>
      </c>
      <c r="E909" s="1">
        <v>29799</v>
      </c>
    </row>
    <row r="910" spans="1:5" x14ac:dyDescent="0.7">
      <c r="A910" t="str">
        <f>HYPERLINK("https://rocky-and-hopper.sakura.ne.jp/Kisho-Michelin/582/4-582-61401-9.htm","米長の将棋 1 居飛車対振飛車(上)")</f>
        <v>米長の将棋 1 居飛車対振飛車(上)</v>
      </c>
      <c r="B910" s="3" t="s">
        <v>14</v>
      </c>
      <c r="C910" t="s">
        <v>41</v>
      </c>
      <c r="D910" t="s">
        <v>191</v>
      </c>
      <c r="E910" s="1">
        <v>29373</v>
      </c>
    </row>
    <row r="911" spans="1:5" x14ac:dyDescent="0.7">
      <c r="A911" t="str">
        <f>HYPERLINK("https://rocky-and-hopper.sakura.ne.jp/Kisho-Michelin/89287/4-89287-012-9.htm","王将ブックスDELUXE版 ―居飛車シリーズ（６） ヨコ歩取り戦法")</f>
        <v>王将ブックスDELUXE版 ―居飛車シリーズ（６） ヨコ歩取り戦法</v>
      </c>
      <c r="B911" s="3" t="s">
        <v>40</v>
      </c>
      <c r="C911" t="s">
        <v>34</v>
      </c>
      <c r="D911" t="s">
        <v>218</v>
      </c>
      <c r="E911" s="1">
        <v>27485</v>
      </c>
    </row>
    <row r="912" spans="1:5" x14ac:dyDescent="0.7">
      <c r="A912" t="str">
        <f>HYPERLINK("https://rocky-and-hopper.sakura.ne.jp/Kisho-Michelin/620/4-620-31114-6.htm","第45期王将戦七番勝負 付録：［第44期王将戦／全七局］［王将戦物語］")</f>
        <v>第45期王将戦七番勝負 付録：［第44期王将戦／全七局］［王将戦物語］</v>
      </c>
      <c r="B912" s="3" t="s">
        <v>40</v>
      </c>
      <c r="C912" t="s">
        <v>25</v>
      </c>
      <c r="D912" t="s">
        <v>262</v>
      </c>
      <c r="E912" s="1">
        <v>35156</v>
      </c>
    </row>
    <row r="913" spans="1:5" x14ac:dyDescent="0.7">
      <c r="A913" t="str">
        <f>HYPERLINK("https://rocky-and-hopper.sakura.ne.jp/Kisho-Michelin/89563/4-89563-621-6.htm","奇襲虎の巻 明日からすぐ勝てる")</f>
        <v>奇襲虎の巻 明日からすぐ勝てる</v>
      </c>
      <c r="B913" s="3" t="s">
        <v>12</v>
      </c>
      <c r="C913" t="s">
        <v>45</v>
      </c>
      <c r="D913" t="s">
        <v>355</v>
      </c>
      <c r="E913" s="1">
        <v>34669</v>
      </c>
    </row>
    <row r="914" spans="1:5" x14ac:dyDescent="0.7">
      <c r="A914" t="str">
        <f>HYPERLINK("https://rocky-and-hopper.sakura.ne.jp/Kisho-Michelin/620/4-620-50438-6.htm","第三十八期将棋名人戦 全記録")</f>
        <v>第三十八期将棋名人戦 全記録</v>
      </c>
      <c r="B914" s="3" t="s">
        <v>179</v>
      </c>
      <c r="D914" t="s">
        <v>262</v>
      </c>
      <c r="E914" s="1">
        <v>29495</v>
      </c>
    </row>
    <row r="915" spans="1:5" x14ac:dyDescent="0.7">
      <c r="A915" t="str">
        <f>HYPERLINK("https://rocky-and-hopper.sakura.ne.jp/Kisho-Michelin/8399/4-8399-0189-9.htm","困ったときに役に立つ 将棋格言豆事典")</f>
        <v>困ったときに役に立つ 将棋格言豆事典</v>
      </c>
      <c r="B915" s="3" t="s">
        <v>0</v>
      </c>
      <c r="D915" t="s">
        <v>214</v>
      </c>
      <c r="E915" s="1">
        <v>36373</v>
      </c>
    </row>
    <row r="916" spans="1:5" x14ac:dyDescent="0.7">
      <c r="A916" t="str">
        <f>HYPERLINK("https://rocky-and-hopper.sakura.ne.jp/Kisho-Michelin/8197/4-8197-0300-5.htm","スリル満点、スピード将棋 ＪＴ将棋日本シリーズ熱局選 1980-1991")</f>
        <v>スリル満点、スピード将棋 ＪＴ将棋日本シリーズ熱局選 1980-1991</v>
      </c>
      <c r="B916" s="3" t="s">
        <v>40</v>
      </c>
      <c r="C916" t="s">
        <v>473</v>
      </c>
      <c r="D916" t="s">
        <v>303</v>
      </c>
      <c r="E916" s="1">
        <v>33725</v>
      </c>
    </row>
    <row r="917" spans="1:5" x14ac:dyDescent="0.7">
      <c r="A917" t="str">
        <f>HYPERLINK("https://rocky-and-hopper.sakura.ne.jp/Kisho-Michelin/8197/4-8197-0340-4.htm","日将ブックス 将棋・端攻め全集 カタいようで実はもろいのが1筋9筋")</f>
        <v>日将ブックス 将棋・端攻め全集 カタいようで実はもろいのが1筋9筋</v>
      </c>
      <c r="B917" s="3" t="s">
        <v>12</v>
      </c>
      <c r="C917" t="s">
        <v>424</v>
      </c>
      <c r="D917" t="s">
        <v>217</v>
      </c>
      <c r="E917" s="1">
        <v>28946</v>
      </c>
    </row>
    <row r="918" spans="1:5" x14ac:dyDescent="0.7">
      <c r="A918" t="str">
        <f>HYPERLINK("https://rocky-and-hopper.sakura.ne.jp/Kisho-Michelin/391/4-391-12010-0.htm","森内優駿流棋本ブックス 森内優駿流 必勝の発想 序・中・終盤のテクニック")</f>
        <v>森内優駿流棋本ブックス 森内優駿流 必勝の発想 序・中・終盤のテクニック</v>
      </c>
      <c r="B918" s="3" t="s">
        <v>12</v>
      </c>
      <c r="D918" t="s">
        <v>329</v>
      </c>
      <c r="E918" s="1">
        <v>35521</v>
      </c>
    </row>
    <row r="919" spans="1:5" x14ac:dyDescent="0.7">
      <c r="A919" t="str">
        <f>HYPERLINK("https://rocky-and-hopper.sakura.ne.jp/Kisho-Michelin/09/4-09-280015-0.htm","Kids Pocket Books No.15 羽生善治の将棋攻略ブック")</f>
        <v>Kids Pocket Books No.15 羽生善治の将棋攻略ブック</v>
      </c>
      <c r="B919" s="3" t="s">
        <v>40</v>
      </c>
      <c r="D919" t="s">
        <v>356</v>
      </c>
      <c r="E919" s="1">
        <v>34731</v>
      </c>
    </row>
    <row r="920" spans="1:5" x14ac:dyDescent="0.7">
      <c r="A920" t="str">
        <f>HYPERLINK("https://rocky-and-hopper.sakura.ne.jp/Kisho-Michelin/262/4-262-10127-4.htm","気持ちいいほど勝負手がわかる 勝つ将棋・大駒の切り方")</f>
        <v>気持ちいいほど勝負手がわかる 勝つ将棋・大駒の切り方</v>
      </c>
      <c r="B920" s="3" t="s">
        <v>12</v>
      </c>
      <c r="C920" t="s">
        <v>41</v>
      </c>
      <c r="D920" t="s">
        <v>254</v>
      </c>
      <c r="E920" s="1">
        <v>36586</v>
      </c>
    </row>
    <row r="921" spans="1:5" x14ac:dyDescent="0.7">
      <c r="A921" t="str">
        <f>HYPERLINK("https://rocky-and-hopper.sakura.ne.jp/Kisho-Michelin/422/4-422-75101-8.htm","将棋必勝シリーズ なんでも中飛車")</f>
        <v>将棋必勝シリーズ なんでも中飛車</v>
      </c>
      <c r="B921" s="3" t="s">
        <v>12</v>
      </c>
      <c r="C921" t="s">
        <v>417</v>
      </c>
      <c r="D921" t="s">
        <v>255</v>
      </c>
      <c r="E921" s="1">
        <v>37865</v>
      </c>
    </row>
    <row r="922" spans="1:5" x14ac:dyDescent="0.7">
      <c r="A922" t="str">
        <f>HYPERLINK("https://rocky-and-hopper.sakura.ne.jp/Kisho-Michelin/471/4-471-13139-7.htm","屋敷伸之の忍者将棋 奇襲!! 将棋ウォーズ")</f>
        <v>屋敷伸之の忍者将棋 奇襲!! 将棋ウォーズ</v>
      </c>
      <c r="B922" s="3" t="s">
        <v>12</v>
      </c>
      <c r="C922" t="s">
        <v>497</v>
      </c>
      <c r="D922" t="s">
        <v>357</v>
      </c>
      <c r="E922" s="1">
        <v>33635</v>
      </c>
    </row>
    <row r="923" spans="1:5" x14ac:dyDescent="0.7">
      <c r="A923" t="str">
        <f>HYPERLINK("https://rocky-and-hopper.sakura.ne.jp/Kisho-Michelin/89563/4-89563-537-6.htm","秘伝大道棋")</f>
        <v>秘伝大道棋</v>
      </c>
      <c r="B923" s="3" t="s">
        <v>0</v>
      </c>
      <c r="D923" t="s">
        <v>358</v>
      </c>
      <c r="E923" s="1">
        <v>33055</v>
      </c>
    </row>
    <row r="924" spans="1:5" x14ac:dyDescent="0.7">
      <c r="A924" t="str">
        <f>HYPERLINK("https://rocky-and-hopper.sakura.ne.jp/Kisho-Michelin/89563/4-89563-537-6.htm","秘伝大道棋")</f>
        <v>秘伝大道棋</v>
      </c>
      <c r="B924" s="3" t="s">
        <v>0</v>
      </c>
      <c r="D924" t="s">
        <v>358</v>
      </c>
      <c r="E924" s="1">
        <v>33055</v>
      </c>
    </row>
    <row r="925" spans="1:5" x14ac:dyDescent="0.7">
      <c r="A925" t="str">
        <f>HYPERLINK("https://rocky-and-hopper.sakura.ne.jp/Kisho-Michelin/86137/4-86137-001-9.htm","最強将棋21 #02 四間飛車の急所(1) 進化の謎を解く")</f>
        <v>最強将棋21 #02 四間飛車の急所(1) 進化の謎を解く</v>
      </c>
      <c r="B925" s="3" t="s">
        <v>0</v>
      </c>
      <c r="C925" t="s">
        <v>8</v>
      </c>
      <c r="D925" t="s">
        <v>117</v>
      </c>
      <c r="E925" s="1">
        <v>37956</v>
      </c>
    </row>
    <row r="926" spans="1:5" x14ac:dyDescent="0.7">
      <c r="A926" t="str">
        <f>HYPERLINK("https://rocky-and-hopper.sakura.ne.jp/Kisho-Michelin/8399/4-8399-1234-3.htm","振り飛車ワールド 第五巻")</f>
        <v>振り飛車ワールド 第五巻</v>
      </c>
      <c r="B926" s="3" t="s">
        <v>12</v>
      </c>
      <c r="C926" t="s">
        <v>45</v>
      </c>
      <c r="D926" t="s">
        <v>340</v>
      </c>
      <c r="E926" s="1">
        <v>37865</v>
      </c>
    </row>
    <row r="927" spans="1:5" x14ac:dyDescent="0.7">
      <c r="A927" t="str">
        <f>HYPERLINK("https://rocky-and-hopper.sakura.ne.jp/Kisho-Michelin/380/4-380-95260-6.htm","三一将棋シリーズ 公望流 メリケン向飛車戦法")</f>
        <v>三一将棋シリーズ 公望流 メリケン向飛車戦法</v>
      </c>
      <c r="B927" s="3" t="s">
        <v>12</v>
      </c>
      <c r="D927" t="s">
        <v>359</v>
      </c>
      <c r="E927" s="1">
        <v>34912</v>
      </c>
    </row>
    <row r="928" spans="1:5" x14ac:dyDescent="0.7">
      <c r="A928" t="str">
        <f>HYPERLINK("https://rocky-and-hopper.sakura.ne.jp/Kisho-Michelin/8197/4-8197-0370-6.htm","パワーアップシリーズ 新ゴキゲン中飛車戦法")</f>
        <v>パワーアップシリーズ 新ゴキゲン中飛車戦法</v>
      </c>
      <c r="B928" s="3" t="s">
        <v>12</v>
      </c>
      <c r="C928" t="s">
        <v>440</v>
      </c>
      <c r="D928" t="s">
        <v>163</v>
      </c>
      <c r="E928" s="1">
        <v>37834</v>
      </c>
    </row>
    <row r="929" spans="1:5" x14ac:dyDescent="0.7">
      <c r="A929" t="str">
        <f>HYPERLINK("https://rocky-and-hopper.sakura.ne.jp/Kisho-Michelin/89563/4-89563-645-3.htm","消えた戦法の謎 あの流行形はどこに！？")</f>
        <v>消えた戦法の謎 あの流行形はどこに！？</v>
      </c>
      <c r="B929" s="3" t="s">
        <v>0</v>
      </c>
      <c r="C929" t="s">
        <v>436</v>
      </c>
      <c r="D929" t="s">
        <v>360</v>
      </c>
      <c r="E929" s="1">
        <v>35034</v>
      </c>
    </row>
    <row r="930" spans="1:5" x14ac:dyDescent="0.7">
      <c r="A930" t="str">
        <f>HYPERLINK("https://rocky-and-hopper.sakura.ne.jp/Kisho-Michelin/340/4-340-07108-0.htm","駒落ち定跡で強くなる 将棋中級入門")</f>
        <v>駒落ち定跡で強くなる 将棋中級入門</v>
      </c>
      <c r="B930" s="3" t="s">
        <v>40</v>
      </c>
      <c r="C930" t="s">
        <v>498</v>
      </c>
      <c r="D930" t="s">
        <v>343</v>
      </c>
      <c r="E930" s="1">
        <v>28946</v>
      </c>
    </row>
    <row r="931" spans="1:5" x14ac:dyDescent="0.7">
      <c r="A931" t="str">
        <f>HYPERLINK("https://rocky-and-hopper.sakura.ne.jp/Kisho-Michelin/87365/4-87365-101-8.htm","すぐに役立つ 攻めて勝つ 田丸流実戦アタック")</f>
        <v>すぐに役立つ 攻めて勝つ 田丸流実戦アタック</v>
      </c>
      <c r="B931" s="3" t="s">
        <v>40</v>
      </c>
      <c r="C931" t="s">
        <v>20</v>
      </c>
      <c r="D931" t="s">
        <v>297</v>
      </c>
      <c r="E931" s="1">
        <v>35065</v>
      </c>
    </row>
    <row r="932" spans="1:5" x14ac:dyDescent="0.7">
      <c r="A932" t="str">
        <f>HYPERLINK("https://rocky-and-hopper.sakura.ne.jp/Kisho-Michelin/8399/4-8399-0080-9.htm","B級四間飛車の達人")</f>
        <v>B級四間飛車の達人</v>
      </c>
      <c r="B932" s="3" t="s">
        <v>12</v>
      </c>
      <c r="C932" t="s">
        <v>8</v>
      </c>
      <c r="D932" t="s">
        <v>132</v>
      </c>
      <c r="E932" s="1">
        <v>36130</v>
      </c>
    </row>
    <row r="933" spans="1:5" x14ac:dyDescent="0.7">
      <c r="A933" t="str">
        <f>HYPERLINK("https://rocky-and-hopper.sakura.ne.jp/Kisho-Michelin/262/4-262-10304-8.htm","谷川浩司の将棋新研究(4) 谷川流・将棋は終盤 [付]詰め将棋と必死問題")</f>
        <v>谷川浩司の将棋新研究(4) 谷川流・将棋は終盤 [付]詰め将棋と必死問題</v>
      </c>
      <c r="B933" s="3" t="s">
        <v>12</v>
      </c>
      <c r="D933" t="s">
        <v>105</v>
      </c>
      <c r="E933" s="1">
        <v>31138</v>
      </c>
    </row>
    <row r="934" spans="1:5" x14ac:dyDescent="0.7">
      <c r="A934" t="str">
        <f>HYPERLINK("https://rocky-and-hopper.sakura.ne.jp/Kisho-Michelin/8197/4-8197-0369-2.htm","最強居飛車穴熊マニュアル The Strongest Hibernaculum Castle with static Rook Manual")</f>
        <v>最強居飛車穴熊マニュアル The Strongest Hibernaculum Castle with static Rook Manual</v>
      </c>
      <c r="B934" s="3" t="s">
        <v>14</v>
      </c>
      <c r="C934" t="s">
        <v>41</v>
      </c>
      <c r="D934" t="s">
        <v>129</v>
      </c>
      <c r="E934" s="1">
        <v>37622</v>
      </c>
    </row>
    <row r="935" spans="1:5" x14ac:dyDescent="0.7">
      <c r="A935" t="str">
        <f>HYPERLINK("https://rocky-and-hopper.sakura.ne.jp/Kisho-Michelin/582/4-582-60705-5.htm","大山の将棋読本 5 駒落の勝ち方")</f>
        <v>大山の将棋読本 5 駒落の勝ち方</v>
      </c>
      <c r="B935" s="3" t="s">
        <v>12</v>
      </c>
      <c r="C935" t="s">
        <v>428</v>
      </c>
      <c r="D935" t="s">
        <v>283</v>
      </c>
      <c r="E935" s="1">
        <v>26724</v>
      </c>
    </row>
    <row r="936" spans="1:5" x14ac:dyDescent="0.7">
      <c r="A936" t="str">
        <f>HYPERLINK("https://rocky-and-hopper.sakura.ne.jp/Kisho-Michelin/262/4-262-10302-1.htm","谷川浩司の将棋新研究(2) 谷川流スピード将棋 対四間・超早仕掛けの新工夫")</f>
        <v>谷川浩司の将棋新研究(2) 谷川流スピード将棋 対四間・超早仕掛けの新工夫</v>
      </c>
      <c r="B936" s="3" t="s">
        <v>14</v>
      </c>
      <c r="C936" t="s">
        <v>452</v>
      </c>
      <c r="D936" t="s">
        <v>105</v>
      </c>
      <c r="E936" s="1">
        <v>30348</v>
      </c>
    </row>
    <row r="937" spans="1:5" x14ac:dyDescent="0.7">
      <c r="A937" t="str">
        <f>HYPERLINK("https://rocky-and-hopper.sakura.ne.jp/Kisho-Michelin/87365/4-87365-062-3.htm","すぐに役立つ 実力アップ 実戦次の一手")</f>
        <v>すぐに役立つ 実力アップ 実戦次の一手</v>
      </c>
      <c r="B937" s="3" t="s">
        <v>179</v>
      </c>
      <c r="D937" t="s">
        <v>297</v>
      </c>
      <c r="E937" s="1">
        <v>33025</v>
      </c>
    </row>
    <row r="938" spans="1:5" x14ac:dyDescent="0.7">
      <c r="A938" t="str">
        <f>HYPERLINK("https://rocky-and-hopper.sakura.ne.jp/Kisho-Michelin/638/4-638-07229-1.htm","わかりやすいオール図解 谷川流 攻めの手筋 先鋭早仕掛けの決め手")</f>
        <v>わかりやすいオール図解 谷川流 攻めの手筋 先鋭早仕掛けの決め手</v>
      </c>
      <c r="B938" s="3" t="s">
        <v>40</v>
      </c>
      <c r="D938" t="s">
        <v>105</v>
      </c>
      <c r="E938" s="1">
        <v>30529</v>
      </c>
    </row>
    <row r="939" spans="1:5" x14ac:dyDescent="0.7">
      <c r="A939" t="str">
        <f>HYPERLINK("https://rocky-and-hopper.sakura.ne.jp/Kisho-Michelin/87365/4-87365-063-1.htm","すぐに役立つ オール 寄せの手筋")</f>
        <v>すぐに役立つ オール 寄せの手筋</v>
      </c>
      <c r="B939" s="3" t="s">
        <v>12</v>
      </c>
      <c r="D939" t="s">
        <v>297</v>
      </c>
      <c r="E939" s="1">
        <v>33298</v>
      </c>
    </row>
    <row r="940" spans="1:5" x14ac:dyDescent="0.7">
      <c r="A940" t="str">
        <f>HYPERLINK("https://rocky-and-hopper.sakura.ne.jp/Kisho-Michelin/0376/0376-69201-4604.htm","日本将棋大系 第一巻 初代大橋宗桂・二代大橋宗古")</f>
        <v>日本将棋大系 第一巻 初代大橋宗桂・二代大橋宗古</v>
      </c>
      <c r="B940" s="3" t="s">
        <v>348</v>
      </c>
      <c r="C940" t="s">
        <v>41</v>
      </c>
      <c r="D940" t="s">
        <v>112</v>
      </c>
      <c r="E940" s="1">
        <v>29190</v>
      </c>
    </row>
    <row r="941" spans="1:5" x14ac:dyDescent="0.7">
      <c r="A941" t="str">
        <f>HYPERLINK("https://rocky-and-hopper.sakura.ne.jp/Kisho-Michelin/89563/4-89563-550-3.htm","終盤の定跡デラックス")</f>
        <v>終盤の定跡デラックス</v>
      </c>
      <c r="B941" s="3" t="s">
        <v>12</v>
      </c>
      <c r="D941" t="s">
        <v>132</v>
      </c>
      <c r="E941" s="1">
        <v>33420</v>
      </c>
    </row>
    <row r="942" spans="1:5" x14ac:dyDescent="0.7">
      <c r="A942" t="str">
        <f>HYPERLINK("https://rocky-and-hopper.sakura.ne.jp/Kisho-Michelin/14/4-14-016075-6.htm","NHK将棋シリーズ 佐藤康光の 寄せの急所 囲いの急所")</f>
        <v>NHK将棋シリーズ 佐藤康光の 寄せの急所 囲いの急所</v>
      </c>
      <c r="B942" s="3" t="s">
        <v>14</v>
      </c>
      <c r="C942" t="s">
        <v>20</v>
      </c>
      <c r="D942" t="s">
        <v>129</v>
      </c>
      <c r="E942" s="1">
        <v>35004</v>
      </c>
    </row>
    <row r="943" spans="1:5" x14ac:dyDescent="0.7">
      <c r="A943" t="str">
        <f>HYPERLINK("https://rocky-and-hopper.sakura.ne.jp/Kisho-Michelin/620/4-620-50437-8.htm","第三十七期将棋名人戦 全記録")</f>
        <v>第三十七期将棋名人戦 全記録</v>
      </c>
      <c r="B943" s="3" t="s">
        <v>40</v>
      </c>
      <c r="C943" t="s">
        <v>428</v>
      </c>
      <c r="D943" t="s">
        <v>262</v>
      </c>
      <c r="E943" s="1">
        <v>29068</v>
      </c>
    </row>
    <row r="944" spans="1:5" x14ac:dyDescent="0.7">
      <c r="A944" t="str">
        <f>HYPERLINK("https://rocky-and-hopper.sakura.ne.jp/Kisho-Michelin/528/4-528-00483-6.htm","大山康晴の次の一手 将棋・実力テスト次の一手")</f>
        <v>大山康晴の次の一手 将棋・実力テスト次の一手</v>
      </c>
      <c r="B944" s="3" t="s">
        <v>40</v>
      </c>
      <c r="D944" t="s">
        <v>283</v>
      </c>
      <c r="E944" s="1">
        <v>30133</v>
      </c>
    </row>
    <row r="945" spans="1:5" x14ac:dyDescent="0.7">
      <c r="A945" t="str">
        <f>HYPERLINK("https://rocky-and-hopper.sakura.ne.jp/Kisho-Michelin/309/4-309-72271-7.htm","先崎式将棋レクチャー＆トーク ホントに勝てる四間飛車")</f>
        <v>先崎式将棋レクチャー＆トーク ホントに勝てる四間飛車</v>
      </c>
      <c r="B945" s="3" t="s">
        <v>14</v>
      </c>
      <c r="C945" t="s">
        <v>8</v>
      </c>
      <c r="D945" t="s">
        <v>186</v>
      </c>
      <c r="E945" s="1">
        <v>37591</v>
      </c>
    </row>
    <row r="946" spans="1:5" x14ac:dyDescent="0.7">
      <c r="A946" t="str">
        <f>HYPERLINK("https://rocky-and-hopper.sakura.ne.jp/Kisho-Michelin/87365/4-87365-044-5.htm","すぐに役立つ ハイテク将棋必勝法")</f>
        <v>すぐに役立つ ハイテク将棋必勝法</v>
      </c>
      <c r="B946" s="3" t="s">
        <v>12</v>
      </c>
      <c r="D946" t="s">
        <v>297</v>
      </c>
      <c r="E946" s="1">
        <v>31929</v>
      </c>
    </row>
    <row r="947" spans="1:5" x14ac:dyDescent="0.7">
      <c r="A947" t="str">
        <f>HYPERLINK("https://rocky-and-hopper.sakura.ne.jp/Kisho-Michelin/8197/4-8197-0114-2.htm","加藤の勝つ次の一手 あなたの実力何段？何級？")</f>
        <v>加藤の勝つ次の一手 あなたの実力何段？何級？</v>
      </c>
      <c r="B947" s="3" t="s">
        <v>14</v>
      </c>
      <c r="D947" t="s">
        <v>77</v>
      </c>
      <c r="E947" s="1">
        <v>30987</v>
      </c>
    </row>
    <row r="948" spans="1:5" x14ac:dyDescent="0.7">
      <c r="A948" t="str">
        <f>HYPERLINK("https://rocky-and-hopper.sakura.ne.jp/Kisho-Michelin/8069/4-8069-0312-4.htm","問題集百態 将棋実力早わかり")</f>
        <v>問題集百態 将棋実力早わかり</v>
      </c>
      <c r="B948" s="3" t="s">
        <v>40</v>
      </c>
      <c r="C948" t="s">
        <v>444</v>
      </c>
      <c r="D948" t="s">
        <v>361</v>
      </c>
      <c r="E948" t="s">
        <v>282</v>
      </c>
    </row>
    <row r="949" spans="1:5" x14ac:dyDescent="0.7">
      <c r="A949" t="str">
        <f>HYPERLINK("https://rocky-and-hopper.sakura.ne.jp/Kisho-Michelin/89287/4-89287-038-2.htm","王将ブックスDELUXE版 C ハメ手シリーズ(3) ハメ手撃破戦法")</f>
        <v>王将ブックスDELUXE版 C ハメ手シリーズ(3) ハメ手撃破戦法</v>
      </c>
      <c r="B949" s="3" t="s">
        <v>40</v>
      </c>
      <c r="C949" t="s">
        <v>8</v>
      </c>
      <c r="D949" t="s">
        <v>362</v>
      </c>
      <c r="E949" s="1">
        <v>31625</v>
      </c>
    </row>
    <row r="950" spans="1:5" x14ac:dyDescent="0.7">
      <c r="A950" t="str">
        <f>HYPERLINK("https://rocky-and-hopper.sakura.ne.jp/Kisho-Michelin/380/4-380-93217-6.htm","三一将棋シリーズ 参上!!女流三強棋士 次の一手でわかる 直子のジャンプ・広恵のテクニック・市代のパワー")</f>
        <v>三一将棋シリーズ 参上!!女流三強棋士 次の一手でわかる 直子のジャンプ・広恵のテクニック・市代のパワー</v>
      </c>
      <c r="B950" s="3" t="s">
        <v>40</v>
      </c>
      <c r="D950" t="s">
        <v>363</v>
      </c>
      <c r="E950" s="1">
        <v>34090</v>
      </c>
    </row>
    <row r="951" spans="1:5" x14ac:dyDescent="0.7">
      <c r="A951" t="str">
        <f>HYPERLINK("https://rocky-and-hopper.sakura.ne.jp/Kisho-Michelin/471/4-471-13140-0.htm","屋敷伸之の忍者将棋 将棋クロスワードパズル 次の一手")</f>
        <v>屋敷伸之の忍者将棋 将棋クロスワードパズル 次の一手</v>
      </c>
      <c r="B951" s="3" t="s">
        <v>40</v>
      </c>
      <c r="D951" t="s">
        <v>364</v>
      </c>
      <c r="E951" s="1">
        <v>33573</v>
      </c>
    </row>
    <row r="952" spans="1:5" x14ac:dyDescent="0.7">
      <c r="A952" t="str">
        <f>HYPERLINK("https://rocky-and-hopper.sakura.ne.jp/Kisho-Michelin/8197/4-8197-0206-8.htm","泥沼流振り飛車破り さわやか自戦記書きおろし")</f>
        <v>泥沼流振り飛車破り さわやか自戦記書きおろし</v>
      </c>
      <c r="B952" s="3" t="s">
        <v>12</v>
      </c>
      <c r="C952" t="s">
        <v>45</v>
      </c>
      <c r="D952" t="s">
        <v>191</v>
      </c>
      <c r="E952" s="1">
        <v>34335</v>
      </c>
    </row>
    <row r="953" spans="1:5" x14ac:dyDescent="0.7">
      <c r="A953" t="str">
        <f>HYPERLINK("https://rocky-and-hopper.sakura.ne.jp/Kisho-Michelin/8399/4-8399-0594-0.htm","森下の対振り飛車熱戦譜")</f>
        <v>森下の対振り飛車熱戦譜</v>
      </c>
      <c r="B953" s="3" t="s">
        <v>12</v>
      </c>
      <c r="C953" t="s">
        <v>45</v>
      </c>
      <c r="D953" t="s">
        <v>255</v>
      </c>
      <c r="E953" s="1">
        <v>37561</v>
      </c>
    </row>
    <row r="954" spans="1:5" x14ac:dyDescent="0.7">
      <c r="A954" t="str">
        <f>HYPERLINK("https://rocky-and-hopper.sakura.ne.jp/Kisho-Michelin/8399/4-8399-0642-4.htm","東大将棋ブックス 四間飛車道場 第三巻 左４六銀")</f>
        <v>東大将棋ブックス 四間飛車道場 第三巻 左４六銀</v>
      </c>
      <c r="B954" s="3" t="s">
        <v>14</v>
      </c>
      <c r="C954" t="s">
        <v>8</v>
      </c>
      <c r="D954" t="s">
        <v>44</v>
      </c>
      <c r="E954" s="1">
        <v>37288</v>
      </c>
    </row>
    <row r="955" spans="1:5" x14ac:dyDescent="0.7">
      <c r="A955" t="str">
        <f>HYPERLINK("https://rocky-and-hopper.sakura.ne.jp/Kisho-Michelin/89563/4-89563-558-9.htm","急戦！振り飛車破り(2) 徹底左４六銀")</f>
        <v>急戦！振り飛車破り(2) 徹底左４六銀</v>
      </c>
      <c r="B955" s="3" t="s">
        <v>14</v>
      </c>
      <c r="C955" t="s">
        <v>45</v>
      </c>
      <c r="D955" t="s">
        <v>365</v>
      </c>
      <c r="E955" s="1">
        <v>33573</v>
      </c>
    </row>
    <row r="956" spans="1:5" x14ac:dyDescent="0.7">
      <c r="A956" t="str">
        <f>HYPERLINK("https://rocky-and-hopper.sakura.ne.jp/Kisho-Michelin/8399/4-8399-1233-5.htm","お昼休みに解く 初段次の一手")</f>
        <v>お昼休みに解く 初段次の一手</v>
      </c>
      <c r="B956" s="3" t="s">
        <v>40</v>
      </c>
      <c r="D956" t="s">
        <v>132</v>
      </c>
      <c r="E956" s="1">
        <v>37865</v>
      </c>
    </row>
    <row r="957" spans="1:5" x14ac:dyDescent="0.7">
      <c r="A957" t="str">
        <f>HYPERLINK("https://rocky-and-hopper.sakura.ne.jp/Kisho-Michelin/381/4-381-00110-9.htm","MAN TO MAN BOOKS 楽しい詰将棋入門 ─3手詰・5手詰")</f>
        <v>MAN TO MAN BOOKS 楽しい詰将棋入門 ─3手詰・5手詰</v>
      </c>
      <c r="B957" s="3" t="s">
        <v>12</v>
      </c>
      <c r="D957" t="s">
        <v>191</v>
      </c>
      <c r="E957" t="s">
        <v>366</v>
      </c>
    </row>
    <row r="958" spans="1:5" x14ac:dyDescent="0.7">
      <c r="A958" t="str">
        <f>HYPERLINK("https://rocky-and-hopper.sakura.ne.jp/Kisho-Michelin/89563/4-89563-580-5.htm","屋敷伸之の将棋 茫洋")</f>
        <v>屋敷伸之の将棋 茫洋</v>
      </c>
      <c r="B958" s="3" t="s">
        <v>40</v>
      </c>
      <c r="C958" t="s">
        <v>25</v>
      </c>
      <c r="D958" t="s">
        <v>165</v>
      </c>
      <c r="E958" s="1">
        <v>34121</v>
      </c>
    </row>
    <row r="959" spans="1:5" x14ac:dyDescent="0.7">
      <c r="A959" t="str">
        <f>HYPERLINK("https://rocky-and-hopper.sakura.ne.jp/Kisho-Michelin/89563/4-89563-572-4.htm","小林健二の将棋 鍛錬千日・勝負一瞬")</f>
        <v>小林健二の将棋 鍛錬千日・勝負一瞬</v>
      </c>
      <c r="B959" s="3" t="s">
        <v>12</v>
      </c>
      <c r="C959" t="s">
        <v>420</v>
      </c>
      <c r="D959" t="s">
        <v>135</v>
      </c>
      <c r="E959" s="1">
        <v>33817</v>
      </c>
    </row>
    <row r="960" spans="1:5" x14ac:dyDescent="0.7">
      <c r="A960" t="str">
        <f>HYPERLINK("https://rocky-and-hopper.sakura.ne.jp/Kisho-Michelin/89563/4-89563-571-6.htm","塚田泰明の将棋 遊心")</f>
        <v>塚田泰明の将棋 遊心</v>
      </c>
      <c r="B960" s="3" t="s">
        <v>12</v>
      </c>
      <c r="D960" t="s">
        <v>279</v>
      </c>
      <c r="E960" s="1">
        <v>33817</v>
      </c>
    </row>
    <row r="961" spans="1:5" x14ac:dyDescent="0.7">
      <c r="A961" t="str">
        <f>HYPERLINK("https://rocky-and-hopper.sakura.ne.jp/Kisho-Michelin/8399/4-8399-0679-3.htm","東大将棋ブックス 四間飛車道場 第四巻 ４五歩")</f>
        <v>東大将棋ブックス 四間飛車道場 第四巻 ４五歩</v>
      </c>
      <c r="B961" s="3" t="s">
        <v>14</v>
      </c>
      <c r="C961" t="s">
        <v>8</v>
      </c>
      <c r="D961" t="s">
        <v>44</v>
      </c>
      <c r="E961" s="1">
        <v>37347</v>
      </c>
    </row>
    <row r="962" spans="1:5" x14ac:dyDescent="0.7">
      <c r="A962" t="str">
        <f>HYPERLINK("https://rocky-and-hopper.sakura.ne.jp/Kisho-Michelin/8197/4-8197-0362-5.htm","実戦の振り飛車破り")</f>
        <v>実戦の振り飛車破り</v>
      </c>
      <c r="B962" s="3" t="s">
        <v>40</v>
      </c>
      <c r="C962" t="s">
        <v>419</v>
      </c>
      <c r="D962" t="s">
        <v>367</v>
      </c>
      <c r="E962" s="1">
        <v>36739</v>
      </c>
    </row>
    <row r="963" spans="1:5" x14ac:dyDescent="0.7">
      <c r="A963" t="str">
        <f>HYPERLINK("https://rocky-and-hopper.sakura.ne.jp/Kisho-Michelin/2076/2076-0002-1535.htm","第1回・朝日アマ将棋名人戦")</f>
        <v>第1回・朝日アマ将棋名人戦</v>
      </c>
      <c r="B963" s="3" t="s">
        <v>12</v>
      </c>
      <c r="C963" t="s">
        <v>438</v>
      </c>
      <c r="D963" t="s">
        <v>368</v>
      </c>
      <c r="E963" s="1">
        <v>29221</v>
      </c>
    </row>
    <row r="964" spans="1:5" x14ac:dyDescent="0.7">
      <c r="A964" t="str">
        <f>HYPERLINK("https://rocky-and-hopper.sakura.ne.jp/Kisho-Michelin/89563/4-89563-565-1.htm","急戦！振り飛車破り(4) 徹底4五歩早仕掛け")</f>
        <v>急戦！振り飛車破り(4) 徹底4五歩早仕掛け</v>
      </c>
      <c r="B964" s="3" t="s">
        <v>14</v>
      </c>
      <c r="C964" t="s">
        <v>455</v>
      </c>
      <c r="D964" t="s">
        <v>44</v>
      </c>
      <c r="E964" s="1">
        <v>33725</v>
      </c>
    </row>
    <row r="965" spans="1:5" x14ac:dyDescent="0.7">
      <c r="A965" t="s">
        <v>504</v>
      </c>
      <c r="B965" s="3" t="s">
        <v>14</v>
      </c>
      <c r="C965" t="s">
        <v>41</v>
      </c>
      <c r="D965" t="s">
        <v>369</v>
      </c>
      <c r="E965" s="1">
        <v>30560</v>
      </c>
    </row>
    <row r="966" spans="1:5" x14ac:dyDescent="0.7">
      <c r="A966" t="str">
        <f>HYPERLINK("https://rocky-and-hopper.sakura.ne.jp/Kisho-Michelin/422/4-422-75088-7.htm","将棋必勝シリーズ プロの実戦に学ぶ妙手 勝てる将棋格言36 あらゆるシーンで思い出せる勝つための知恵の素")</f>
        <v>将棋必勝シリーズ プロの実戦に学ぶ妙手 勝てる将棋格言36 あらゆるシーンで思い出せる勝つための知恵の素</v>
      </c>
      <c r="B966" s="3" t="s">
        <v>14</v>
      </c>
      <c r="D966" t="s">
        <v>71</v>
      </c>
      <c r="E966" s="1">
        <v>37834</v>
      </c>
    </row>
    <row r="967" spans="1:5" x14ac:dyDescent="0.7">
      <c r="A967" t="str">
        <f>HYPERLINK("https://rocky-and-hopper.sakura.ne.jp/Kisho-Michelin/471/4-471-13141-9.htm","屋敷伸之の忍者将棋 必勝!! 同型将棋破り")</f>
        <v>屋敷伸之の忍者将棋 必勝!! 同型将棋破り</v>
      </c>
      <c r="B967" s="3" t="s">
        <v>12</v>
      </c>
      <c r="C967" t="s">
        <v>499</v>
      </c>
      <c r="D967" t="s">
        <v>370</v>
      </c>
      <c r="E967" s="1">
        <v>34090</v>
      </c>
    </row>
    <row r="968" spans="1:5" x14ac:dyDescent="0.7">
      <c r="A968" t="str">
        <f>HYPERLINK("https://rocky-and-hopper.sakura.ne.jp/Kisho-Michelin/8197/4-8197-0309-9.htm","必殺！カニカニ銀 究極の二枚銀戦法")</f>
        <v>必殺！カニカニ銀 究極の二枚銀戦法</v>
      </c>
      <c r="B968" s="3" t="s">
        <v>14</v>
      </c>
      <c r="C968" t="s">
        <v>116</v>
      </c>
      <c r="D968" t="s">
        <v>371</v>
      </c>
      <c r="E968" s="1">
        <v>33635</v>
      </c>
    </row>
    <row r="969" spans="1:5" x14ac:dyDescent="0.7">
      <c r="A969" t="str">
        <f>HYPERLINK("https://rocky-and-hopper.sakura.ne.jp/Kisho-Michelin/643/4-643-03005-4.htm","第十五期竜王決定七番勝負 激闘譜 羽生善治 VS 阿部隆")</f>
        <v>第十五期竜王決定七番勝負 激闘譜 羽生善治 VS 阿部隆</v>
      </c>
      <c r="B969" s="3" t="s">
        <v>40</v>
      </c>
      <c r="C969" t="s">
        <v>470</v>
      </c>
      <c r="D969" t="s">
        <v>252</v>
      </c>
      <c r="E969" s="1">
        <v>37681</v>
      </c>
    </row>
    <row r="970" spans="1:5" x14ac:dyDescent="0.7">
      <c r="A970" t="str">
        <f>HYPERLINK("https://rocky-and-hopper.sakura.ne.jp/Kisho-Michelin/8399/4-8399-1075-8.htm","新 谷川浩司全集 1")</f>
        <v>新 谷川浩司全集 1</v>
      </c>
      <c r="B970" s="3" t="s">
        <v>14</v>
      </c>
      <c r="C970" t="s">
        <v>483</v>
      </c>
      <c r="D970" t="s">
        <v>105</v>
      </c>
      <c r="E970" s="1">
        <v>37773</v>
      </c>
    </row>
    <row r="971" spans="1:5" x14ac:dyDescent="0.7">
      <c r="A971" t="str">
        <f>HYPERLINK("https://rocky-and-hopper.sakura.ne.jp/Kisho-Michelin/89563/4-89563-685-2.htm","9手詰めパラダイス")</f>
        <v>9手詰めパラダイス</v>
      </c>
      <c r="B971" s="3" t="s">
        <v>40</v>
      </c>
      <c r="D971" t="s">
        <v>251</v>
      </c>
      <c r="E971" s="1">
        <v>35612</v>
      </c>
    </row>
    <row r="972" spans="1:5" x14ac:dyDescent="0.7">
      <c r="A972" t="str">
        <f>HYPERLINK("https://rocky-and-hopper.sakura.ne.jp/Kisho-Michelin/89563/4-89563-684-4.htm","7手詰めパラダイス")</f>
        <v>7手詰めパラダイス</v>
      </c>
      <c r="B972" s="3" t="s">
        <v>40</v>
      </c>
      <c r="D972" t="s">
        <v>251</v>
      </c>
      <c r="E972" s="1">
        <v>35551</v>
      </c>
    </row>
    <row r="973" spans="1:5" x14ac:dyDescent="0.7">
      <c r="A973" t="str">
        <f>HYPERLINK("https://rocky-and-hopper.sakura.ne.jp/Kisho-Michelin/643/4-643-02003-2.htm","第十四期竜王決定七番勝負 激闘譜 藤井猛 VS 羽生善治")</f>
        <v>第十四期竜王決定七番勝負 激闘譜 藤井猛 VS 羽生善治</v>
      </c>
      <c r="B973" s="3" t="s">
        <v>40</v>
      </c>
      <c r="C973" t="s">
        <v>457</v>
      </c>
      <c r="D973" t="s">
        <v>252</v>
      </c>
      <c r="E973" s="1">
        <v>37288</v>
      </c>
    </row>
    <row r="974" spans="1:5" x14ac:dyDescent="0.7">
      <c r="A974" t="str">
        <f>HYPERLINK("https://rocky-and-hopper.sakura.ne.jp/Kisho-Michelin/89563/4-89563-601-1.htm","伊藤果直伝！ 風車の美学")</f>
        <v>伊藤果直伝！ 風車の美学</v>
      </c>
      <c r="B974" s="3" t="s">
        <v>40</v>
      </c>
      <c r="C974" t="s">
        <v>439</v>
      </c>
      <c r="D974" t="s">
        <v>372</v>
      </c>
      <c r="E974" s="1">
        <v>34486</v>
      </c>
    </row>
    <row r="975" spans="1:5" x14ac:dyDescent="0.7">
      <c r="A975" t="str">
        <f>HYPERLINK("https://rocky-and-hopper.sakura.ne.jp/Kisho-Michelin/643/4-643-01004-5.htm","第十三期竜王決定七番勝負 激闘譜 藤井 猛 VS 羽生善治")</f>
        <v>第十三期竜王決定七番勝負 激闘譜 藤井 猛 VS 羽生善治</v>
      </c>
      <c r="B975" s="3" t="s">
        <v>40</v>
      </c>
      <c r="C975" t="s">
        <v>469</v>
      </c>
      <c r="D975" t="s">
        <v>252</v>
      </c>
      <c r="E975" s="1">
        <v>36923</v>
      </c>
    </row>
    <row r="976" spans="1:5" x14ac:dyDescent="0.7">
      <c r="A976" t="str">
        <f>HYPERLINK("https://rocky-and-hopper.sakura.ne.jp/Kisho-Michelin/309/4-309-73134-1.htm","最強将棋塾 谷川浩司の戦いの絶対感覚")</f>
        <v>最強将棋塾 谷川浩司の戦いの絶対感覚</v>
      </c>
      <c r="B976" s="3" t="s">
        <v>14</v>
      </c>
      <c r="D976" t="s">
        <v>105</v>
      </c>
      <c r="E976" s="1">
        <v>37712</v>
      </c>
    </row>
    <row r="977" spans="1:5" x14ac:dyDescent="0.7">
      <c r="A977" t="str">
        <f>HYPERLINK("https://rocky-and-hopper.sakura.ne.jp/Kisho-Michelin/8399/4-8399-0940-7.htm","プロの将棋シリーズ(3) コーヤン流三間飛車の極意 持久戦編")</f>
        <v>プロの将棋シリーズ(3) コーヤン流三間飛車の極意 持久戦編</v>
      </c>
      <c r="B977" s="3" t="s">
        <v>14</v>
      </c>
      <c r="C977" t="s">
        <v>96</v>
      </c>
      <c r="D977" t="s">
        <v>130</v>
      </c>
      <c r="E977" s="1">
        <v>37712</v>
      </c>
    </row>
    <row r="978" spans="1:5" x14ac:dyDescent="0.7">
      <c r="A978" t="str">
        <f>HYPERLINK("https://rocky-and-hopper.sakura.ne.jp/Kisho-Michelin/643/4-643-00005-8.htm","第十二期竜王決定七番勝負 激闘譜 藤井 猛 VS 鈴木大介")</f>
        <v>第十二期竜王決定七番勝負 激闘譜 藤井 猛 VS 鈴木大介</v>
      </c>
      <c r="B978" s="3" t="s">
        <v>40</v>
      </c>
      <c r="C978" t="s">
        <v>438</v>
      </c>
      <c r="D978" t="s">
        <v>252</v>
      </c>
      <c r="E978" s="1">
        <v>36557</v>
      </c>
    </row>
    <row r="979" spans="1:5" x14ac:dyDescent="0.7">
      <c r="A979" t="str">
        <f>HYPERLINK("https://rocky-and-hopper.sakura.ne.jp/Kisho-Michelin/643/4-643-99017-1.htm","第十一期竜王決定七番勝負 激闘譜 谷川浩司 VS 藤井 猛")</f>
        <v>第十一期竜王決定七番勝負 激闘譜 谷川浩司 VS 藤井 猛</v>
      </c>
      <c r="B979" s="3" t="s">
        <v>40</v>
      </c>
      <c r="C979" t="s">
        <v>423</v>
      </c>
      <c r="D979" t="s">
        <v>252</v>
      </c>
      <c r="E979" s="1">
        <v>35827</v>
      </c>
    </row>
    <row r="980" spans="1:5" x14ac:dyDescent="0.7">
      <c r="A980" t="str">
        <f>HYPERLINK("https://rocky-and-hopper.sakura.ne.jp/Kisho-Michelin/643/4-643-98013-3.htm","第十期竜王決定七番勝負 激闘譜 谷川浩司 VS 真田圭一")</f>
        <v>第十期竜王決定七番勝負 激闘譜 谷川浩司 VS 真田圭一</v>
      </c>
      <c r="B980" s="3" t="s">
        <v>40</v>
      </c>
      <c r="C980" t="s">
        <v>264</v>
      </c>
      <c r="D980" t="s">
        <v>252</v>
      </c>
      <c r="E980" s="1">
        <v>35827</v>
      </c>
    </row>
    <row r="981" spans="1:5" x14ac:dyDescent="0.7">
      <c r="A981" t="str">
        <f>HYPERLINK("https://rocky-and-hopper.sakura.ne.jp/Kisho-Michelin/89563/4-89563-545-7.htm","世紀末四間飛車 急戦之巻")</f>
        <v>世紀末四間飛車 急戦之巻</v>
      </c>
      <c r="B981" s="3" t="s">
        <v>14</v>
      </c>
      <c r="C981" t="s">
        <v>8</v>
      </c>
      <c r="D981" t="s">
        <v>373</v>
      </c>
      <c r="E981" s="1">
        <v>33208</v>
      </c>
    </row>
    <row r="982" spans="1:5" x14ac:dyDescent="0.7">
      <c r="A982" t="str">
        <f>HYPERLINK("https://rocky-and-hopper.sakura.ne.jp/Kisho-Michelin/89563/4-89563-544-9.htm","手筋の達人(2) 矢倉応用編")</f>
        <v>手筋の達人(2) 矢倉応用編</v>
      </c>
      <c r="B982" s="3" t="s">
        <v>12</v>
      </c>
      <c r="D982" t="s">
        <v>374</v>
      </c>
      <c r="E982" s="1">
        <v>33208</v>
      </c>
    </row>
    <row r="983" spans="1:5" x14ac:dyDescent="0.7">
      <c r="A983" t="str">
        <f>HYPERLINK("https://rocky-and-hopper.sakura.ne.jp/Kisho-Michelin/89563/4-89563-542-2.htm","手筋の達人(1) 矢倉基本編")</f>
        <v>手筋の達人(1) 矢倉基本編</v>
      </c>
      <c r="B983" s="3" t="s">
        <v>12</v>
      </c>
      <c r="D983" t="s">
        <v>374</v>
      </c>
      <c r="E983" s="1">
        <v>33147</v>
      </c>
    </row>
    <row r="984" spans="1:5" x14ac:dyDescent="0.7">
      <c r="A984" t="str">
        <f>HYPERLINK("https://rocky-and-hopper.sakura.ne.jp/Kisho-Michelin/537/4-537-20081-2.htm","3日間で強くなる将棋の本 詰め将棋を楽しみながら実力アップ")</f>
        <v>3日間で強くなる将棋の本 詰め将棋を楽しみながら実力アップ</v>
      </c>
      <c r="B984" s="3" t="s">
        <v>14</v>
      </c>
      <c r="D984" t="s">
        <v>79</v>
      </c>
      <c r="E984" s="1">
        <v>37165</v>
      </c>
    </row>
    <row r="985" spans="1:5" x14ac:dyDescent="0.7">
      <c r="A985" t="str">
        <f>HYPERLINK("https://rocky-and-hopper.sakura.ne.jp/Kisho-Michelin/643/4-643-97023-5.htm","第九期竜王決定七番勝負 激闘譜 羽生善治 VS 谷川浩司")</f>
        <v>第九期竜王決定七番勝負 激闘譜 羽生善治 VS 谷川浩司</v>
      </c>
      <c r="B985" s="3" t="s">
        <v>40</v>
      </c>
      <c r="C985" t="s">
        <v>481</v>
      </c>
      <c r="D985" t="s">
        <v>252</v>
      </c>
      <c r="E985" s="1">
        <v>35462</v>
      </c>
    </row>
    <row r="986" spans="1:5" x14ac:dyDescent="0.7">
      <c r="A986" t="str">
        <f>HYPERLINK("https://rocky-and-hopper.sakura.ne.jp/Kisho-Michelin/8197/4-8197-0404-4.htm","詰将棋パワードリル 216 右脳直感トレーニング！3手5手詰")</f>
        <v>詰将棋パワードリル 216 右脳直感トレーニング！3手5手詰</v>
      </c>
      <c r="B986" s="3" t="s">
        <v>40</v>
      </c>
      <c r="D986" t="s">
        <v>375</v>
      </c>
      <c r="E986" s="1">
        <v>35065</v>
      </c>
    </row>
    <row r="987" spans="1:5" x14ac:dyDescent="0.7">
      <c r="A987" t="str">
        <f>HYPERLINK("https://rocky-and-hopper.sakura.ne.jp/Kisho-Michelin/89563/4-89563-640-2.htm","相振り革命")</f>
        <v>相振り革命</v>
      </c>
      <c r="B987" s="3" t="s">
        <v>0</v>
      </c>
      <c r="C987" t="s">
        <v>445</v>
      </c>
      <c r="D987" t="s">
        <v>80</v>
      </c>
      <c r="E987" s="1">
        <v>34973</v>
      </c>
    </row>
    <row r="988" spans="1:5" x14ac:dyDescent="0.7">
      <c r="A988" t="str">
        <f>HYPERLINK("https://rocky-and-hopper.sakura.ne.jp/Kisho-Michelin/0076/0076-670001-7904.htm","第三十六期将棋名人戦 全記録")</f>
        <v>第三十六期将棋名人戦 全記録</v>
      </c>
      <c r="B988" s="3" t="s">
        <v>40</v>
      </c>
      <c r="C988" t="s">
        <v>428</v>
      </c>
      <c r="D988" t="s">
        <v>262</v>
      </c>
      <c r="E988" s="1">
        <v>28703</v>
      </c>
    </row>
    <row r="989" spans="1:5" x14ac:dyDescent="0.7">
      <c r="A989" t="str">
        <f>HYPERLINK("https://rocky-and-hopper.sakura.ne.jp/Kisho-Michelin/643/4-643-96021-3.htm","第八期竜王決定七番勝負 激闘譜 羽生善治──佐藤康光")</f>
        <v>第八期竜王決定七番勝負 激闘譜 羽生善治──佐藤康光</v>
      </c>
      <c r="B989" s="3" t="s">
        <v>179</v>
      </c>
      <c r="C989" t="s">
        <v>463</v>
      </c>
      <c r="D989" t="s">
        <v>252</v>
      </c>
      <c r="E989" s="1">
        <v>35125</v>
      </c>
    </row>
    <row r="990" spans="1:5" x14ac:dyDescent="0.7">
      <c r="A990" t="str">
        <f>HYPERLINK("https://rocky-and-hopper.sakura.ne.jp/Kisho-Michelin/0076/0076-100103-0316.htm","定本 大山の駒落ち")</f>
        <v>定本 大山の駒落ち</v>
      </c>
      <c r="B990" s="3" t="s">
        <v>0</v>
      </c>
      <c r="C990" t="s">
        <v>8</v>
      </c>
      <c r="D990" t="s">
        <v>283</v>
      </c>
      <c r="E990" s="1">
        <v>29160</v>
      </c>
    </row>
    <row r="991" spans="1:5" x14ac:dyDescent="0.7">
      <c r="A991" t="str">
        <f>HYPERLINK("https://rocky-and-hopper.sakura.ne.jp/Kisho-Michelin/8399/4-8399-1006-5.htm","振り飛車ワールド 第二巻")</f>
        <v>振り飛車ワールド 第二巻</v>
      </c>
      <c r="B991" s="3" t="s">
        <v>12</v>
      </c>
      <c r="C991" t="s">
        <v>45</v>
      </c>
      <c r="D991" t="s">
        <v>376</v>
      </c>
      <c r="E991" s="1">
        <v>37681</v>
      </c>
    </row>
    <row r="992" spans="1:5" x14ac:dyDescent="0.7">
      <c r="A992" t="str">
        <f>HYPERLINK("https://rocky-and-hopper.sakura.ne.jp/Kisho-Michelin/0076/0076-003053-0049.htm","第三十五期将棋名人戦 全記録 ──中原名人五連覇で永世名人に──")</f>
        <v>第三十五期将棋名人戦 全記録 ──中原名人五連覇で永世名人に──</v>
      </c>
      <c r="B992" s="3" t="s">
        <v>12</v>
      </c>
      <c r="C992" t="s">
        <v>64</v>
      </c>
      <c r="D992" t="s">
        <v>377</v>
      </c>
      <c r="E992" s="1">
        <v>28004</v>
      </c>
    </row>
    <row r="993" spans="1:5" x14ac:dyDescent="0.7">
      <c r="A993" t="str">
        <f>HYPERLINK("https://rocky-and-hopper.sakura.ne.jp/Kisho-Michelin/643/4-643-95012-9.htm","第七期竜王決定七番勝負 激闘譜 羽生善治──佐藤康光")</f>
        <v>第七期竜王決定七番勝負 激闘譜 羽生善治──佐藤康光</v>
      </c>
      <c r="B993" s="3" t="s">
        <v>40</v>
      </c>
      <c r="C993" t="s">
        <v>131</v>
      </c>
      <c r="D993" t="s">
        <v>252</v>
      </c>
      <c r="E993" s="1">
        <v>34759</v>
      </c>
    </row>
    <row r="994" spans="1:5" x14ac:dyDescent="0.7">
      <c r="A994" t="str">
        <f>HYPERLINK("https://rocky-and-hopper.sakura.ne.jp/Kisho-Michelin/381/4-381-10455-2.htm","MAN TO MAN BOOKS スラスラ咎める 将棋悪手集")</f>
        <v>MAN TO MAN BOOKS スラスラ咎める 将棋悪手集</v>
      </c>
      <c r="B994" s="3" t="s">
        <v>12</v>
      </c>
      <c r="C994" t="s">
        <v>41</v>
      </c>
      <c r="D994" t="s">
        <v>71</v>
      </c>
      <c r="E994" s="1">
        <v>29221</v>
      </c>
    </row>
    <row r="995" spans="1:5" x14ac:dyDescent="0.7">
      <c r="A995" t="str">
        <f>HYPERLINK("https://rocky-and-hopper.sakura.ne.jp/Kisho-Michelin/480/4-480-69810-8.htm","現代将棋講座10 駒落ち戦法")</f>
        <v>現代将棋講座10 駒落ち戦法</v>
      </c>
      <c r="B995" s="3" t="s">
        <v>14</v>
      </c>
      <c r="C995" t="s">
        <v>431</v>
      </c>
      <c r="D995" t="s">
        <v>316</v>
      </c>
      <c r="E995" s="1">
        <v>30407</v>
      </c>
    </row>
    <row r="996" spans="1:5" x14ac:dyDescent="0.7">
      <c r="A996" t="str">
        <f>HYPERLINK("https://rocky-and-hopper.sakura.ne.jp/Kisho-Michelin/415/4-415-04650-9.htm","これだけできれば 将棋五級 （5,6,7級の問題）")</f>
        <v>これだけできれば 将棋五級 （5,6,7級の問題）</v>
      </c>
      <c r="B996" s="3" t="s">
        <v>12</v>
      </c>
      <c r="E996" s="1">
        <v>34151</v>
      </c>
    </row>
    <row r="997" spans="1:5" x14ac:dyDescent="0.7">
      <c r="A997" t="str">
        <f>HYPERLINK("https://rocky-and-hopper.sakura.ne.jp/Kisho-Michelin/2076/2076-10903-5892.htm","超初心詰将棋")</f>
        <v>超初心詰将棋</v>
      </c>
      <c r="B997" s="3" t="s">
        <v>12</v>
      </c>
      <c r="D997" t="s">
        <v>378</v>
      </c>
      <c r="E997" s="1">
        <v>28004</v>
      </c>
    </row>
    <row r="998" spans="1:5" x14ac:dyDescent="0.7">
      <c r="A998" t="str">
        <f>HYPERLINK("https://rocky-and-hopper.sakura.ne.jp/Kisho-Michelin/415/4-415-04703-3.htm","将棋入門シリーズ(3) 駒落ち定跡")</f>
        <v>将棋入門シリーズ(3) 駒落ち定跡</v>
      </c>
      <c r="B998" s="3" t="s">
        <v>40</v>
      </c>
      <c r="C998" t="s">
        <v>96</v>
      </c>
      <c r="D998" t="s">
        <v>204</v>
      </c>
      <c r="E998" s="1">
        <v>31809</v>
      </c>
    </row>
    <row r="999" spans="1:5" x14ac:dyDescent="0.7">
      <c r="A999" t="str">
        <f>HYPERLINK("https://rocky-and-hopper.sakura.ne.jp/Kisho-Michelin/643/4-643-94013-1.htm","第六期竜王決定七番勝負 激闘譜 羽生善治──佐藤康光")</f>
        <v>第六期竜王決定七番勝負 激闘譜 羽生善治──佐藤康光</v>
      </c>
      <c r="B999" s="3" t="s">
        <v>40</v>
      </c>
      <c r="C999" t="s">
        <v>41</v>
      </c>
      <c r="D999" t="s">
        <v>252</v>
      </c>
      <c r="E999" s="1">
        <v>34394</v>
      </c>
    </row>
    <row r="1000" spans="1:5" x14ac:dyDescent="0.7">
      <c r="A1000" t="str">
        <f>HYPERLINK("https://rocky-and-hopper.sakura.ne.jp/Kisho-Michelin/0076/0076-003044-0049.htm","第三十四期将棋名人戦 全記録 ──激闘九番、中原名人四連覇──")</f>
        <v>第三十四期将棋名人戦 全記録 ──激闘九番、中原名人四連覇──</v>
      </c>
      <c r="B1000" s="3" t="s">
        <v>12</v>
      </c>
      <c r="C1000" t="s">
        <v>473</v>
      </c>
      <c r="D1000" t="s">
        <v>377</v>
      </c>
      <c r="E1000" s="1">
        <v>27668</v>
      </c>
    </row>
    <row r="1001" spans="1:5" x14ac:dyDescent="0.7">
      <c r="A1001" t="str">
        <f>HYPERLINK("https://rocky-and-hopper.sakura.ne.jp/Kisho-Michelin/2276/2276-094102-2265.htm","実力将棋大学(4) 初級詰将棋手帖")</f>
        <v>実力将棋大学(4) 初級詰将棋手帖</v>
      </c>
      <c r="B1001" s="3" t="s">
        <v>12</v>
      </c>
      <c r="D1001" t="s">
        <v>379</v>
      </c>
      <c r="E1001" s="1">
        <v>28185</v>
      </c>
    </row>
    <row r="1002" spans="1:5" x14ac:dyDescent="0.7">
      <c r="A1002" t="str">
        <f>HYPERLINK("https://rocky-and-hopper.sakura.ne.jp/Kisho-Michelin/89563/4-89563-625-9.htm","新終盤の定跡(2) ザ 決め手！")</f>
        <v>新終盤の定跡(2) ザ 決め手！</v>
      </c>
      <c r="B1002" s="3" t="s">
        <v>40</v>
      </c>
      <c r="D1002" t="s">
        <v>132</v>
      </c>
      <c r="E1002" s="1">
        <v>34731</v>
      </c>
    </row>
    <row r="1003" spans="1:5" x14ac:dyDescent="0.7">
      <c r="A1003" t="str">
        <f>HYPERLINK("https://rocky-and-hopper.sakura.ne.jp/Kisho-Michelin/422/4-422-75073-9.htm","初段に挑戦する将棋シリーズ(23) 駒落ちテクニック 上手をやっつけろ！")</f>
        <v>初段に挑戦する将棋シリーズ(23) 駒落ちテクニック 上手をやっつけろ！</v>
      </c>
      <c r="B1003" s="3" t="s">
        <v>14</v>
      </c>
      <c r="C1003" t="s">
        <v>8</v>
      </c>
      <c r="D1003" t="s">
        <v>295</v>
      </c>
      <c r="E1003" s="1">
        <v>32874</v>
      </c>
    </row>
    <row r="1004" spans="1:5" x14ac:dyDescent="0.7">
      <c r="A1004" t="str">
        <f>HYPERLINK("https://rocky-and-hopper.sakura.ne.jp/Kisho-Michelin/643/4-643-93018-7.htm","第五期竜王決定七番勝負 激闘譜 谷川浩司──羽生善治")</f>
        <v>第五期竜王決定七番勝負 激闘譜 谷川浩司──羽生善治</v>
      </c>
      <c r="B1004" s="3" t="s">
        <v>40</v>
      </c>
      <c r="C1004" t="s">
        <v>122</v>
      </c>
      <c r="D1004" t="s">
        <v>252</v>
      </c>
      <c r="E1004" s="1">
        <v>34029</v>
      </c>
    </row>
    <row r="1005" spans="1:5" x14ac:dyDescent="0.7">
      <c r="A1005" t="str">
        <f>HYPERLINK("https://rocky-and-hopper.sakura.ne.jp/Kisho-Michelin/0076/0076-003023-0049.htm","第三十三期将棋名人戦 全記録 ──中原名人苦闘の防衛──")</f>
        <v>第三十三期将棋名人戦 全記録 ──中原名人苦闘の防衛──</v>
      </c>
      <c r="B1005" s="3" t="s">
        <v>12</v>
      </c>
      <c r="C1005" t="s">
        <v>473</v>
      </c>
      <c r="D1005" t="s">
        <v>377</v>
      </c>
      <c r="E1005" s="1">
        <v>27273</v>
      </c>
    </row>
    <row r="1006" spans="1:5" x14ac:dyDescent="0.7">
      <c r="A1006" t="str">
        <f>HYPERLINK("https://rocky-and-hopper.sakura.ne.jp/Kisho-Michelin/89563/4-89563-600-3.htm","これ一冊で免状獲得 初段にチャレンジ")</f>
        <v>これ一冊で免状獲得 初段にチャレンジ</v>
      </c>
      <c r="B1006" s="3" t="s">
        <v>179</v>
      </c>
      <c r="D1006" t="s">
        <v>380</v>
      </c>
      <c r="E1006" s="1">
        <v>34486</v>
      </c>
    </row>
    <row r="1007" spans="1:5" x14ac:dyDescent="0.7">
      <c r="A1007" t="str">
        <f>HYPERLINK("https://rocky-and-hopper.sakura.ne.jp/Kisho-Michelin/89563/4-89563-517-1.htm","週将ブックスオレンジシリーズ 上手を泣かす 駒落ちハンドブック")</f>
        <v>週将ブックスオレンジシリーズ 上手を泣かす 駒落ちハンドブック</v>
      </c>
      <c r="B1007" s="3" t="s">
        <v>40</v>
      </c>
      <c r="D1007" t="s">
        <v>316</v>
      </c>
      <c r="E1007" s="1">
        <v>32174</v>
      </c>
    </row>
    <row r="1008" spans="1:5" x14ac:dyDescent="0.7">
      <c r="A1008" t="str">
        <f>HYPERLINK("https://rocky-and-hopper.sakura.ne.jp/Kisho-Michelin/89563/4-89563-503-1.htm","週将ブックスオレンジシリーズ(3) 超初心者向け詰将棋 らくらく詰ませる3手・5手")</f>
        <v>週将ブックスオレンジシリーズ(3) 超初心者向け詰将棋 らくらく詰ませる3手・5手</v>
      </c>
      <c r="B1008" s="3" t="s">
        <v>12</v>
      </c>
      <c r="D1008" t="s">
        <v>254</v>
      </c>
      <c r="E1008" s="1">
        <v>31291</v>
      </c>
    </row>
    <row r="1009" spans="1:5" x14ac:dyDescent="0.7">
      <c r="A1009" t="str">
        <f>HYPERLINK("https://rocky-and-hopper.sakura.ne.jp/Kisho-Michelin/8399/4-8399-0939-3.htm","プロの将棋シリーズ(2) コーヤン流三間飛車の極意 急戦編")</f>
        <v>プロの将棋シリーズ(2) コーヤン流三間飛車の極意 急戦編</v>
      </c>
      <c r="B1009" s="3" t="s">
        <v>12</v>
      </c>
      <c r="C1009" t="s">
        <v>96</v>
      </c>
      <c r="D1009" t="s">
        <v>130</v>
      </c>
      <c r="E1009" s="1">
        <v>37681</v>
      </c>
    </row>
    <row r="1010" spans="1:5" x14ac:dyDescent="0.7">
      <c r="A1010" t="str">
        <f>HYPERLINK("https://rocky-and-hopper.sakura.ne.jp/Kisho-Michelin/89563/4-89563-543-0.htm","週将ブックス 詰棋カクテル 気ままにひとくち")</f>
        <v>週将ブックス 詰棋カクテル 気ままにひとくち</v>
      </c>
      <c r="B1010" s="3" t="s">
        <v>40</v>
      </c>
      <c r="D1010" t="s">
        <v>132</v>
      </c>
      <c r="E1010" s="1">
        <v>33117</v>
      </c>
    </row>
    <row r="1011" spans="1:5" x14ac:dyDescent="0.7">
      <c r="A1011" t="str">
        <f>HYPERLINK("https://rocky-and-hopper.sakura.ne.jp/Kisho-Michelin/905689/4-905689-48-1.htm","新・駒落革命")</f>
        <v>新・駒落革命</v>
      </c>
      <c r="B1011" s="3" t="s">
        <v>12</v>
      </c>
      <c r="C1011" t="s">
        <v>133</v>
      </c>
      <c r="D1011" t="s">
        <v>381</v>
      </c>
      <c r="E1011" s="1">
        <v>34335</v>
      </c>
    </row>
    <row r="1012" spans="1:5" x14ac:dyDescent="0.7">
      <c r="A1012" t="str">
        <f>HYPERLINK("https://rocky-and-hopper.sakura.ne.jp/Kisho-Michelin/89563/4-89563-592-9.htm","若手精鋭3人による最新の研究と実戦 振り飛車党宣言！(2) 三間飛車")</f>
        <v>若手精鋭3人による最新の研究と実戦 振り飛車党宣言！(2) 三間飛車</v>
      </c>
      <c r="B1012" s="3" t="s">
        <v>12</v>
      </c>
      <c r="C1012" t="s">
        <v>418</v>
      </c>
      <c r="D1012" t="s">
        <v>382</v>
      </c>
      <c r="E1012" s="1">
        <v>34366</v>
      </c>
    </row>
    <row r="1013" spans="1:5" x14ac:dyDescent="0.7">
      <c r="A1013" t="str">
        <f>HYPERLINK("https://rocky-and-hopper.sakura.ne.jp/Kisho-Michelin/89563/4-89563-501-5.htm","週将ブックス 駒落ち必勝法 定跡なんかフッとばせ")</f>
        <v>週将ブックス 駒落ち必勝法 定跡なんかフッとばせ</v>
      </c>
      <c r="B1013" s="3" t="s">
        <v>14</v>
      </c>
      <c r="C1013" t="s">
        <v>41</v>
      </c>
      <c r="D1013" t="s">
        <v>383</v>
      </c>
      <c r="E1013" s="1">
        <v>31291</v>
      </c>
    </row>
    <row r="1014" spans="1:5" x14ac:dyDescent="0.7">
      <c r="A1014" t="str">
        <f>HYPERLINK("https://rocky-and-hopper.sakura.ne.jp/Kisho-Michelin/89563/4-89563-595-3.htm","これ一冊で免状獲得 初段にチャレンジ")</f>
        <v>これ一冊で免状獲得 初段にチャレンジ</v>
      </c>
      <c r="B1014" s="3" t="s">
        <v>179</v>
      </c>
      <c r="D1014" t="s">
        <v>380</v>
      </c>
      <c r="E1014" s="1">
        <v>34425</v>
      </c>
    </row>
    <row r="1015" spans="1:5" x14ac:dyDescent="0.7">
      <c r="A1015" t="str">
        <f>HYPERLINK("https://rocky-and-hopper.sakura.ne.jp/Kisho-Michelin/89563/4-89563-658-5.htm","小駒の必勝テクニック")</f>
        <v>小駒の必勝テクニック</v>
      </c>
      <c r="B1015" s="3" t="s">
        <v>14</v>
      </c>
      <c r="D1015" t="s">
        <v>297</v>
      </c>
      <c r="E1015" s="1">
        <v>35582</v>
      </c>
    </row>
    <row r="1016" spans="1:5" x14ac:dyDescent="0.7">
      <c r="A1016" t="str">
        <f>HYPERLINK("https://rocky-and-hopper.sakura.ne.jp/Kisho-Michelin/89806/4-89806-175-3.htm","棋士と扇子")</f>
        <v>棋士と扇子</v>
      </c>
      <c r="B1016" s="3" t="s">
        <v>273</v>
      </c>
      <c r="D1016" t="s">
        <v>384</v>
      </c>
      <c r="E1016" s="1">
        <v>37408</v>
      </c>
    </row>
    <row r="1017" spans="1:5" x14ac:dyDescent="0.7">
      <c r="A1017" t="str">
        <f>HYPERLINK("https://rocky-and-hopper.sakura.ne.jp/Kisho-Michelin/89563/4-89563-534-1.htm","終盤の定跡(2) 応用編")</f>
        <v>終盤の定跡(2) 応用編</v>
      </c>
      <c r="B1017" s="3" t="s">
        <v>40</v>
      </c>
      <c r="D1017" t="s">
        <v>385</v>
      </c>
      <c r="E1017" s="1">
        <v>32752</v>
      </c>
    </row>
    <row r="1018" spans="1:5" x14ac:dyDescent="0.7">
      <c r="A1018" t="str">
        <f>HYPERLINK("https://rocky-and-hopper.sakura.ne.jp/Kisho-Michelin/89563/4-89563-594-5.htm","清水市代の 囲いのエッセンス")</f>
        <v>清水市代の 囲いのエッセンス</v>
      </c>
      <c r="B1018" s="3" t="s">
        <v>12</v>
      </c>
      <c r="D1018" t="s">
        <v>386</v>
      </c>
      <c r="E1018" s="1">
        <v>34394</v>
      </c>
    </row>
    <row r="1019" spans="1:5" x14ac:dyDescent="0.7">
      <c r="A1019" t="str">
        <f>HYPERLINK("https://rocky-and-hopper.sakura.ne.jp/Kisho-Michelin/89563/4-89563-502-3.htm","週将ブックス この一冊で免状がとれる 初段にアタック")</f>
        <v>週将ブックス この一冊で免状がとれる 初段にアタック</v>
      </c>
      <c r="B1019" s="3" t="s">
        <v>12</v>
      </c>
      <c r="D1019" t="s">
        <v>132</v>
      </c>
      <c r="E1019" s="1">
        <v>31291</v>
      </c>
    </row>
    <row r="1020" spans="1:5" x14ac:dyDescent="0.7">
      <c r="A1020" t="s">
        <v>505</v>
      </c>
      <c r="B1020" s="3" t="s">
        <v>14</v>
      </c>
      <c r="C1020" t="s">
        <v>41</v>
      </c>
      <c r="D1020" t="s">
        <v>132</v>
      </c>
      <c r="E1020" s="1">
        <v>34912</v>
      </c>
    </row>
    <row r="1021" spans="1:5" x14ac:dyDescent="0.7">
      <c r="A1021" t="str">
        <f>HYPERLINK("https://rocky-and-hopper.sakura.ne.jp/Kisho-Michelin/380/4-380-97274-7.htm","将棋記者 血涙二十番勝負")</f>
        <v>将棋記者 血涙二十番勝負</v>
      </c>
      <c r="B1021" s="3" t="s">
        <v>215</v>
      </c>
      <c r="C1021" t="s">
        <v>20</v>
      </c>
      <c r="D1021" t="s">
        <v>387</v>
      </c>
      <c r="E1021" s="1">
        <v>35643</v>
      </c>
    </row>
    <row r="1022" spans="1:5" x14ac:dyDescent="0.7">
      <c r="A1022" t="str">
        <f>HYPERLINK("https://rocky-and-hopper.sakura.ne.jp/Kisho-Michelin/89563/4-89563-536-8.htm","奇襲大全")</f>
        <v>奇襲大全</v>
      </c>
      <c r="B1022" s="3" t="s">
        <v>14</v>
      </c>
      <c r="C1022" t="s">
        <v>480</v>
      </c>
      <c r="E1022" s="1">
        <v>32843</v>
      </c>
    </row>
    <row r="1023" spans="1:5" x14ac:dyDescent="0.7">
      <c r="A1023" t="str">
        <f>HYPERLINK("https://rocky-and-hopper.sakura.ne.jp/Kisho-Michelin/89563/4-89563-554-6.htm","秘法巻之参 大覇道伝説")</f>
        <v>秘法巻之参 大覇道伝説</v>
      </c>
      <c r="B1023" s="3" t="s">
        <v>40</v>
      </c>
      <c r="C1023" t="s">
        <v>41</v>
      </c>
      <c r="D1023" t="s">
        <v>132</v>
      </c>
      <c r="E1023" s="1">
        <v>33482</v>
      </c>
    </row>
    <row r="1024" spans="1:5" x14ac:dyDescent="0.7">
      <c r="A1024" t="str">
        <f>HYPERLINK("https://rocky-and-hopper.sakura.ne.jp/Kisho-Michelin/0095/0095-302647-2253.htm","石垣流二枚落大血戦")</f>
        <v>石垣流二枚落大血戦</v>
      </c>
      <c r="B1024" s="3" t="s">
        <v>12</v>
      </c>
      <c r="D1024" t="s">
        <v>388</v>
      </c>
      <c r="E1024" s="1">
        <v>27426</v>
      </c>
    </row>
    <row r="1025" spans="1:5" x14ac:dyDescent="0.7">
      <c r="A1025" t="str">
        <f>HYPERLINK("https://rocky-and-hopper.sakura.ne.jp/Kisho-Michelin/89563/4-89563-533-3.htm","終盤の定跡（１）基本編")</f>
        <v>終盤の定跡（１）基本編</v>
      </c>
      <c r="B1025" s="3" t="s">
        <v>14</v>
      </c>
      <c r="D1025" t="s">
        <v>307</v>
      </c>
      <c r="E1025" s="1">
        <v>32752</v>
      </c>
    </row>
    <row r="1026" spans="1:5" x14ac:dyDescent="0.7">
      <c r="A1026" t="str">
        <f>HYPERLINK("https://rocky-and-hopper.sakura.ne.jp/Kisho-Michelin/0076/0076-003011-0049.htm","第三十二期 将棋名人戦 全記録 ──中原名人初防衛成る──")</f>
        <v>第三十二期 将棋名人戦 全記録 ──中原名人初防衛成る──</v>
      </c>
      <c r="B1026" s="3" t="s">
        <v>12</v>
      </c>
      <c r="C1026" t="s">
        <v>428</v>
      </c>
      <c r="D1026" t="s">
        <v>377</v>
      </c>
      <c r="E1026" s="1">
        <v>26877</v>
      </c>
    </row>
    <row r="1027" spans="1:5" x14ac:dyDescent="0.7">
      <c r="A1027" t="str">
        <f>HYPERLINK("https://rocky-and-hopper.sakura.ne.jp/Kisho-Michelin/0076/0076-003006-0049.htm","第三十一期 将棋名人戦 全記録 ──中原新名人生れる──")</f>
        <v>第三十一期 将棋名人戦 全記録 ──中原新名人生れる──</v>
      </c>
      <c r="B1027" s="3" t="s">
        <v>12</v>
      </c>
      <c r="C1027" t="s">
        <v>473</v>
      </c>
      <c r="D1027" t="s">
        <v>377</v>
      </c>
      <c r="E1027" s="1">
        <v>26512</v>
      </c>
    </row>
    <row r="1028" spans="1:5" x14ac:dyDescent="0.7">
      <c r="A1028" t="str">
        <f>HYPERLINK("https://rocky-and-hopper.sakura.ne.jp/Kisho-Michelin/262/4-262-10122-3.htm","どんどん力がつく 駒落ち将棋の指し方入門")</f>
        <v>どんどん力がつく 駒落ち将棋の指し方入門</v>
      </c>
      <c r="B1028" s="3" t="s">
        <v>40</v>
      </c>
      <c r="D1028" t="s">
        <v>254</v>
      </c>
      <c r="E1028" s="1">
        <v>35674</v>
      </c>
    </row>
    <row r="1029" spans="1:5" x14ac:dyDescent="0.7">
      <c r="A1029" t="str">
        <f>HYPERLINK("https://rocky-and-hopper.sakura.ne.jp/Kisho-Michelin/8399/4-8399-0938-5.htm","プロの将棋シリーズ(1) 鈴木流 豪快中飛車の極意")</f>
        <v>プロの将棋シリーズ(1) 鈴木流 豪快中飛車の極意</v>
      </c>
      <c r="B1029" s="3" t="s">
        <v>14</v>
      </c>
      <c r="C1029" t="s">
        <v>64</v>
      </c>
      <c r="D1029" t="s">
        <v>152</v>
      </c>
      <c r="E1029" s="1">
        <v>37653</v>
      </c>
    </row>
    <row r="1030" spans="1:5" x14ac:dyDescent="0.7">
      <c r="A1030" t="str">
        <f>HYPERLINK("https://rocky-and-hopper.sakura.ne.jp/Kisho-Michelin/643/4-643-92016-5.htm","第四期 竜王決定七番勝負 激闘譜 谷川浩司──森下卓")</f>
        <v>第四期 竜王決定七番勝負 激闘譜 谷川浩司──森下卓</v>
      </c>
      <c r="B1030" s="3" t="s">
        <v>40</v>
      </c>
      <c r="C1030" t="s">
        <v>1</v>
      </c>
      <c r="D1030" t="s">
        <v>252</v>
      </c>
      <c r="E1030" s="1">
        <v>33664</v>
      </c>
    </row>
    <row r="1031" spans="1:5" x14ac:dyDescent="0.7">
      <c r="A1031" t="str">
        <f>HYPERLINK("https://rocky-and-hopper.sakura.ne.jp/Kisho-Michelin/643/4-643-91022-4.htm","第三期 竜王決定七番勝負 激闘譜 羽生善治──谷川浩司")</f>
        <v>第三期 竜王決定七番勝負 激闘譜 羽生善治──谷川浩司</v>
      </c>
      <c r="B1031" s="3" t="s">
        <v>40</v>
      </c>
      <c r="C1031" t="s">
        <v>482</v>
      </c>
      <c r="D1031" t="s">
        <v>252</v>
      </c>
      <c r="E1031" s="1">
        <v>33298</v>
      </c>
    </row>
    <row r="1032" spans="1:5" x14ac:dyDescent="0.7">
      <c r="A1032" t="str">
        <f>HYPERLINK("https://rocky-and-hopper.sakura.ne.jp/Kisho-Michelin/0093/0093-127051-2253.htm","続 血涙十番勝負")</f>
        <v>続 血涙十番勝負</v>
      </c>
      <c r="B1032" s="3" t="s">
        <v>40</v>
      </c>
      <c r="D1032" t="s">
        <v>389</v>
      </c>
      <c r="E1032" t="s">
        <v>221</v>
      </c>
    </row>
    <row r="1033" spans="1:5" x14ac:dyDescent="0.7">
      <c r="A1033" t="str">
        <f>HYPERLINK("https://rocky-and-hopper.sakura.ne.jp/Kisho-Michelin/643/4-643-90025-3.htm","第二期 竜王決定七番勝負 激闘譜 島 朗──羽生善治")</f>
        <v>第二期 竜王決定七番勝負 激闘譜 島 朗──羽生善治</v>
      </c>
      <c r="B1033" s="3" t="s">
        <v>40</v>
      </c>
      <c r="C1033" t="s">
        <v>483</v>
      </c>
      <c r="D1033" t="s">
        <v>252</v>
      </c>
      <c r="E1033" s="1">
        <v>32933</v>
      </c>
    </row>
    <row r="1034" spans="1:5" x14ac:dyDescent="0.7">
      <c r="A1034" t="str">
        <f>HYPERLINK("https://rocky-and-hopper.sakura.ne.jp/Kisho-Michelin/0093/0093-125770-2253.htm","血涙十番勝負")</f>
        <v>血涙十番勝負</v>
      </c>
      <c r="B1034" s="3" t="s">
        <v>40</v>
      </c>
      <c r="C1034" t="s">
        <v>8</v>
      </c>
      <c r="D1034" t="s">
        <v>389</v>
      </c>
      <c r="E1034" t="s">
        <v>328</v>
      </c>
    </row>
    <row r="1035" spans="1:5" x14ac:dyDescent="0.7">
      <c r="A1035" t="str">
        <f>HYPERLINK("https://rocky-and-hopper.sakura.ne.jp/Kisho-Michelin/8399/4-8399-0902-4.htm","振り飛車ワールド 第一巻")</f>
        <v>振り飛車ワールド 第一巻</v>
      </c>
      <c r="B1035" s="3" t="s">
        <v>12</v>
      </c>
      <c r="C1035" t="s">
        <v>45</v>
      </c>
      <c r="D1035" t="s">
        <v>376</v>
      </c>
      <c r="E1035" s="1">
        <v>37622</v>
      </c>
    </row>
    <row r="1036" spans="1:5" x14ac:dyDescent="0.7">
      <c r="A1036" t="str">
        <f>HYPERLINK("https://rocky-and-hopper.sakura.ne.jp/Kisho-Michelin/8197/4-8197-0255-6.htm","先ちゃんの順位戦泣き笑い熱局集")</f>
        <v>先ちゃんの順位戦泣き笑い熱局集</v>
      </c>
      <c r="B1036" s="3" t="s">
        <v>14</v>
      </c>
      <c r="D1036" t="s">
        <v>186</v>
      </c>
      <c r="E1036" s="1">
        <v>36739</v>
      </c>
    </row>
    <row r="1037" spans="1:5" x14ac:dyDescent="0.7">
      <c r="A1037" t="str">
        <f>HYPERLINK("https://rocky-and-hopper.sakura.ne.jp/Kisho-Michelin/09/4-09-379011-6.htm","駒落ち将棋必勝法 プロに勝った！")</f>
        <v>駒落ち将棋必勝法 プロに勝った！</v>
      </c>
      <c r="B1037" s="3" t="s">
        <v>14</v>
      </c>
      <c r="D1037" t="s">
        <v>390</v>
      </c>
      <c r="E1037" s="1">
        <v>34547</v>
      </c>
    </row>
    <row r="1038" spans="1:5" x14ac:dyDescent="0.7">
      <c r="A1038" t="str">
        <f>HYPERLINK("https://rocky-and-hopper.sakura.ne.jp/Kisho-Michelin/00/4-00-006590-4.htm","岩波 科学ライブラリー 90 コンピュータは名人を超えられるか")</f>
        <v>岩波 科学ライブラリー 90 コンピュータは名人を超えられるか</v>
      </c>
      <c r="B1038" s="3" t="s">
        <v>12</v>
      </c>
      <c r="D1038" t="s">
        <v>391</v>
      </c>
      <c r="E1038" s="1">
        <v>37500</v>
      </c>
    </row>
    <row r="1039" spans="1:5" x14ac:dyDescent="0.7">
      <c r="A1039" t="str">
        <f>HYPERLINK("https://rocky-and-hopper.sakura.ne.jp/Kisho-Michelin/576/4-576-86073-9.htm","サラブレッド･ブックス(439) 必勝の手筋─うそ手の裏に本手あり だから負ける この悪手 誰も教えなかった逆発想の上達法")</f>
        <v>サラブレッド･ブックス(439) 必勝の手筋─うそ手の裏に本手あり だから負ける この悪手 誰も教えなかった逆発想の上達法</v>
      </c>
      <c r="B1039" s="3" t="s">
        <v>179</v>
      </c>
      <c r="D1039" t="s">
        <v>334</v>
      </c>
      <c r="E1039" s="1">
        <v>31594</v>
      </c>
    </row>
    <row r="1040" spans="1:5" x14ac:dyDescent="0.7">
      <c r="A1040" t="str">
        <f>HYPERLINK("https://rocky-and-hopper.sakura.ne.jp/Kisho-Michelin/8197/4-8197-0367-6.htm","谷川の21世紀定跡（2） 横歩取り△8五飛戦法")</f>
        <v>谷川の21世紀定跡（2） 横歩取り△8五飛戦法</v>
      </c>
      <c r="B1040" s="3" t="s">
        <v>12</v>
      </c>
      <c r="C1040" t="s">
        <v>34</v>
      </c>
      <c r="D1040" t="s">
        <v>105</v>
      </c>
      <c r="E1040" s="1">
        <v>37316</v>
      </c>
    </row>
    <row r="1041" spans="1:5" x14ac:dyDescent="0.7">
      <c r="A1041" t="str">
        <f>HYPERLINK("https://rocky-and-hopper.sakura.ne.jp/Kisho-Michelin/8399/4-8399-0836-2.htm","初級必修 次の一手105")</f>
        <v>初級必修 次の一手105</v>
      </c>
      <c r="B1041" s="3" t="s">
        <v>179</v>
      </c>
      <c r="D1041" t="s">
        <v>132</v>
      </c>
      <c r="E1041" s="1">
        <v>37500</v>
      </c>
    </row>
    <row r="1042" spans="1:5" x14ac:dyDescent="0.7">
      <c r="A1042" t="str">
        <f>HYPERLINK("https://rocky-and-hopper.sakura.ne.jp/Kisho-Michelin/381/4-381-10456-0.htm","MAN TO MAN BOOKS スラスラ研く 入段棋力集")</f>
        <v>MAN TO MAN BOOKS スラスラ研く 入段棋力集</v>
      </c>
      <c r="B1042" s="3" t="s">
        <v>179</v>
      </c>
      <c r="D1042" t="s">
        <v>184</v>
      </c>
      <c r="E1042" s="1">
        <v>29129</v>
      </c>
    </row>
    <row r="1043" spans="1:5" x14ac:dyDescent="0.7">
      <c r="A1043" t="str">
        <f>HYPERLINK("https://rocky-and-hopper.sakura.ne.jp/Kisho-Michelin/422/4-422-75075-5.htm","将棋必勝シリーズ 最新 棒銀戦法 単純かつ破壊力抜群！")</f>
        <v>将棋必勝シリーズ 最新 棒銀戦法 単純かつ破壊力抜群！</v>
      </c>
      <c r="B1043" s="3" t="s">
        <v>40</v>
      </c>
      <c r="C1043" t="s">
        <v>1</v>
      </c>
      <c r="D1043" t="s">
        <v>71</v>
      </c>
      <c r="E1043" s="1">
        <v>36892</v>
      </c>
    </row>
    <row r="1044" spans="1:5" x14ac:dyDescent="0.7">
      <c r="A1044" t="str">
        <f>HYPERLINK("https://rocky-and-hopper.sakura.ne.jp/Kisho-Michelin/89563/4-89563-660-7.htm","新手年鑑 vol.2")</f>
        <v>新手年鑑 vol.2</v>
      </c>
      <c r="B1044" s="3" t="s">
        <v>14</v>
      </c>
      <c r="C1044" t="s">
        <v>264</v>
      </c>
      <c r="D1044" t="s">
        <v>162</v>
      </c>
      <c r="E1044" s="1">
        <v>35309</v>
      </c>
    </row>
    <row r="1045" spans="1:5" x14ac:dyDescent="0.7">
      <c r="A1045" t="str">
        <f>HYPERLINK("https://rocky-and-hopper.sakura.ne.jp/Kisho-Michelin/8197/4-8197-0211-4.htm","村山聖名局譜")</f>
        <v>村山聖名局譜</v>
      </c>
      <c r="B1045" s="3" t="s">
        <v>14</v>
      </c>
      <c r="D1045" t="s">
        <v>392</v>
      </c>
      <c r="E1045" s="1">
        <v>36526</v>
      </c>
    </row>
    <row r="1046" spans="1:5" x14ac:dyDescent="0.7">
      <c r="A1046" t="str">
        <f>HYPERLINK("https://rocky-and-hopper.sakura.ne.jp/Kisho-Michelin/89563/4-89563-636-4.htm","新手年鑑 vol.1")</f>
        <v>新手年鑑 vol.1</v>
      </c>
      <c r="B1046" s="3" t="s">
        <v>12</v>
      </c>
      <c r="C1046" t="s">
        <v>25</v>
      </c>
      <c r="D1046" t="s">
        <v>2</v>
      </c>
      <c r="E1046" s="1">
        <v>34912</v>
      </c>
    </row>
    <row r="1047" spans="1:5" x14ac:dyDescent="0.7">
      <c r="A1047" t="str">
        <f>HYPERLINK("https://rocky-and-hopper.sakura.ne.jp/Kisho-Michelin/262/4-262-10126-6.htm","気持ちいいほど終盤の急所がわかる 勝つ将棋・詰めろ入門")</f>
        <v>気持ちいいほど終盤の急所がわかる 勝つ将棋・詰めろ入門</v>
      </c>
      <c r="B1047" s="3" t="s">
        <v>12</v>
      </c>
      <c r="D1047" t="s">
        <v>254</v>
      </c>
      <c r="E1047" s="1">
        <v>36342</v>
      </c>
    </row>
    <row r="1048" spans="1:5" x14ac:dyDescent="0.7">
      <c r="A1048" t="str">
        <f>HYPERLINK("https://rocky-and-hopper.sakura.ne.jp/Kisho-Michelin/89563/4-89563-661-5.htm","難問疑問解明シリーズ ゼったい詰まない Zの法則")</f>
        <v>難問疑問解明シリーズ ゼったい詰まない Zの法則</v>
      </c>
      <c r="B1048" s="3" t="s">
        <v>12</v>
      </c>
      <c r="D1048" t="s">
        <v>126</v>
      </c>
      <c r="E1048" s="1">
        <v>35339</v>
      </c>
    </row>
    <row r="1049" spans="1:5" x14ac:dyDescent="0.7">
      <c r="A1049" t="str">
        <f>HYPERLINK("https://rocky-and-hopper.sakura.ne.jp/Kisho-Michelin/8197/4-8197-0308-0.htm","ミラクル終盤術 ○寄せ手筋をパターン化して詳解○")</f>
        <v>ミラクル終盤術 ○寄せ手筋をパターン化して詳解○</v>
      </c>
      <c r="B1049" s="3" t="s">
        <v>40</v>
      </c>
      <c r="D1049" t="s">
        <v>21</v>
      </c>
      <c r="E1049" s="1">
        <v>33239</v>
      </c>
    </row>
    <row r="1050" spans="1:5" x14ac:dyDescent="0.7">
      <c r="A1050" t="str">
        <f>HYPERLINK("https://rocky-and-hopper.sakura.ne.jp/Kisho-Michelin/89563/4-89563-585-6.htm","名局コレクション[2] 角換わり")</f>
        <v>名局コレクション[2] 角換わり</v>
      </c>
      <c r="B1050" s="3" t="s">
        <v>40</v>
      </c>
      <c r="C1050" t="s">
        <v>1</v>
      </c>
      <c r="D1050" t="s">
        <v>132</v>
      </c>
      <c r="E1050" s="1">
        <v>34243</v>
      </c>
    </row>
    <row r="1051" spans="1:5" x14ac:dyDescent="0.7">
      <c r="A1051" t="str">
        <f>HYPERLINK("https://rocky-and-hopper.sakura.ne.jp/Kisho-Michelin/8197/4-8197-0339-0.htm","パーフェクトシリーズ 〔定跡〕相振り飛車 速攻！即効！戦型を細分化して徹底解説!!")</f>
        <v>パーフェクトシリーズ 〔定跡〕相振り飛車 速攻！即効！戦型を細分化して徹底解説!!</v>
      </c>
      <c r="B1051" s="3" t="s">
        <v>40</v>
      </c>
      <c r="C1051" t="s">
        <v>430</v>
      </c>
      <c r="D1051" t="s">
        <v>135</v>
      </c>
      <c r="E1051" s="1">
        <v>35796</v>
      </c>
    </row>
    <row r="1052" spans="1:5" x14ac:dyDescent="0.7">
      <c r="A1052" t="str">
        <f>HYPERLINK("https://rocky-and-hopper.sakura.ne.jp/Kisho-Michelin/89563/4-89563-639-9.htm","秘伝 穴熊王 ──堅い・攻めてる・切れない・勝ち！")</f>
        <v>秘伝 穴熊王 ──堅い・攻めてる・切れない・勝ち！</v>
      </c>
      <c r="B1052" s="3" t="s">
        <v>12</v>
      </c>
      <c r="D1052" t="s">
        <v>393</v>
      </c>
      <c r="E1052" s="1">
        <v>34943</v>
      </c>
    </row>
    <row r="1053" spans="1:5" x14ac:dyDescent="0.7">
      <c r="A1053" t="str">
        <f>HYPERLINK("https://rocky-and-hopper.sakura.ne.jp/Kisho-Michelin/422/4-422-75069-0.htm","初段に挑戦する将棋シリーズ(19) 急戦左美濃戦法 振り飛車破りの切り札")</f>
        <v>初段に挑戦する将棋シリーズ(19) 急戦左美濃戦法 振り飛車破りの切り札</v>
      </c>
      <c r="B1053" s="3" t="s">
        <v>12</v>
      </c>
      <c r="C1053" t="s">
        <v>473</v>
      </c>
      <c r="D1053" t="s">
        <v>297</v>
      </c>
      <c r="E1053" s="1">
        <v>32234</v>
      </c>
    </row>
    <row r="1054" spans="1:5" x14ac:dyDescent="0.7">
      <c r="A1054" t="str">
        <f>HYPERLINK("https://rocky-and-hopper.sakura.ne.jp/Kisho-Michelin/89563/4-89563-553-8.htm","秘法巻之弐 左美濃伝説")</f>
        <v>秘法巻之弐 左美濃伝説</v>
      </c>
      <c r="B1054" s="3" t="s">
        <v>14</v>
      </c>
      <c r="C1054" t="s">
        <v>428</v>
      </c>
      <c r="D1054" t="s">
        <v>132</v>
      </c>
      <c r="E1054" s="1">
        <v>33451</v>
      </c>
    </row>
    <row r="1055" spans="1:5" x14ac:dyDescent="0.7">
      <c r="A1055" t="str">
        <f>HYPERLINK("https://rocky-and-hopper.sakura.ne.jp/Kisho-Michelin/89563/4-89563-511-2.htm","週将ブックスオレンジシリーズ(9) 高橋将棋の真髄 フレッシュ王位の実戦10局")</f>
        <v>週将ブックスオレンジシリーズ(9) 高橋将棋の真髄 フレッシュ王位の実戦10局</v>
      </c>
      <c r="B1055" s="3" t="s">
        <v>179</v>
      </c>
      <c r="C1055" t="s">
        <v>8</v>
      </c>
      <c r="D1055" t="s">
        <v>56</v>
      </c>
      <c r="E1055" s="1">
        <v>31837</v>
      </c>
    </row>
    <row r="1056" spans="1:5" x14ac:dyDescent="0.7">
      <c r="A1056" t="str">
        <f>HYPERLINK("https://rocky-and-hopper.sakura.ne.jp/Kisho-Michelin/89563/4-89563-559-7.htm","週刊将棋特選 好プレー・珍プレー集(1) やじ馬観戦日記")</f>
        <v>週刊将棋特選 好プレー・珍プレー集(1) やじ馬観戦日記</v>
      </c>
      <c r="B1056" s="3" t="s">
        <v>12</v>
      </c>
      <c r="D1056" t="s">
        <v>394</v>
      </c>
      <c r="E1056" s="1">
        <v>33635</v>
      </c>
    </row>
    <row r="1057" spans="1:5" x14ac:dyDescent="0.7">
      <c r="A1057" t="str">
        <f>HYPERLINK("https://rocky-and-hopper.sakura.ne.jp/Kisho-Michelin/8399/4-8399-0013-2.htm","天使の助言 悪魔のささやき 将棋好プレー・珍プレー集")</f>
        <v>天使の助言 悪魔のささやき 将棋好プレー・珍プレー集</v>
      </c>
      <c r="B1057" s="3" t="s">
        <v>12</v>
      </c>
      <c r="D1057" t="s">
        <v>239</v>
      </c>
      <c r="E1057" s="1">
        <v>36039</v>
      </c>
    </row>
    <row r="1058" spans="1:5" x14ac:dyDescent="0.7">
      <c r="A1058" t="str">
        <f>HYPERLINK("https://rocky-and-hopper.sakura.ne.jp/Kisho-Michelin/471/4-471-13138-9.htm","屋敷伸之の忍者将棋 中終盤!! カラクリ将棋")</f>
        <v>屋敷伸之の忍者将棋 中終盤!! カラクリ将棋</v>
      </c>
      <c r="B1058" s="3" t="s">
        <v>12</v>
      </c>
      <c r="C1058" t="s">
        <v>34</v>
      </c>
      <c r="D1058" t="s">
        <v>370</v>
      </c>
      <c r="E1058" s="1">
        <v>33573</v>
      </c>
    </row>
    <row r="1059" spans="1:5" x14ac:dyDescent="0.7">
      <c r="A1059" t="str">
        <f>HYPERLINK("https://rocky-and-hopper.sakura.ne.jp/Kisho-Michelin/0276/0276-500620-7904.htm","中原の実戦格言99題")</f>
        <v>中原の実戦格言99題</v>
      </c>
      <c r="B1059" s="3" t="s">
        <v>40</v>
      </c>
      <c r="D1059" t="s">
        <v>254</v>
      </c>
      <c r="E1059" t="s">
        <v>395</v>
      </c>
    </row>
    <row r="1060" spans="1:5" x14ac:dyDescent="0.7">
      <c r="A1060" t="str">
        <f>HYPERLINK("https://rocky-and-hopper.sakura.ne.jp/Kisho-Michelin/422/4-422-75043-7.htm","次の一手形式 アマの将棋 ここが悪い！(3) 終盤の極意")</f>
        <v>次の一手形式 アマの将棋 ここが悪い！(3) 終盤の極意</v>
      </c>
      <c r="B1060" s="3" t="s">
        <v>12</v>
      </c>
      <c r="D1060" t="s">
        <v>295</v>
      </c>
      <c r="E1060" s="1">
        <v>36495</v>
      </c>
    </row>
    <row r="1061" spans="1:5" x14ac:dyDescent="0.7">
      <c r="A1061" t="str">
        <f>HYPERLINK("https://rocky-and-hopper.sakura.ne.jp/Kisho-Michelin/422/4-422-75042-9.htm","次の一手形式 アマの将棋 ここが悪い！(2) 中・終盤の秘手")</f>
        <v>次の一手形式 アマの将棋 ここが悪い！(2) 中・終盤の秘手</v>
      </c>
      <c r="B1061" s="3" t="s">
        <v>14</v>
      </c>
      <c r="D1061" t="s">
        <v>295</v>
      </c>
      <c r="E1061" s="1">
        <v>36404</v>
      </c>
    </row>
    <row r="1062" spans="1:5" x14ac:dyDescent="0.7">
      <c r="A1062" t="str">
        <f>HYPERLINK("https://rocky-and-hopper.sakura.ne.jp/Kisho-Michelin/422/4-422-75041-0.htm","次の一手形式 アマの将棋 ここが悪い！(1) 序・中盤の急所")</f>
        <v>次の一手形式 アマの将棋 ここが悪い！(1) 序・中盤の急所</v>
      </c>
      <c r="B1062" s="3" t="s">
        <v>12</v>
      </c>
      <c r="D1062" t="s">
        <v>295</v>
      </c>
      <c r="E1062" s="1">
        <v>36312</v>
      </c>
    </row>
    <row r="1063" spans="1:5" x14ac:dyDescent="0.7">
      <c r="A1063" t="str">
        <f>HYPERLINK("https://rocky-and-hopper.sakura.ne.jp/Kisho-Michelin/422/4-422-75065-8.htm","初段に挑戦する将棋シリーズ(15) 魔法のハメ手")</f>
        <v>初段に挑戦する将棋シリーズ(15) 魔法のハメ手</v>
      </c>
      <c r="B1063" s="3" t="s">
        <v>40</v>
      </c>
      <c r="C1063" t="s">
        <v>22</v>
      </c>
      <c r="D1063" t="s">
        <v>189</v>
      </c>
      <c r="E1063" s="1">
        <v>31564</v>
      </c>
    </row>
    <row r="1064" spans="1:5" x14ac:dyDescent="0.7">
      <c r="A1064" t="str">
        <f>HYPERLINK("https://rocky-and-hopper.sakura.ne.jp/Kisho-Michelin/415/4-415-04714-9.htm","将棋の格言")</f>
        <v>将棋の格言</v>
      </c>
      <c r="B1064" s="3" t="s">
        <v>12</v>
      </c>
      <c r="D1064" t="s">
        <v>137</v>
      </c>
      <c r="E1064" t="s">
        <v>396</v>
      </c>
    </row>
    <row r="1065" spans="1:5" x14ac:dyDescent="0.7">
      <c r="A1065" t="str">
        <f>HYPERLINK("https://rocky-and-hopper.sakura.ne.jp/Kisho-Michelin/0276/0276-044014-0316.htm","大山・快勝シリーズ(14) 快勝 大山名人の将棋金言集")</f>
        <v>大山・快勝シリーズ(14) 快勝 大山名人の将棋金言集</v>
      </c>
      <c r="B1065" s="3" t="s">
        <v>14</v>
      </c>
      <c r="D1065" t="s">
        <v>283</v>
      </c>
      <c r="E1065" t="s">
        <v>282</v>
      </c>
    </row>
    <row r="1066" spans="1:5" x14ac:dyDescent="0.7">
      <c r="A1066" t="str">
        <f>HYPERLINK("https://rocky-and-hopper.sakura.ne.jp/Kisho-Michelin/8197/4-8197-0313-7.htm","羽生の頭脳 4 居飛車穴熊と左美濃")</f>
        <v>羽生の頭脳 4 居飛車穴熊と左美濃</v>
      </c>
      <c r="B1066" s="3" t="s">
        <v>12</v>
      </c>
      <c r="C1066" t="s">
        <v>438</v>
      </c>
      <c r="D1066" t="s">
        <v>21</v>
      </c>
      <c r="E1066" s="1">
        <v>33878</v>
      </c>
    </row>
    <row r="1067" spans="1:5" x14ac:dyDescent="0.7">
      <c r="A1067" t="str">
        <f>HYPERLINK("https://rocky-and-hopper.sakura.ne.jp/Kisho-Michelin/89287/4-89287-070-6.htm","王将ブックス ポケット版 ─ 特殊戦法シリーズ�X 初歩から強くなる 将棋格言上達法")</f>
        <v>王将ブックス ポケット版 ─ 特殊戦法シリーズ�X 初歩から強くなる 将棋格言上達法</v>
      </c>
      <c r="B1067" s="3" t="s">
        <v>40</v>
      </c>
      <c r="D1067" t="s">
        <v>220</v>
      </c>
      <c r="E1067" s="1">
        <v>29129</v>
      </c>
    </row>
    <row r="1068" spans="1:5" x14ac:dyDescent="0.7">
      <c r="A1068" t="str">
        <f>HYPERLINK("https://rocky-and-hopper.sakura.ne.jp/Kisho-Michelin/381/4-381-00599-6.htm","マン・ツー・マン・ブックス スラスラ覚える将棋格言集")</f>
        <v>マン・ツー・マン・ブックス スラスラ覚える将棋格言集</v>
      </c>
      <c r="B1068" s="3" t="s">
        <v>215</v>
      </c>
      <c r="D1068" t="s">
        <v>397</v>
      </c>
      <c r="E1068" s="1">
        <v>29129</v>
      </c>
    </row>
    <row r="1069" spans="1:5" x14ac:dyDescent="0.7">
      <c r="A1069" t="str">
        <f>HYPERLINK("https://rocky-and-hopper.sakura.ne.jp/Kisho-Michelin/471/4-471-13142-7.htm","屋敷伸之の忍者将棋 美濃崩し180")</f>
        <v>屋敷伸之の忍者将棋 美濃崩し180</v>
      </c>
      <c r="B1069" s="3" t="s">
        <v>0</v>
      </c>
      <c r="C1069" t="s">
        <v>8</v>
      </c>
      <c r="D1069" t="s">
        <v>398</v>
      </c>
      <c r="E1069" s="1">
        <v>34274</v>
      </c>
    </row>
    <row r="1070" spans="1:5" x14ac:dyDescent="0.7">
      <c r="A1070" t="str">
        <f>HYPERLINK("https://rocky-and-hopper.sakura.ne.jp/Kisho-Michelin/89563/4-89563-589-9.htm","定跡外伝 ──将棋の裏ワザ教えます。")</f>
        <v>定跡外伝 ──将棋の裏ワザ教えます。</v>
      </c>
      <c r="B1070" s="3" t="s">
        <v>14</v>
      </c>
      <c r="C1070" t="s">
        <v>479</v>
      </c>
      <c r="D1070" t="s">
        <v>132</v>
      </c>
      <c r="E1070" s="1">
        <v>34304</v>
      </c>
    </row>
    <row r="1071" spans="1:5" x14ac:dyDescent="0.7">
      <c r="A1071" t="str">
        <f>HYPERLINK("https://rocky-and-hopper.sakura.ne.jp/Kisho-Michelin/7887/4-7887-9242-7.htm","将棋金言集")</f>
        <v>将棋金言集</v>
      </c>
      <c r="B1071" s="3" t="s">
        <v>12</v>
      </c>
      <c r="D1071" t="s">
        <v>198</v>
      </c>
      <c r="E1071" s="1">
        <v>33909</v>
      </c>
    </row>
    <row r="1072" spans="1:5" x14ac:dyDescent="0.7">
      <c r="A1072" t="str">
        <f>HYPERLINK("https://rocky-and-hopper.sakura.ne.jp/Kisho-Michelin/8399/4-8399-0462-6.htm","見えたら初段 詰将棋100次の一手100")</f>
        <v>見えたら初段 詰将棋100次の一手100</v>
      </c>
      <c r="B1072" s="3" t="s">
        <v>12</v>
      </c>
      <c r="D1072" t="s">
        <v>132</v>
      </c>
      <c r="E1072" s="1">
        <v>36861</v>
      </c>
    </row>
    <row r="1073" spans="1:5" x14ac:dyDescent="0.7">
      <c r="A1073" t="str">
        <f>HYPERLINK("https://rocky-and-hopper.sakura.ne.jp/Kisho-Michelin/8399/4-8399-0713-7.htm","定跡外伝２ ─将棋の裏ワザ伝授します")</f>
        <v>定跡外伝２ ─将棋の裏ワザ伝授します</v>
      </c>
      <c r="B1073" s="3" t="s">
        <v>14</v>
      </c>
      <c r="C1073" t="s">
        <v>500</v>
      </c>
      <c r="D1073" t="s">
        <v>399</v>
      </c>
      <c r="E1073" s="1">
        <v>37438</v>
      </c>
    </row>
    <row r="1074" spans="1:5" x14ac:dyDescent="0.7">
      <c r="A1074" t="str">
        <f>HYPERLINK("https://rocky-and-hopper.sakura.ne.jp/Kisho-Michelin/471/4-471-13297-0.htm","塚田泰明の速攻将棋 定跡破り!! 勝つ将棋 ─振り袖飛車上達法─")</f>
        <v>塚田泰明の速攻将棋 定跡破り!! 勝つ将棋 ─振り袖飛車上達法─</v>
      </c>
      <c r="B1074" s="3" t="s">
        <v>12</v>
      </c>
      <c r="D1074" t="s">
        <v>400</v>
      </c>
      <c r="E1074" s="1">
        <v>32843</v>
      </c>
    </row>
    <row r="1075" spans="1:5" x14ac:dyDescent="0.7">
      <c r="A1075" t="str">
        <f>HYPERLINK("https://rocky-and-hopper.sakura.ne.jp/Kisho-Michelin/89563/4-89563-655-0.htm","入玉大作戦 逃げるが勝ち！")</f>
        <v>入玉大作戦 逃げるが勝ち！</v>
      </c>
      <c r="B1075" s="3" t="s">
        <v>0</v>
      </c>
      <c r="C1075" t="s">
        <v>36</v>
      </c>
      <c r="D1075" t="s">
        <v>132</v>
      </c>
      <c r="E1075" s="1">
        <v>35309</v>
      </c>
    </row>
    <row r="1076" spans="1:5" x14ac:dyDescent="0.7">
      <c r="A1076" t="str">
        <f>HYPERLINK("https://rocky-and-hopper.sakura.ne.jp/Kisho-Michelin/89563/4-89563-567-8.htm","定跡百科 ワークブック(6) 相掛かりマスター")</f>
        <v>定跡百科 ワークブック(6) 相掛かりマスター</v>
      </c>
      <c r="B1076" s="3" t="s">
        <v>40</v>
      </c>
      <c r="D1076" t="s">
        <v>401</v>
      </c>
      <c r="E1076" s="1">
        <v>33725</v>
      </c>
    </row>
    <row r="1077" spans="1:5" x14ac:dyDescent="0.7">
      <c r="A1077" t="str">
        <f>HYPERLINK("https://rocky-and-hopper.sakura.ne.jp/Kisho-Michelin/89563/4-89563-548-1.htm","定跡百科(11) 相掛かりガイド�U")</f>
        <v>定跡百科(11) 相掛かりガイド�U</v>
      </c>
      <c r="B1077" s="3" t="s">
        <v>14</v>
      </c>
      <c r="D1077" t="s">
        <v>253</v>
      </c>
      <c r="E1077" s="1">
        <v>33390</v>
      </c>
    </row>
    <row r="1078" spans="1:5" x14ac:dyDescent="0.7">
      <c r="A1078" t="str">
        <f>HYPERLINK("https://rocky-and-hopper.sakura.ne.jp/Kisho-Michelin/89563/4-89563-528-7.htm","定跡百科(6) 相掛かりガイド")</f>
        <v>定跡百科(6) 相掛かりガイド</v>
      </c>
      <c r="B1078" s="3" t="s">
        <v>14</v>
      </c>
      <c r="E1078" s="1">
        <v>32478</v>
      </c>
    </row>
    <row r="1079" spans="1:5" x14ac:dyDescent="0.7">
      <c r="A1079" t="str">
        <f>HYPERLINK("https://rocky-and-hopper.sakura.ne.jp/Kisho-Michelin/471/4-471-13137-0.htm","塚田泰明の速攻将棋 四間飛車破り ［５七銀右戦法］")</f>
        <v>塚田泰明の速攻将棋 四間飛車破り ［５七銀右戦法］</v>
      </c>
      <c r="B1079" s="3" t="s">
        <v>14</v>
      </c>
      <c r="C1079" t="s">
        <v>8</v>
      </c>
      <c r="D1079" t="s">
        <v>279</v>
      </c>
      <c r="E1079" s="1">
        <v>32448</v>
      </c>
    </row>
    <row r="1080" spans="1:5" x14ac:dyDescent="0.7">
      <c r="A1080" t="str">
        <f>HYPERLINK("https://rocky-and-hopper.sakura.ne.jp/Kisho-Michelin/930831/4-930831-43-1.htm","郷田真隆の指して楽しい横歩取り すすんで飛び込む横歩取り")</f>
        <v>郷田真隆の指して楽しい横歩取り すすんで飛び込む横歩取り</v>
      </c>
      <c r="B1080" s="3" t="s">
        <v>12</v>
      </c>
      <c r="C1080" t="s">
        <v>34</v>
      </c>
      <c r="D1080" t="s">
        <v>367</v>
      </c>
      <c r="E1080" s="1">
        <v>37469</v>
      </c>
    </row>
    <row r="1081" spans="1:5" x14ac:dyDescent="0.7">
      <c r="A1081" t="str">
        <f>HYPERLINK("https://rocky-and-hopper.sakura.ne.jp/Kisho-Michelin/8197/4-8197-0312-9.htm","羽生の頭脳 3 急戦、中飛車・三間飛車破り！")</f>
        <v>羽生の頭脳 3 急戦、中飛車・三間飛車破り！</v>
      </c>
      <c r="B1081" s="3" t="s">
        <v>12</v>
      </c>
      <c r="C1081" t="s">
        <v>417</v>
      </c>
      <c r="D1081" t="s">
        <v>21</v>
      </c>
      <c r="E1081" s="1">
        <v>33817</v>
      </c>
    </row>
    <row r="1082" spans="1:5" x14ac:dyDescent="0.7">
      <c r="A1082" t="str">
        <f>HYPERLINK("https://rocky-and-hopper.sakura.ne.jp/Kisho-Michelin/381/4-381-07119-0.htm","MAN TO MAN BOOKS スラスラ勝てる 将棋必死集")</f>
        <v>MAN TO MAN BOOKS スラスラ勝てる 将棋必死集</v>
      </c>
      <c r="B1082" s="3" t="s">
        <v>40</v>
      </c>
      <c r="D1082" t="s">
        <v>397</v>
      </c>
      <c r="E1082" s="1">
        <v>29221</v>
      </c>
    </row>
    <row r="1083" spans="1:5" x14ac:dyDescent="0.7">
      <c r="A1083" t="str">
        <f>HYPERLINK("https://rocky-and-hopper.sakura.ne.jp/Kisho-Michelin/381/4-381-00011-0.htm","MAN TO MAN BOOKS 一手・三手の詰将棋")</f>
        <v>MAN TO MAN BOOKS 一手・三手の詰将棋</v>
      </c>
      <c r="B1083" s="3" t="s">
        <v>14</v>
      </c>
      <c r="D1083" t="s">
        <v>191</v>
      </c>
      <c r="E1083" t="s">
        <v>366</v>
      </c>
    </row>
    <row r="1084" spans="1:5" x14ac:dyDescent="0.7">
      <c r="A1084" t="str">
        <f>HYPERLINK("https://rocky-and-hopper.sakura.ne.jp/Kisho-Michelin/8399/4-8399-0771-4.htm","東大将棋ブックス 横歩取り道場 第一巻 8五飛阻止")</f>
        <v>東大将棋ブックス 横歩取り道場 第一巻 8五飛阻止</v>
      </c>
      <c r="B1084" s="3" t="s">
        <v>14</v>
      </c>
      <c r="C1084" t="s">
        <v>34</v>
      </c>
      <c r="D1084" t="s">
        <v>44</v>
      </c>
      <c r="E1084" s="1">
        <v>37438</v>
      </c>
    </row>
    <row r="1085" spans="1:5" x14ac:dyDescent="0.7">
      <c r="A1085" t="str">
        <f>HYPERLINK("https://rocky-and-hopper.sakura.ne.jp/Kisho-Michelin/8197/4-8197-0305-6.htm","塚田スペシャル物語")</f>
        <v>塚田スペシャル物語</v>
      </c>
      <c r="B1085" s="3" t="s">
        <v>40</v>
      </c>
      <c r="D1085" t="s">
        <v>279</v>
      </c>
      <c r="E1085" s="1">
        <v>32540</v>
      </c>
    </row>
    <row r="1086" spans="1:5" x14ac:dyDescent="0.7">
      <c r="A1086" t="str">
        <f>HYPERLINK("https://rocky-and-hopper.sakura.ne.jp/Kisho-Michelin/381/4-381-00021-8.htm","マンツーマンブックス 将棋奇襲(1) 角頭歩戦法")</f>
        <v>マンツーマンブックス 将棋奇襲(1) 角頭歩戦法</v>
      </c>
      <c r="B1086" s="3" t="s">
        <v>12</v>
      </c>
      <c r="D1086" t="s">
        <v>191</v>
      </c>
      <c r="E1086" t="s">
        <v>221</v>
      </c>
    </row>
    <row r="1087" spans="1:5" x14ac:dyDescent="0.7">
      <c r="A1087" t="str">
        <f>HYPERLINK("https://rocky-and-hopper.sakura.ne.jp/Kisho-Michelin/89563/4-89563-657-7.htm","森下の四間飛車破り")</f>
        <v>森下の四間飛車破り</v>
      </c>
      <c r="B1087" s="3" t="s">
        <v>0</v>
      </c>
      <c r="C1087" t="s">
        <v>8</v>
      </c>
      <c r="D1087" t="s">
        <v>255</v>
      </c>
      <c r="E1087" s="1">
        <v>35278</v>
      </c>
    </row>
    <row r="1088" spans="1:5" x14ac:dyDescent="0.7">
      <c r="A1088" t="str">
        <f>HYPERLINK("https://rocky-and-hopper.sakura.ne.jp/Kisho-Michelin/415/4-415-04647-9.htm","九級から一級までの詰将棋")</f>
        <v>九級から一級までの詰将棋</v>
      </c>
      <c r="B1088" s="3" t="s">
        <v>40</v>
      </c>
      <c r="D1088" t="s">
        <v>247</v>
      </c>
      <c r="E1088" s="1">
        <v>35004</v>
      </c>
    </row>
    <row r="1089" spans="1:5" x14ac:dyDescent="0.7">
      <c r="A1089" t="str">
        <f>HYPERLINK("https://rocky-and-hopper.sakura.ne.jp/Kisho-Michelin/8399/4-8399-0116-3.htm","３手詰めパラダイス")</f>
        <v>３手詰めパラダイス</v>
      </c>
      <c r="B1089" s="3" t="s">
        <v>179</v>
      </c>
      <c r="D1089" t="s">
        <v>352</v>
      </c>
      <c r="E1089" s="1">
        <v>36161</v>
      </c>
    </row>
    <row r="1090" spans="1:5" x14ac:dyDescent="0.7">
      <c r="A1090" t="str">
        <f>HYPERLINK("https://rocky-and-hopper.sakura.ne.jp/Kisho-Michelin/262/4-262-10113-4.htm","攻めっ気100パーセント 塚田の攻め将棋")</f>
        <v>攻めっ気100パーセント 塚田の攻め将棋</v>
      </c>
      <c r="B1090" s="3" t="s">
        <v>40</v>
      </c>
      <c r="D1090" t="s">
        <v>279</v>
      </c>
      <c r="E1090" s="1">
        <v>32629</v>
      </c>
    </row>
    <row r="1091" spans="1:5" x14ac:dyDescent="0.7">
      <c r="A1091" t="str">
        <f>HYPERLINK("https://rocky-and-hopper.sakura.ne.jp/Kisho-Michelin/89563/4-89563-603-8.htm","将棋の定跡(2) 現代矢倉の基礎知識（下）")</f>
        <v>将棋の定跡(2) 現代矢倉の基礎知識（下）</v>
      </c>
      <c r="B1091" s="3" t="s">
        <v>12</v>
      </c>
      <c r="D1091" t="s">
        <v>402</v>
      </c>
      <c r="E1091" s="1">
        <v>34486</v>
      </c>
    </row>
    <row r="1092" spans="1:5" x14ac:dyDescent="0.7">
      <c r="A1092" t="str">
        <f>HYPERLINK("https://rocky-and-hopper.sakura.ne.jp/Kisho-Michelin/89563/4-89563-591-0.htm","将棋の定跡(1) 現代矢倉の基礎知識（上）")</f>
        <v>将棋の定跡(1) 現代矢倉の基礎知識（上）</v>
      </c>
      <c r="B1092" s="3" t="s">
        <v>12</v>
      </c>
      <c r="D1092" t="s">
        <v>402</v>
      </c>
      <c r="E1092" s="1">
        <v>34394</v>
      </c>
    </row>
    <row r="1093" spans="1:5" x14ac:dyDescent="0.7">
      <c r="A1093" t="str">
        <f>HYPERLINK("https://rocky-and-hopper.sakura.ne.jp/Kisho-Michelin/422/4-422-75032-1.htm","将棋ゲームブック(2) 棒銀大作戦 （棒銀で敵を粉砕せよ）")</f>
        <v>将棋ゲームブック(2) 棒銀大作戦 （棒銀で敵を粉砕せよ）</v>
      </c>
      <c r="B1093" s="3" t="s">
        <v>40</v>
      </c>
      <c r="C1093" t="s">
        <v>1</v>
      </c>
      <c r="D1093" t="s">
        <v>71</v>
      </c>
      <c r="E1093" s="1">
        <v>31959</v>
      </c>
    </row>
    <row r="1094" spans="1:5" x14ac:dyDescent="0.7">
      <c r="A1094" t="str">
        <f>HYPERLINK("https://rocky-and-hopper.sakura.ne.jp/Kisho-Michelin/422/4-422-75031-3.htm","将棋ゲームブック(1) 矢倉大作戦 （堅陣、矢倉城の攻防）")</f>
        <v>将棋ゲームブック(1) 矢倉大作戦 （堅陣、矢倉城の攻防）</v>
      </c>
      <c r="B1094" s="3" t="s">
        <v>40</v>
      </c>
      <c r="D1094" t="s">
        <v>71</v>
      </c>
      <c r="E1094" s="1">
        <v>31959</v>
      </c>
    </row>
    <row r="1095" spans="1:5" x14ac:dyDescent="0.7">
      <c r="A1095" t="str">
        <f>HYPERLINK("https://rocky-and-hopper.sakura.ne.jp/Kisho-Michelin/262/4-262-10301-3.htm","谷川浩司の将棋新研究(1) 将棋に勝つ考え方 異次元の大局観")</f>
        <v>谷川浩司の将棋新研究(1) 将棋に勝つ考え方 異次元の大局観</v>
      </c>
      <c r="B1095" s="3" t="s">
        <v>14</v>
      </c>
      <c r="C1095" t="s">
        <v>34</v>
      </c>
      <c r="D1095" t="s">
        <v>105</v>
      </c>
      <c r="E1095" s="1">
        <v>29952</v>
      </c>
    </row>
    <row r="1096" spans="1:5" x14ac:dyDescent="0.7">
      <c r="A1096" t="str">
        <f>HYPERLINK("https://rocky-and-hopper.sakura.ne.jp/Kisho-Michelin/8399/4-8399-0002-7.htm","振り飛車新世紀(4) 鈴木流四間穴熊")</f>
        <v>振り飛車新世紀(4) 鈴木流四間穴熊</v>
      </c>
      <c r="B1096" s="3" t="s">
        <v>12</v>
      </c>
      <c r="C1096" t="s">
        <v>420</v>
      </c>
      <c r="D1096" t="s">
        <v>152</v>
      </c>
      <c r="E1096" s="1">
        <v>35886</v>
      </c>
    </row>
    <row r="1097" spans="1:5" x14ac:dyDescent="0.7">
      <c r="A1097" t="str">
        <f>HYPERLINK("https://rocky-and-hopper.sakura.ne.jp/Kisho-Michelin/309/4-309-72183-4.htm","最強将棋塾 将棋新理論")</f>
        <v>最強将棋塾 将棋新理論</v>
      </c>
      <c r="B1097" s="3" t="s">
        <v>14</v>
      </c>
      <c r="D1097" t="s">
        <v>105</v>
      </c>
      <c r="E1097" s="1">
        <v>36312</v>
      </c>
    </row>
    <row r="1098" spans="1:5" x14ac:dyDescent="0.7">
      <c r="A1098" t="str">
        <f>HYPERLINK("https://rocky-and-hopper.sakura.ne.jp/Kisho-Michelin/8399/4-8399-0186-4.htm","振り飛車新世紀(7) 窪田流四間飛車�U ─撃退！右四間")</f>
        <v>振り飛車新世紀(7) 窪田流四間飛車�U ─撃退！右四間</v>
      </c>
      <c r="B1098" s="3" t="s">
        <v>12</v>
      </c>
      <c r="C1098" t="s">
        <v>8</v>
      </c>
      <c r="D1098" t="s">
        <v>230</v>
      </c>
      <c r="E1098" s="1">
        <v>36495</v>
      </c>
    </row>
    <row r="1099" spans="1:5" x14ac:dyDescent="0.7">
      <c r="A1099" t="str">
        <f>HYPERLINK("https://rocky-and-hopper.sakura.ne.jp/Kisho-Michelin/89563/4-89563-665-8.htm","詰将棋特訓コース(2)")</f>
        <v>詰将棋特訓コース(2)</v>
      </c>
      <c r="B1099" s="3" t="s">
        <v>40</v>
      </c>
      <c r="D1099" t="s">
        <v>132</v>
      </c>
      <c r="E1099" s="1">
        <v>35339</v>
      </c>
    </row>
    <row r="1100" spans="1:5" x14ac:dyDescent="0.7">
      <c r="A1100" t="str">
        <f>HYPERLINK("https://rocky-and-hopper.sakura.ne.jp/Kisho-Michelin/06/4-06-210351-6.htm","あっと驚く三手詰")</f>
        <v>あっと驚く三手詰</v>
      </c>
      <c r="B1100" s="3" t="s">
        <v>12</v>
      </c>
      <c r="D1100" t="s">
        <v>124</v>
      </c>
      <c r="E1100" s="1">
        <v>36800</v>
      </c>
    </row>
    <row r="1101" spans="1:5" x14ac:dyDescent="0.7">
      <c r="A1101" t="str">
        <f>HYPERLINK("https://rocky-and-hopper.sakura.ne.jp/Kisho-Michelin/8197/4-8197-0306-4.htm","新定跡誕生の周辺 プロの新手28")</f>
        <v>新定跡誕生の周辺 プロの新手28</v>
      </c>
      <c r="B1101" s="3" t="s">
        <v>14</v>
      </c>
      <c r="C1101" t="s">
        <v>453</v>
      </c>
      <c r="D1101" t="s">
        <v>71</v>
      </c>
      <c r="E1101" s="1">
        <v>32813</v>
      </c>
    </row>
    <row r="1102" spans="1:5" x14ac:dyDescent="0.7">
      <c r="A1102" t="str">
        <f>HYPERLINK("https://rocky-and-hopper.sakura.ne.jp/Kisho-Michelin/262/4-262-10128-2.htm","仕掛けのチャンスがわかる将棋の本")</f>
        <v>仕掛けのチャンスがわかる将棋の本</v>
      </c>
      <c r="B1102" s="3" t="s">
        <v>40</v>
      </c>
      <c r="C1102" t="s">
        <v>424</v>
      </c>
      <c r="D1102" t="s">
        <v>254</v>
      </c>
      <c r="E1102" s="1">
        <v>36923</v>
      </c>
    </row>
    <row r="1103" spans="1:5" x14ac:dyDescent="0.7">
      <c r="A1103" t="str">
        <f>HYPERLINK("https://rocky-and-hopper.sakura.ne.jp/Kisho-Michelin/321/4-321-55222-2.htm","将棋に強くなる本")</f>
        <v>将棋に強くなる本</v>
      </c>
      <c r="B1103" s="3" t="s">
        <v>12</v>
      </c>
      <c r="C1103" t="s">
        <v>41</v>
      </c>
      <c r="D1103" t="s">
        <v>403</v>
      </c>
      <c r="E1103" s="1">
        <v>28946</v>
      </c>
    </row>
    <row r="1104" spans="1:5" x14ac:dyDescent="0.7">
      <c r="A1104" t="str">
        <f>HYPERLINK("https://rocky-and-hopper.sakura.ne.jp/Kisho-Michelin/471/4-471-13299-7.htm","塚田泰明の速攻将棋 序盤戦!! 囲いと攻めの形")</f>
        <v>塚田泰明の速攻将棋 序盤戦!! 囲いと攻めの形</v>
      </c>
      <c r="B1104" s="3" t="s">
        <v>40</v>
      </c>
      <c r="D1104" t="s">
        <v>404</v>
      </c>
      <c r="E1104" s="1">
        <v>33055</v>
      </c>
    </row>
    <row r="1105" spans="1:5" x14ac:dyDescent="0.7">
      <c r="A1105" t="str">
        <f>HYPERLINK("https://rocky-and-hopper.sakura.ne.jp/Kisho-Michelin/89563/4-89563-656-9.htm","詰みより必死 ──終盤の超発想法")</f>
        <v>詰みより必死 ──終盤の超発想法</v>
      </c>
      <c r="B1105" s="3" t="s">
        <v>14</v>
      </c>
      <c r="D1105" t="s">
        <v>405</v>
      </c>
      <c r="E1105" s="1">
        <v>35156</v>
      </c>
    </row>
    <row r="1106" spans="1:5" x14ac:dyDescent="0.7">
      <c r="A1106" t="str">
        <f>HYPERLINK("https://rocky-and-hopper.sakura.ne.jp/Kisho-Michelin/8197/4-8197-0363-3.htm","パワーアップシリーズ ゴキゲン中飛車戦法")</f>
        <v>パワーアップシリーズ ゴキゲン中飛車戦法</v>
      </c>
      <c r="B1106" s="3" t="s">
        <v>12</v>
      </c>
      <c r="C1106" t="s">
        <v>64</v>
      </c>
      <c r="D1106" t="s">
        <v>163</v>
      </c>
      <c r="E1106" s="1">
        <v>36831</v>
      </c>
    </row>
    <row r="1107" spans="1:5" x14ac:dyDescent="0.7">
      <c r="A1107" t="str">
        <f>HYPERLINK("https://rocky-and-hopper.sakura.ne.jp/Kisho-Michelin/471/4-471-13298-9.htm","塚田泰明の速攻将棋 凌ぎの手筋186")</f>
        <v>塚田泰明の速攻将棋 凌ぎの手筋186</v>
      </c>
      <c r="B1107" s="3" t="s">
        <v>14</v>
      </c>
      <c r="D1107" t="s">
        <v>406</v>
      </c>
      <c r="E1107" s="1">
        <v>32994</v>
      </c>
    </row>
    <row r="1108" spans="1:5" x14ac:dyDescent="0.7">
      <c r="A1108" t="str">
        <f>HYPERLINK("https://rocky-and-hopper.sakura.ne.jp/Kisho-Michelin/89563/4-89563-631-3.htm","後手無理矢理矢倉 矢倉はエジソンに聞け！")</f>
        <v>後手無理矢理矢倉 矢倉はエジソンに聞け！</v>
      </c>
      <c r="B1108" s="3" t="s">
        <v>179</v>
      </c>
      <c r="C1108" t="s">
        <v>1</v>
      </c>
      <c r="D1108" t="s">
        <v>139</v>
      </c>
      <c r="E1108" s="1">
        <v>34820</v>
      </c>
    </row>
    <row r="1109" spans="1:5" x14ac:dyDescent="0.7">
      <c r="A1109" t="str">
        <f>HYPERLINK("https://rocky-and-hopper.sakura.ne.jp/Kisho-Michelin/8197/4-8197-0328-5.htm","［戦型別終盤の手筋］ 光速の寄せ(5) 寄せ手筋総集編")</f>
        <v>［戦型別終盤の手筋］ 光速の寄せ(5) 寄せ手筋総集編</v>
      </c>
      <c r="B1109" s="3" t="s">
        <v>14</v>
      </c>
      <c r="D1109" t="s">
        <v>105</v>
      </c>
      <c r="E1109" s="1">
        <v>35400</v>
      </c>
    </row>
    <row r="1110" spans="1:5" x14ac:dyDescent="0.7">
      <c r="A1110" t="str">
        <f>HYPERLINK("https://rocky-and-hopper.sakura.ne.jp/Kisho-Michelin/8197/4-8197-0327-7.htm","［戦型別終盤の手筋］ 光速の寄せ(4) 必勝！矢倉応用編")</f>
        <v>［戦型別終盤の手筋］ 光速の寄せ(4) 必勝！矢倉応用編</v>
      </c>
      <c r="B1110" s="3" t="s">
        <v>14</v>
      </c>
      <c r="D1110" t="s">
        <v>105</v>
      </c>
      <c r="E1110" s="1">
        <v>35247</v>
      </c>
    </row>
    <row r="1111" spans="1:5" x14ac:dyDescent="0.7">
      <c r="A1111" t="str">
        <f>HYPERLINK("https://rocky-and-hopper.sakura.ne.jp/Kisho-Michelin/8197/4-8197-0325-0.htm","［戦型別終盤の手筋］ 光速の寄せ(3) 矢倉くずし初級編")</f>
        <v>［戦型別終盤の手筋］ 光速の寄せ(3) 矢倉くずし初級編</v>
      </c>
      <c r="B1111" s="3" t="s">
        <v>14</v>
      </c>
      <c r="D1111" t="s">
        <v>105</v>
      </c>
      <c r="E1111" s="1">
        <v>35096</v>
      </c>
    </row>
    <row r="1112" spans="1:5" x14ac:dyDescent="0.7">
      <c r="A1112" t="str">
        <f>HYPERLINK("https://rocky-and-hopper.sakura.ne.jp/Kisho-Michelin/8197/4-8197-0324-2.htm","［戦型別終盤の手筋］ 光速の寄せ(2) 振り飛車で勝て！")</f>
        <v>［戦型別終盤の手筋］ 光速の寄せ(2) 振り飛車で勝て！</v>
      </c>
      <c r="B1112" s="3" t="s">
        <v>14</v>
      </c>
      <c r="C1112" t="s">
        <v>45</v>
      </c>
      <c r="D1112" t="s">
        <v>105</v>
      </c>
      <c r="E1112" s="1">
        <v>34943</v>
      </c>
    </row>
    <row r="1113" spans="1:5" x14ac:dyDescent="0.7">
      <c r="A1113" t="str">
        <f>HYPERLINK("https://rocky-and-hopper.sakura.ne.jp/Kisho-Michelin/8197/4-8197-0323-4.htm","［戦型別終盤の手筋］ 光速の寄せ(1) 振り飛車破りの巻")</f>
        <v>［戦型別終盤の手筋］ 光速の寄せ(1) 振り飛車破りの巻</v>
      </c>
      <c r="B1113" s="3" t="s">
        <v>14</v>
      </c>
      <c r="C1113" t="s">
        <v>45</v>
      </c>
      <c r="D1113" t="s">
        <v>105</v>
      </c>
      <c r="E1113" s="1">
        <v>34851</v>
      </c>
    </row>
    <row r="1114" spans="1:5" x14ac:dyDescent="0.7">
      <c r="A1114" t="str">
        <f>HYPERLINK("https://rocky-and-hopper.sakura.ne.jp/Kisho-Michelin/471/4-471-13135-4.htm","塚田泰明の速攻将棋 寄せの手筋168")</f>
        <v>塚田泰明の速攻将棋 寄せの手筋168</v>
      </c>
      <c r="B1114" s="3" t="s">
        <v>0</v>
      </c>
      <c r="D1114" t="s">
        <v>406</v>
      </c>
      <c r="E1114" s="1">
        <v>32478</v>
      </c>
    </row>
    <row r="1115" spans="1:5" x14ac:dyDescent="0.7">
      <c r="A1115" t="str">
        <f>HYPERLINK("https://rocky-and-hopper.sakura.ne.jp/Kisho-Michelin/8399/4-8399-0575-4.htm","東大将棋ブックス 四間飛車道場 第一巻 ミレニアム")</f>
        <v>東大将棋ブックス 四間飛車道場 第一巻 ミレニアム</v>
      </c>
      <c r="B1115" s="3" t="s">
        <v>12</v>
      </c>
      <c r="C1115" t="s">
        <v>8</v>
      </c>
      <c r="D1115" t="s">
        <v>44</v>
      </c>
      <c r="E1115" s="1">
        <v>37165</v>
      </c>
    </row>
    <row r="1116" spans="1:5" x14ac:dyDescent="0.7">
      <c r="A1116" t="str">
        <f>HYPERLINK("https://rocky-and-hopper.sakura.ne.jp/Kisho-Michelin/8399/4-8399-0659-9.htm","将棋の教え方学び方 指導のプロの実践テクニック")</f>
        <v>将棋の教え方学び方 指導のプロの実践テクニック</v>
      </c>
      <c r="B1116" s="3" t="s">
        <v>12</v>
      </c>
      <c r="D1116" t="s">
        <v>407</v>
      </c>
      <c r="E1116" s="1">
        <v>37316</v>
      </c>
    </row>
    <row r="1117" spans="1:5" x14ac:dyDescent="0.7">
      <c r="A1117" t="str">
        <f>HYPERLINK("https://rocky-and-hopper.sakura.ne.jp/Kisho-Michelin/309/4-309-72186-9.htm","最強将棋塾 四間飛車を指しこなす本(1)")</f>
        <v>最強将棋塾 四間飛車を指しこなす本(1)</v>
      </c>
      <c r="B1117" s="3" t="s">
        <v>14</v>
      </c>
      <c r="C1117" t="s">
        <v>8</v>
      </c>
      <c r="D1117" t="s">
        <v>117</v>
      </c>
      <c r="E1117" s="1">
        <v>36586</v>
      </c>
    </row>
    <row r="1118" spans="1:5" x14ac:dyDescent="0.7">
      <c r="A1118" t="str">
        <f>HYPERLINK("https://rocky-and-hopper.sakura.ne.jp/Kisho-Michelin/8399/4-8399-0661-0.htm","分かる・役立つ 速効！矢倉の手筋")</f>
        <v>分かる・役立つ 速効！矢倉の手筋</v>
      </c>
      <c r="B1118" s="3" t="s">
        <v>12</v>
      </c>
      <c r="C1118" t="s">
        <v>428</v>
      </c>
      <c r="D1118" t="s">
        <v>148</v>
      </c>
      <c r="E1118" s="1">
        <v>37347</v>
      </c>
    </row>
    <row r="1119" spans="1:5" x14ac:dyDescent="0.7">
      <c r="A1119" t="str">
        <f>HYPERLINK("https://rocky-and-hopper.sakura.ne.jp/Kisho-Michelin/930831/4-930831-40-7.htm","青野照市のノックアウト四間飛車 「これにて良し」から先も書いちゃった")</f>
        <v>青野照市のノックアウト四間飛車 「これにて良し」から先も書いちゃった</v>
      </c>
      <c r="B1119" s="3" t="s">
        <v>40</v>
      </c>
      <c r="C1119" t="s">
        <v>8</v>
      </c>
      <c r="D1119" t="s">
        <v>408</v>
      </c>
      <c r="E1119" s="1">
        <v>37288</v>
      </c>
    </row>
    <row r="1120" spans="1:5" x14ac:dyDescent="0.7">
      <c r="A1120" t="str">
        <f>HYPERLINK("https://rocky-and-hopper.sakura.ne.jp/Kisho-Michelin/309/4-309-72193-1.htm","未来の定跡 ８五飛戦法")</f>
        <v>未来の定跡 ８五飛戦法</v>
      </c>
      <c r="B1120" s="3" t="s">
        <v>12</v>
      </c>
      <c r="C1120" t="s">
        <v>34</v>
      </c>
      <c r="D1120" t="s">
        <v>255</v>
      </c>
      <c r="E1120" s="1">
        <v>36434</v>
      </c>
    </row>
    <row r="1121" spans="1:5" x14ac:dyDescent="0.7">
      <c r="A1121" t="str">
        <f>HYPERLINK("https://rocky-and-hopper.sakura.ne.jp/Kisho-Michelin/8197/4-8197-0322-6.htm","横歩取り中原流 ─必殺陣第二弾！△5一金型─")</f>
        <v>横歩取り中原流 ─必殺陣第二弾！△5一金型─</v>
      </c>
      <c r="B1121" s="3" t="s">
        <v>40</v>
      </c>
      <c r="C1121" t="s">
        <v>34</v>
      </c>
      <c r="D1121" t="s">
        <v>254</v>
      </c>
      <c r="E1121" s="1">
        <v>34790</v>
      </c>
    </row>
    <row r="1122" spans="1:5" x14ac:dyDescent="0.7">
      <c r="A1122" t="str">
        <f>HYPERLINK("https://rocky-and-hopper.sakura.ne.jp/Kisho-Michelin/89563/4-89563-663-1.htm","スーパー四間飛車・最新版(2) 撃破！居飛車急戦")</f>
        <v>スーパー四間飛車・最新版(2) 撃破！居飛車急戦</v>
      </c>
      <c r="B1122" s="3" t="s">
        <v>12</v>
      </c>
      <c r="C1122" t="s">
        <v>8</v>
      </c>
      <c r="D1122" t="s">
        <v>135</v>
      </c>
      <c r="E1122" s="1">
        <v>35551</v>
      </c>
    </row>
    <row r="1123" spans="1:5" x14ac:dyDescent="0.7">
      <c r="A1123" t="str">
        <f>HYPERLINK("https://rocky-and-hopper.sakura.ne.jp/Kisho-Michelin/8399/4-8399-0570-3.htm","実力養成シリーズ 三段の終盤")</f>
        <v>実力養成シリーズ 三段の終盤</v>
      </c>
      <c r="B1123" s="3" t="s">
        <v>40</v>
      </c>
      <c r="D1123" t="s">
        <v>132</v>
      </c>
      <c r="E1123" s="1">
        <v>37104</v>
      </c>
    </row>
    <row r="1124" spans="1:5" x14ac:dyDescent="0.7">
      <c r="A1124" t="str">
        <f>HYPERLINK("https://rocky-and-hopper.sakura.ne.jp/Kisho-Michelin/905689/4-905689-51-1.htm","続・将棋戦法小辞典")</f>
        <v>続・将棋戦法小辞典</v>
      </c>
      <c r="B1124" s="3" t="s">
        <v>14</v>
      </c>
      <c r="C1124" t="s">
        <v>501</v>
      </c>
      <c r="D1124" t="s">
        <v>409</v>
      </c>
      <c r="E1124" s="1">
        <v>33725</v>
      </c>
    </row>
    <row r="1125" spans="1:5" x14ac:dyDescent="0.7">
      <c r="A1125" t="str">
        <f>HYPERLINK("https://rocky-and-hopper.sakura.ne.jp/Kisho-Michelin/905689/4-905689-36-8.htm","将棋戦法小辞典")</f>
        <v>将棋戦法小辞典</v>
      </c>
      <c r="B1125" s="3" t="s">
        <v>14</v>
      </c>
      <c r="C1125" t="s">
        <v>501</v>
      </c>
      <c r="D1125" t="s">
        <v>409</v>
      </c>
      <c r="E1125" s="1">
        <v>33725</v>
      </c>
    </row>
    <row r="1126" spans="1:5" x14ac:dyDescent="0.7">
      <c r="A1126" t="str">
        <f>HYPERLINK("https://rocky-and-hopper.sakura.ne.jp/Kisho-Michelin/8197/4-8197-0208-4.htm","最強藤井システム")</f>
        <v>最強藤井システム</v>
      </c>
      <c r="B1126" s="3" t="s">
        <v>12</v>
      </c>
      <c r="C1126" t="s">
        <v>133</v>
      </c>
      <c r="D1126" t="s">
        <v>117</v>
      </c>
      <c r="E1126" s="1">
        <v>36342</v>
      </c>
    </row>
    <row r="1127" spans="1:5" x14ac:dyDescent="0.7">
      <c r="A1127" t="str">
        <f>HYPERLINK("https://rocky-and-hopper.sakura.ne.jp/Kisho-Michelin/8197/4-8197-0335-8.htm","パーフェクトシリーズ 居飛車穴熊撃破 必殺藤井システム")</f>
        <v>パーフェクトシリーズ 居飛車穴熊撃破 必殺藤井システム</v>
      </c>
      <c r="B1127" s="3" t="s">
        <v>14</v>
      </c>
      <c r="C1127" t="s">
        <v>41</v>
      </c>
      <c r="D1127" t="s">
        <v>117</v>
      </c>
      <c r="E1127" s="1">
        <v>35674</v>
      </c>
    </row>
    <row r="1128" spans="1:5" x14ac:dyDescent="0.7">
      <c r="A1128" t="str">
        <f>HYPERLINK("https://rocky-and-hopper.sakura.ne.jp/Kisho-Michelin/89563/4-89563-683-6.htm","藤井システム")</f>
        <v>藤井システム</v>
      </c>
      <c r="B1128" s="3" t="s">
        <v>14</v>
      </c>
      <c r="C1128" t="s">
        <v>8</v>
      </c>
      <c r="D1128" t="s">
        <v>117</v>
      </c>
      <c r="E1128" s="1">
        <v>35582</v>
      </c>
    </row>
    <row r="1129" spans="1:5" x14ac:dyDescent="0.7">
      <c r="A1129" t="str">
        <f>HYPERLINK("https://rocky-and-hopper.sakura.ne.jp/Kisho-Michelin/8197/4-8197-0364-1.htm","谷川の21世紀定跡(1) 角換わり編")</f>
        <v>谷川の21世紀定跡(1) 角換わり編</v>
      </c>
      <c r="B1129" s="3" t="s">
        <v>12</v>
      </c>
      <c r="C1129" t="s">
        <v>1</v>
      </c>
      <c r="D1129" t="s">
        <v>105</v>
      </c>
      <c r="E1129" s="1">
        <v>36831</v>
      </c>
    </row>
    <row r="1130" spans="1:5" x14ac:dyDescent="0.7">
      <c r="A1130" t="str">
        <f>HYPERLINK("https://rocky-and-hopper.sakura.ne.jp/Kisho-Michelin/89563/4-89563-607-0.htm","角換わり腰掛け銀研究")</f>
        <v>角換わり腰掛け銀研究</v>
      </c>
      <c r="B1130" s="3" t="s">
        <v>0</v>
      </c>
      <c r="C1130" t="s">
        <v>1</v>
      </c>
      <c r="D1130" t="s">
        <v>2</v>
      </c>
      <c r="E1130" s="1">
        <v>34608</v>
      </c>
    </row>
    <row r="1131" spans="1:5" x14ac:dyDescent="0.7">
      <c r="A1131" t="str">
        <f>HYPERLINK("https://rocky-and-hopper.sakura.ne.jp/Kisho-Michelin/8197/4-8197-0316-1.htm","羽生の頭脳 7 角換わり最前線")</f>
        <v>羽生の頭脳 7 角換わり最前線</v>
      </c>
      <c r="B1131" s="3" t="s">
        <v>14</v>
      </c>
      <c r="C1131" t="s">
        <v>1</v>
      </c>
      <c r="D1131" t="s">
        <v>21</v>
      </c>
      <c r="E1131" s="1">
        <v>34213</v>
      </c>
    </row>
    <row r="1132" spans="1:5" x14ac:dyDescent="0.7">
      <c r="A1132" t="str">
        <f>HYPERLINK("https://rocky-and-hopper.sakura.ne.jp/Kisho-Michelin/422/4-422-75079-8.htm","将棋必勝シリーズ 振り飛車奇襲戦法(1) 石田流・奇襲中飛車・立石流")</f>
        <v>将棋必勝シリーズ 振り飛車奇襲戦法(1) 石田流・奇襲中飛車・立石流</v>
      </c>
      <c r="B1132" s="3" t="s">
        <v>40</v>
      </c>
      <c r="C1132" t="s">
        <v>440</v>
      </c>
      <c r="D1132" t="s">
        <v>135</v>
      </c>
      <c r="E1132" s="1">
        <v>37165</v>
      </c>
    </row>
    <row r="1133" spans="1:5" x14ac:dyDescent="0.7">
      <c r="A1133" t="str">
        <f>HYPERLINK("https://rocky-and-hopper.sakura.ne.jp/Kisho-Michelin/8399/4-8399-0177-5.htm","新版 奇襲大全")</f>
        <v>新版 奇襲大全</v>
      </c>
      <c r="B1133" s="3" t="s">
        <v>12</v>
      </c>
      <c r="C1133" t="s">
        <v>480</v>
      </c>
      <c r="D1133" t="s">
        <v>132</v>
      </c>
      <c r="E1133" s="1">
        <v>36220</v>
      </c>
    </row>
    <row r="1134" spans="1:5" x14ac:dyDescent="0.7">
      <c r="A1134" t="str">
        <f>HYPERLINK("https://rocky-and-hopper.sakura.ne.jp/Kisho-Michelin/471/4-471-13136-2.htm","塚田泰明の速攻将棋 超急戦!! 殺しのテクニック")</f>
        <v>塚田泰明の速攻将棋 超急戦!! 殺しのテクニック</v>
      </c>
      <c r="B1134" s="3" t="s">
        <v>14</v>
      </c>
      <c r="C1134" t="s">
        <v>502</v>
      </c>
      <c r="D1134" t="s">
        <v>404</v>
      </c>
      <c r="E1134" s="1">
        <v>32478</v>
      </c>
    </row>
    <row r="1135" spans="1:5" x14ac:dyDescent="0.7">
      <c r="A1135" t="str">
        <f>HYPERLINK("https://rocky-and-hopper.sakura.ne.jp/Kisho-Michelin/422/4-422-75058-5.htm","初段に挑戦する将棋シリーズ(8) 奇襲戦法 攻め好きな実戦派必読")</f>
        <v>初段に挑戦する将棋シリーズ(8) 奇襲戦法 攻め好きな実戦派必読</v>
      </c>
      <c r="B1135" s="3" t="s">
        <v>12</v>
      </c>
      <c r="C1135" t="s">
        <v>64</v>
      </c>
      <c r="D1135" t="s">
        <v>213</v>
      </c>
      <c r="E1135" s="1">
        <v>30376</v>
      </c>
    </row>
    <row r="1136" spans="1:5" x14ac:dyDescent="0.7">
      <c r="A1136" t="str">
        <f>HYPERLINK("https://rocky-and-hopper.sakura.ne.jp/Kisho-Michelin/8197/4-8197-0209-2.htm","【決定版】 駒落ち定跡 八枚落ちから香落ちまで")</f>
        <v>【決定版】 駒落ち定跡 八枚落ちから香落ちまで</v>
      </c>
      <c r="B1136" s="3" t="s">
        <v>0</v>
      </c>
      <c r="C1136" t="s">
        <v>438</v>
      </c>
      <c r="D1136" t="s">
        <v>44</v>
      </c>
      <c r="E1136" s="1">
        <v>36586</v>
      </c>
    </row>
    <row r="1137" spans="1:5" x14ac:dyDescent="0.7">
      <c r="A1137" t="str">
        <f>HYPERLINK("https://rocky-and-hopper.sakura.ne.jp/Kisho-Michelin/8197/4-8197-0051-0.htm","將棋大觀")</f>
        <v>將棋大觀</v>
      </c>
      <c r="B1137" s="3" t="s">
        <v>0</v>
      </c>
      <c r="C1137" t="s">
        <v>438</v>
      </c>
      <c r="D1137" t="s">
        <v>410</v>
      </c>
      <c r="E1137" t="s">
        <v>411</v>
      </c>
    </row>
    <row r="1138" spans="1:5" x14ac:dyDescent="0.7">
      <c r="A1138" t="str">
        <f>HYPERLINK("https://rocky-and-hopper.sakura.ne.jp/Kisho-Michelin/8197/4-8197-0366-8.htm","羽生の新格言集 105")</f>
        <v>羽生の新格言集 105</v>
      </c>
      <c r="B1138" s="3" t="s">
        <v>12</v>
      </c>
      <c r="D1138" t="s">
        <v>412</v>
      </c>
      <c r="E1138" s="1">
        <v>36982</v>
      </c>
    </row>
    <row r="1139" spans="1:5" x14ac:dyDescent="0.7">
      <c r="A1139" t="str">
        <f>HYPERLINK("https://rocky-and-hopper.sakura.ne.jp/Kisho-Michelin/422/4-422-75071-2.htm","初段に挑戦する将棋シリーズ(21) 次の一手・格言で覚える手筋 戦法・局面を問わず応用できる将棋上達のらくらく勉強法")</f>
        <v>初段に挑戦する将棋シリーズ(21) 次の一手・格言で覚える手筋 戦法・局面を問わず応用できる将棋上達のらくらく勉強法</v>
      </c>
      <c r="B1139" s="3" t="s">
        <v>12</v>
      </c>
      <c r="D1139" t="s">
        <v>397</v>
      </c>
      <c r="E1139" s="1">
        <v>32234</v>
      </c>
    </row>
    <row r="1140" spans="1:5" x14ac:dyDescent="0.7">
      <c r="A1140" t="str">
        <f>HYPERLINK("https://rocky-and-hopper.sakura.ne.jp/Kisho-Michelin/8399/4-8399-0571-1.htm","実力養成シリーズ 四段の終盤")</f>
        <v>実力養成シリーズ 四段の終盤</v>
      </c>
      <c r="B1140" s="3" t="s">
        <v>40</v>
      </c>
      <c r="D1140" t="s">
        <v>132</v>
      </c>
      <c r="E1140" s="1">
        <v>37135</v>
      </c>
    </row>
    <row r="1141" spans="1:5" x14ac:dyDescent="0.7">
      <c r="A1141" t="str">
        <f>HYPERLINK("https://rocky-and-hopper.sakura.ne.jp/Kisho-Michelin/8399/4-8399-0595-9.htm","これで簡単 形勢判断")</f>
        <v>これで簡単 形勢判断</v>
      </c>
      <c r="B1141" s="3" t="s">
        <v>12</v>
      </c>
      <c r="D1141" t="s">
        <v>265</v>
      </c>
    </row>
    <row r="1142" spans="1:5" x14ac:dyDescent="0.7">
      <c r="A1142" t="str">
        <f>HYPERLINK("https://rocky-and-hopper.sakura.ne.jp/Kisho-Michelin/309/4-309-72181-8.htm","最強将棋塾 読みの技法")</f>
        <v>最強将棋塾 読みの技法</v>
      </c>
      <c r="B1142" s="3" t="s">
        <v>0</v>
      </c>
      <c r="E1142" s="1">
        <v>36220</v>
      </c>
    </row>
    <row r="1143" spans="1:5" x14ac:dyDescent="0.7">
      <c r="A1143" t="str">
        <f>HYPERLINK("https://rocky-and-hopper.sakura.ne.jp/Kisho-Michelin/262/4-262-10125-8.htm","勝つ将棋・指し方入門")</f>
        <v>勝つ将棋・指し方入門</v>
      </c>
      <c r="B1143" s="3" t="s">
        <v>40</v>
      </c>
      <c r="D1143" t="s">
        <v>254</v>
      </c>
      <c r="E1143" s="1">
        <v>36130</v>
      </c>
    </row>
    <row r="1144" spans="1:5" x14ac:dyDescent="0.7">
      <c r="A1144" t="str">
        <f>HYPERLINK("https://rocky-and-hopper.sakura.ne.jp/Kisho-Michelin/89563/4-89563-632-1.htm","手筋の集大成 歩の玉手箱")</f>
        <v>手筋の集大成 歩の玉手箱</v>
      </c>
      <c r="B1144" s="3" t="s">
        <v>0</v>
      </c>
      <c r="D1144" t="s">
        <v>413</v>
      </c>
      <c r="E1144" s="1">
        <v>34820</v>
      </c>
    </row>
    <row r="1145" spans="1:5" x14ac:dyDescent="0.7">
      <c r="A1145" t="str">
        <f>HYPERLINK("https://rocky-and-hopper.sakura.ne.jp/Kisho-Michelin/8399/4-8399-0521-5.htm","失敗しない仕掛け")</f>
        <v>失敗しない仕掛け</v>
      </c>
      <c r="B1145" s="3" t="s">
        <v>14</v>
      </c>
      <c r="C1145" t="s">
        <v>25</v>
      </c>
      <c r="D1145" t="s">
        <v>414</v>
      </c>
      <c r="E1145" s="1">
        <v>36982</v>
      </c>
    </row>
    <row r="1146" spans="1:5" x14ac:dyDescent="0.7">
      <c r="A1146" t="str">
        <f>HYPERLINK("https://rocky-and-hopper.sakura.ne.jp/Kisho-Michelin/422/4-422-75021-6.htm","次の一手「仕掛け」")</f>
        <v>次の一手「仕掛け」</v>
      </c>
      <c r="B1146" s="3" t="s">
        <v>12</v>
      </c>
      <c r="C1146" t="s">
        <v>45</v>
      </c>
      <c r="D1146" t="s">
        <v>295</v>
      </c>
      <c r="E1146" s="1">
        <v>32629</v>
      </c>
    </row>
    <row r="1147" spans="1:5" x14ac:dyDescent="0.7">
      <c r="A1147" t="str">
        <f>HYPERLINK("https://rocky-and-hopper.sakura.ne.jp/Kisho-Michelin/309/4-309-73131-7.htm","最強将棋塾 8五飛を指してみる本")</f>
        <v>最強将棋塾 8五飛を指してみる本</v>
      </c>
      <c r="B1147" s="3" t="s">
        <v>14</v>
      </c>
      <c r="C1147" t="s">
        <v>25</v>
      </c>
      <c r="D1147" t="s">
        <v>255</v>
      </c>
      <c r="E1147" s="1">
        <v>37196</v>
      </c>
    </row>
    <row r="1148" spans="1:5" x14ac:dyDescent="0.7">
      <c r="A1148" t="str">
        <f>HYPERLINK("https://rocky-and-hopper.sakura.ne.jp/Kisho-Michelin/8399/4-8399-0558-4.htm","実力養成シリーズ 初段の終盤")</f>
        <v>実力養成シリーズ 初段の終盤</v>
      </c>
      <c r="B1148" s="3" t="s">
        <v>40</v>
      </c>
      <c r="D1148" t="s">
        <v>132</v>
      </c>
      <c r="E1148" s="1">
        <v>37043</v>
      </c>
    </row>
  </sheetData>
  <phoneticPr fontId="2"/>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E1F0-9AAF-4202-B165-3BFB4B495A04}">
  <dimension ref="A1:C7"/>
  <sheetViews>
    <sheetView workbookViewId="0">
      <selection activeCell="B8" sqref="B8"/>
    </sheetView>
  </sheetViews>
  <sheetFormatPr defaultColWidth="3.625" defaultRowHeight="17.649999999999999" x14ac:dyDescent="0.7"/>
  <sheetData>
    <row r="1" spans="1:3" x14ac:dyDescent="0.7">
      <c r="A1" t="s">
        <v>506</v>
      </c>
    </row>
    <row r="2" spans="1:3" x14ac:dyDescent="0.7">
      <c r="B2" t="s">
        <v>508</v>
      </c>
    </row>
    <row r="3" spans="1:3" x14ac:dyDescent="0.7">
      <c r="C3" t="s">
        <v>507</v>
      </c>
    </row>
    <row r="5" spans="1:3" x14ac:dyDescent="0.7">
      <c r="B5" t="s">
        <v>509</v>
      </c>
    </row>
    <row r="7" spans="1:3" x14ac:dyDescent="0.7">
      <c r="B7" t="s">
        <v>510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棋書ミシュラン</vt:lpstr>
      <vt:lpstr>手順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Hayato Watanabe</dc:creator>
  <cp:lastModifiedBy>Hayato Watanabe</cp:lastModifiedBy>
  <dcterms:created xsi:type="dcterms:W3CDTF">2025-03-08T11:24:17Z</dcterms:created>
  <dcterms:modified xsi:type="dcterms:W3CDTF">2025-03-10T16:00:52Z</dcterms:modified>
</cp:coreProperties>
</file>