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F" sheetId="1" state="visible" r:id="rId2"/>
    <sheet name="Symmetrical Compone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<sst xmlns="http://schemas.openxmlformats.org/spreadsheetml/2006/main" count="273" uniqueCount="95">
  <si>
    <t xml:space="preserve">Solidly Grounded Transformer</t>
  </si>
  <si>
    <t xml:space="preserve">RGF restraint</t>
  </si>
  <si>
    <t xml:space="preserve">RGF Restraint after 1 cycle</t>
  </si>
  <si>
    <t xml:space="preserve">Parameter</t>
  </si>
  <si>
    <t xml:space="preserve">Typical Value</t>
  </si>
  <si>
    <t xml:space="preserve">Value</t>
  </si>
  <si>
    <t xml:space="preserve">Unit</t>
  </si>
  <si>
    <t xml:space="preserve">Internal ground fault</t>
  </si>
  <si>
    <t xml:space="preserve">Transformer Type</t>
  </si>
  <si>
    <t xml:space="preserve">Delta/Wye 30deg</t>
  </si>
  <si>
    <t xml:space="preserve">External phase A no CT saturation</t>
  </si>
  <si>
    <t xml:space="preserve">Power</t>
  </si>
  <si>
    <t xml:space="preserve">MVA</t>
  </si>
  <si>
    <t xml:space="preserve">External phase A CT saturation</t>
  </si>
  <si>
    <t xml:space="preserve">Phase-phase voltage</t>
  </si>
  <si>
    <t xml:space="preserve">Winging1</t>
  </si>
  <si>
    <t xml:space="preserve">kV</t>
  </si>
  <si>
    <t xml:space="preserve">External phase A CT saturation full load</t>
  </si>
  <si>
    <t xml:space="preserve">Winding2</t>
  </si>
  <si>
    <t xml:space="preserve">Phase CT ratio</t>
  </si>
  <si>
    <t xml:space="preserve">600:5</t>
  </si>
  <si>
    <t xml:space="preserve">Neutral CT Ratio</t>
  </si>
  <si>
    <t xml:space="preserve">200:5</t>
  </si>
  <si>
    <t xml:space="preserve">Impedance</t>
  </si>
  <si>
    <t xml:space="preserve">%</t>
  </si>
  <si>
    <t xml:space="preserve">Fault point</t>
  </si>
  <si>
    <t xml:space="preserve">Calculated Parameter</t>
  </si>
  <si>
    <t xml:space="preserve">Load current</t>
  </si>
  <si>
    <t xml:space="preserve">Irated</t>
  </si>
  <si>
    <t xml:space="preserve">A</t>
  </si>
  <si>
    <t xml:space="preserve">Fault current</t>
  </si>
  <si>
    <t xml:space="preserve">If(max)</t>
  </si>
  <si>
    <t xml:space="preserve">Fault point 5%</t>
  </si>
  <si>
    <t xml:space="preserve">Ifault</t>
  </si>
  <si>
    <t xml:space="preserve">Ground diff pickup</t>
  </si>
  <si>
    <t xml:space="preserve">IGD</t>
  </si>
  <si>
    <t xml:space="preserve">pu</t>
  </si>
  <si>
    <t xml:space="preserve">Equation</t>
  </si>
  <si>
    <t xml:space="preserve">Primary fault current</t>
  </si>
  <si>
    <t xml:space="preserve">IG</t>
  </si>
  <si>
    <t xml:space="preserve">Phase unit current</t>
  </si>
  <si>
    <t xml:space="preserve">IA, B, C</t>
  </si>
  <si>
    <t xml:space="preserve">Symmetrical components</t>
  </si>
  <si>
    <t xml:space="preserve">I1</t>
  </si>
  <si>
    <t xml:space="preserve">I2</t>
  </si>
  <si>
    <t xml:space="preserve">I0</t>
  </si>
  <si>
    <t xml:space="preserve">Differential current</t>
  </si>
  <si>
    <t xml:space="preserve">IG+IN</t>
  </si>
  <si>
    <t xml:space="preserve">IR1</t>
  </si>
  <si>
    <t xml:space="preserve">I1/8</t>
  </si>
  <si>
    <t xml:space="preserve">IR2</t>
  </si>
  <si>
    <t xml:space="preserve">3*I2</t>
  </si>
  <si>
    <t xml:space="preserve">IR0</t>
  </si>
  <si>
    <t xml:space="preserve">IG-IN</t>
  </si>
  <si>
    <t xml:space="preserve">IGR</t>
  </si>
  <si>
    <t xml:space="preserve">max(IR1, IR2, IR0)</t>
  </si>
  <si>
    <t xml:space="preserve">IGD/IGR*100%</t>
  </si>
  <si>
    <t xml:space="preserve">IA</t>
  </si>
  <si>
    <t xml:space="preserve">If(max)/PhCTratio</t>
  </si>
  <si>
    <t xml:space="preserve">IB</t>
  </si>
  <si>
    <t xml:space="preserve">IC</t>
  </si>
  <si>
    <t xml:space="preserve">IN</t>
  </si>
  <si>
    <t xml:space="preserve">If(max)/NCTratio</t>
  </si>
  <si>
    <t xml:space="preserve">I1=I2=I0</t>
  </si>
  <si>
    <t xml:space="preserve">Decomposition of Three-phase Vector System into its Symetrical Componenets</t>
  </si>
  <si>
    <t xml:space="preserve">Original Vector System</t>
  </si>
  <si>
    <t xml:space="preserve">Name</t>
  </si>
  <si>
    <t xml:space="preserve">Magnitude</t>
  </si>
  <si>
    <t xml:space="preserve">Angle</t>
  </si>
  <si>
    <t xml:space="preserve">[°]</t>
  </si>
  <si>
    <t xml:space="preserve">[rad]</t>
  </si>
  <si>
    <t xml:space="preserve">B</t>
  </si>
  <si>
    <t xml:space="preserve">C</t>
  </si>
  <si>
    <t xml:space="preserve">N</t>
  </si>
  <si>
    <t xml:space="preserve">Input known vectors here</t>
  </si>
  <si>
    <t xml:space="preserve">Conversion to Cartesian Coordinates for Chart</t>
  </si>
  <si>
    <t xml:space="preserve">Vector</t>
  </si>
  <si>
    <t xml:space="preserve">Complex Number</t>
  </si>
  <si>
    <t xml:space="preserve">Point</t>
  </si>
  <si>
    <t xml:space="preserve">Coordinates</t>
  </si>
  <si>
    <t xml:space="preserve">X</t>
  </si>
  <si>
    <t xml:space="preserve">Y</t>
  </si>
  <si>
    <t xml:space="preserve">a + bi</t>
  </si>
  <si>
    <t xml:space="preserve">Origin</t>
  </si>
  <si>
    <t xml:space="preserve">End</t>
  </si>
  <si>
    <t xml:space="preserve">Symetrical Component Vectors</t>
  </si>
  <si>
    <t xml:space="preserve">Phasor</t>
  </si>
  <si>
    <t xml:space="preserve">°</t>
  </si>
  <si>
    <t xml:space="preserve">rad</t>
  </si>
  <si>
    <t xml:space="preserve">Definition of Unit Vector</t>
  </si>
  <si>
    <t xml:space="preserve">a</t>
  </si>
  <si>
    <t xml:space="preserve">a^2</t>
  </si>
  <si>
    <t xml:space="preserve">Zero Sequence Vectors</t>
  </si>
  <si>
    <t xml:space="preserve">Positive Sequence Vectors</t>
  </si>
  <si>
    <t xml:space="preserve">Negative Sequence Vectors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</si>
</sst>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@"/>
    <numFmt numFmtId="167" formatCode="0"/>
    <numFmt numFmtId="168" formatCode="0.00"/>
    <numFmt numFmtId="169" formatCode="0.000"/>
    <numFmt numFmtId="170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BE5D6"/>
      </patternFill>
    </fill>
    <fill>
      <patternFill patternType="solid">
        <fgColor rgb="FF5B9BD5"/>
        <bgColor rgb="FF4472C4"/>
      </patternFill>
    </fill>
    <fill>
      <patternFill patternType="solid">
        <fgColor rgb="FFDEEBF7"/>
        <bgColor rgb="FFEDEDED"/>
      </patternFill>
    </fill>
    <fill>
      <patternFill patternType="solid">
        <fgColor rgb="FF70AD47"/>
        <bgColor rgb="FF339966"/>
      </patternFill>
    </fill>
    <fill>
      <patternFill patternType="solid">
        <fgColor rgb="FFEDEDED"/>
        <bgColor rgb="FFDEEBF7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/>
      <bottom style="medium">
        <color rgb="FF9DC3E6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ck">
        <color rgb="FFADCDEA"/>
      </top>
      <bottom style="medium">
        <color rgb="FF9DC3E6"/>
      </bottom>
      <diagonal/>
    </border>
    <border diagonalUp="false" diagonalDown="false">
      <left style="thick">
        <color rgb="FFADCDEA"/>
      </left>
      <right style="thick">
        <color rgb="FFADCDEA"/>
      </right>
      <top style="thick">
        <color rgb="FFADCDEA"/>
      </top>
      <bottom style="thick">
        <color rgb="FFADCDEA"/>
      </bottom>
      <diagonal/>
    </border>
    <border diagonalUp="false" diagonalDown="false">
      <left style="hair">
        <color rgb="FF4472C4"/>
      </left>
      <right style="hair">
        <color rgb="FF4472C4"/>
      </right>
      <top style="thick">
        <color rgb="FFADCDEA"/>
      </top>
      <bottom style="hair">
        <color rgb="FF4472C4"/>
      </bottom>
      <diagonal/>
    </border>
    <border diagonalUp="false" diagonalDown="false">
      <left style="hair">
        <color rgb="FF4472C4"/>
      </left>
      <right style="hair">
        <color rgb="FF4472C4"/>
      </right>
      <top/>
      <bottom style="hair">
        <color rgb="FF4472C4"/>
      </bottom>
      <diagonal/>
    </border>
    <border diagonalUp="false" diagonalDown="false">
      <left style="hair">
        <color rgb="FF4472C4"/>
      </left>
      <right style="hair">
        <color rgb="FF4472C4"/>
      </right>
      <top style="hair">
        <color rgb="FF4472C4"/>
      </top>
      <bottom style="hair">
        <color rgb="FF4472C4"/>
      </bottom>
      <diagonal/>
    </border>
    <border diagonalUp="false" diagonalDown="false">
      <left style="hair">
        <color rgb="FF9DC3E6"/>
      </left>
      <right style="hair">
        <color rgb="FF9DC3E6"/>
      </right>
      <top style="medium">
        <color rgb="FF9DC3E6"/>
      </top>
      <bottom style="hair">
        <color rgb="FF9DC3E6"/>
      </bottom>
      <diagonal/>
    </border>
    <border diagonalUp="false" diagonalDown="false">
      <left style="hair">
        <color rgb="FF9DC3E6"/>
      </left>
      <right style="hair">
        <color rgb="FF9DC3E6"/>
      </right>
      <top style="hair">
        <color rgb="FF9DC3E6"/>
      </top>
      <bottom style="hair">
        <color rgb="FF9DC3E6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false" applyProtection="false"/>
    <xf numFmtId="164" fontId="6" fillId="0" borderId="2" applyFont="true" applyBorder="true" applyAlignment="false" applyProtection="false"/>
    <xf numFmtId="164" fontId="7" fillId="0" borderId="3" applyFont="true" applyBorder="true" applyAlignment="false" applyProtection="false"/>
    <xf numFmtId="164" fontId="7" fillId="0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3" borderId="0" applyFont="true" applyBorder="false" applyAlignment="false" applyProtection="false"/>
    <xf numFmtId="164" fontId="8" fillId="4" borderId="0" applyFont="true" applyBorder="false" applyAlignment="false" applyProtection="false"/>
    <xf numFmtId="164" fontId="9" fillId="5" borderId="0" applyFont="true" applyBorder="false" applyAlignment="false" applyProtection="false"/>
    <xf numFmtId="164" fontId="8" fillId="6" borderId="0" applyFont="true" applyBorder="false" applyAlignment="false" applyProtection="false"/>
    <xf numFmtId="164" fontId="9" fillId="7" borderId="0" applyFont="true" applyBorder="false" applyAlignment="false" applyProtection="false"/>
    <xf numFmtId="164" fontId="8" fillId="8" borderId="0" applyFont="true" applyBorder="false" applyAlignment="false" applyProtection="false"/>
    <xf numFmtId="164" fontId="9" fillId="9" borderId="0" applyFont="true" applyBorder="false" applyAlignment="false" applyProtection="false"/>
    <xf numFmtId="164" fontId="10" fillId="0" borderId="0" applyFont="true" applyBorder="false" applyAlignment="false" applyProtection="false"/>
    <xf numFmtId="164" fontId="9" fillId="1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4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5" borderId="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6" borderId="0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7" borderId="0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8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9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3" borderId="17" xfId="2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8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3" borderId="18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9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3" borderId="19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5" borderId="19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9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5" borderId="19" xfId="27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7" borderId="19" xfId="2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9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7" borderId="19" xfId="2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10" borderId="19" xfId="3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19" xfId="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10" borderId="19" xfId="3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2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9" borderId="20" xfId="31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9" borderId="20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9" borderId="20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21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9" borderId="21" xfId="31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9" borderId="21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9" borderId="21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17" xfId="2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3" borderId="17" xfId="2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5" borderId="19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5" borderId="19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7" borderId="19" xfId="2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7" borderId="19" xfId="2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3" xfId="22"/>
    <cellStyle name="Excel Built-in Heading 4" xfId="23"/>
    <cellStyle name="Excel Built-in Accent2" xfId="24"/>
    <cellStyle name="Excel Built-in 20% - Accent2" xfId="25"/>
    <cellStyle name="Excel Built-in Accent4" xfId="26"/>
    <cellStyle name="Excel Built-in 20% - Accent4" xfId="27"/>
    <cellStyle name="Excel Built-in Accent1" xfId="28"/>
    <cellStyle name="Excel Built-in 20% - Accent1" xfId="29"/>
    <cellStyle name="Excel Built-in Accent6" xfId="30"/>
    <cellStyle name="Excel Built-in 20% - Accent3" xfId="31"/>
    <cellStyle name="Excel Built-in Explanatory Text" xfId="32"/>
    <cellStyle name="Excel Built-in 20% - Accent6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DC3E6"/>
      <rgbColor rgb="FFFF99CC"/>
      <rgbColor rgb="FFADCDEA"/>
      <rgbColor rgb="FFFBE5D6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Original Vector System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8606035721618"/>
          <c:y val="0.100162999185004"/>
          <c:w val="0.905974132621638"/>
          <c:h val="0.885004074979625"/>
        </c:manualLayout>
      </c:layout>
      <c:scatterChart>
        <c:scatterStyle val="line"/>
        <c:varyColors val="0"/>
        <c:ser>
          <c:idx val="0"/>
          <c:order val="0"/>
          <c:tx>
            <c:strRef>
              <c:f>'Symmetrical Components'!$L$20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ed7d31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Components'!$N$20:$N$21</c:f>
              <c:numCache>
                <c:formatCode>General</c:formatCode>
                <c:ptCount val="2"/>
                <c:pt idx="0">
                  <c:v>9.70853075452252</c:v>
                </c:pt>
                <c:pt idx="1">
                  <c:v>20.0731413603969</c:v>
                </c:pt>
              </c:numCache>
            </c:numRef>
          </c:xVal>
          <c:yVal>
            <c:numRef>
              <c:f>'Symmetrical Components'!$O$20:$O$21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'Symmetrical Components'!$L$22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c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c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Components'!$N$22:$N$23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Components'!$O$22:$O$23</c:f>
              <c:numCache>
                <c:formatCode>General</c:formatCode>
                <c:ptCount val="2"/>
                <c:pt idx="0">
                  <c:v>0</c:v>
                </c:pt>
                <c:pt idx="1">
                  <c:v>-0.568181818181818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'Symmetrical Components'!$L$24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4472c4"/>
                      </a:solidFill>
                      <a:latin typeface="Calibri"/>
                    </a:defRPr>
                  </a:pPr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100" spc="-1" strike="noStrike">
                    <a:solidFill>
                      <a:srgbClr val="4472c4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Components'!$N$24:$N$25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Components'!$O$24:$O$25</c:f>
              <c:numCache>
                <c:formatCode>General</c:formatCode>
                <c:ptCount val="2"/>
                <c:pt idx="0">
                  <c:v>0</c:v>
                </c:pt>
                <c:pt idx="1">
                  <c:v>0.568181818181818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'Symmetrical Components'!$L$26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70ad47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70ad47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Components'!$N$26:$N$27</c:f>
              <c:numCache>
                <c:formatCode>General</c:formatCode>
                <c:ptCount val="2"/>
                <c:pt idx="0">
                  <c:v>0</c:v>
                </c:pt>
                <c:pt idx="1">
                  <c:v>9.70853075452252</c:v>
                </c:pt>
              </c:numCache>
            </c:numRef>
          </c:xVal>
          <c:yVal>
            <c:numRef>
              <c:f>'Symmetrical Components'!$O$26:$O$27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axId val="39531495"/>
        <c:axId val="54507201"/>
      </c:scatterChart>
      <c:valAx>
        <c:axId val="39531495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07201"/>
        <c:crosses val="autoZero"/>
        <c:crossBetween val="midCat"/>
      </c:valAx>
      <c:valAx>
        <c:axId val="54507201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314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Symetrical Component Vectors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.09714820682702"/>
          <c:w val="0.999922934648582"/>
          <c:h val="0.888808872245427"/>
        </c:manualLayout>
      </c:layout>
      <c:scatterChart>
        <c:scatterStyle val="line"/>
        <c:varyColors val="0"/>
        <c:ser>
          <c:idx val="0"/>
          <c:order val="0"/>
          <c:tx>
            <c:strRef>
              <c:f>'Symmetrical Components'!$L$20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Components'!$N$20:$N$21</c:f>
              <c:numCache>
                <c:formatCode>General</c:formatCode>
                <c:ptCount val="2"/>
                <c:pt idx="0">
                  <c:v>9.70853075452252</c:v>
                </c:pt>
                <c:pt idx="1">
                  <c:v>20.0731413603969</c:v>
                </c:pt>
              </c:numCache>
            </c:numRef>
          </c:xVal>
          <c:yVal>
            <c:numRef>
              <c:f>'Symmetrical Components'!$O$20:$O$21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'Symmetrical Components'!$L$22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Components'!$N$22:$N$23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Components'!$O$22:$O$23</c:f>
              <c:numCache>
                <c:formatCode>General</c:formatCode>
                <c:ptCount val="2"/>
                <c:pt idx="0">
                  <c:v>0</c:v>
                </c:pt>
                <c:pt idx="1">
                  <c:v>-0.568181818181818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'Symmetrical Components'!$L$24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Components'!$N$24:$N$25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Components'!$O$24:$O$25</c:f>
              <c:numCache>
                <c:formatCode>General</c:formatCode>
                <c:ptCount val="2"/>
                <c:pt idx="0">
                  <c:v>0</c:v>
                </c:pt>
                <c:pt idx="1">
                  <c:v>0.568181818181818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'Symmetrical Components'!$L$26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Components'!$N$26:$N$27</c:f>
              <c:numCache>
                <c:formatCode>General</c:formatCode>
                <c:ptCount val="2"/>
                <c:pt idx="0">
                  <c:v>0</c:v>
                </c:pt>
                <c:pt idx="1">
                  <c:v>9.70853075452252</c:v>
                </c:pt>
              </c:numCache>
            </c:numRef>
          </c:xVal>
          <c:yVal>
            <c:numRef>
              <c:f>'Symmetrical Components'!$O$26:$O$27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'Symmetrical Components'!$L$41</c:f>
              <c:strCache>
                <c:ptCount val="1"/>
                <c:pt idx="0">
                  <c:v>A(0)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Components'!$N$41:$N$42</c:f>
              <c:numCache>
                <c:formatCode>General</c:formatCode>
                <c:ptCount val="2"/>
                <c:pt idx="0">
                  <c:v>16.8365307545225</c:v>
                </c:pt>
                <c:pt idx="1">
                  <c:v>20.0725307545225</c:v>
                </c:pt>
              </c:numCache>
            </c:numRef>
          </c:xVal>
          <c:yVal>
            <c:numRef>
              <c:f>'Symmetrical Components'!$O$41:$O$42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'Symmetrical Components'!$L$43</c:f>
              <c:strCache>
                <c:ptCount val="1"/>
                <c:pt idx="0">
                  <c:v>B(0)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Components'!$N$43:$N$44</c:f>
              <c:numCache>
                <c:formatCode>General</c:formatCode>
                <c:ptCount val="2"/>
                <c:pt idx="0">
                  <c:v>6.14453075452252</c:v>
                </c:pt>
                <c:pt idx="1">
                  <c:v>9.38053075452252</c:v>
                </c:pt>
              </c:numCache>
            </c:numRef>
          </c:xVal>
          <c:yVal>
            <c:numRef>
              <c:f>'Symmetrical Components'!$O$43:$O$44</c:f>
              <c:numCache>
                <c:formatCode>General</c:formatCode>
                <c:ptCount val="2"/>
                <c:pt idx="0">
                  <c:v>-0.568</c:v>
                </c:pt>
                <c:pt idx="1">
                  <c:v>-0.568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'Symmetrical Components'!$L$45</c:f>
              <c:strCache>
                <c:ptCount val="1"/>
                <c:pt idx="0">
                  <c:v>C(0)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Components'!$N$45:$N$46</c:f>
              <c:numCache>
                <c:formatCode>General</c:formatCode>
                <c:ptCount val="2"/>
                <c:pt idx="0">
                  <c:v>6.14453075452252</c:v>
                </c:pt>
                <c:pt idx="1">
                  <c:v>9.38053075452252</c:v>
                </c:pt>
              </c:numCache>
            </c:numRef>
          </c:xVal>
          <c:yVal>
            <c:numRef>
              <c:f>'Symmetrical Components'!$O$45:$O$46</c:f>
              <c:numCache>
                <c:formatCode>General</c:formatCode>
                <c:ptCount val="2"/>
                <c:pt idx="0">
                  <c:v>0.568</c:v>
                </c:pt>
                <c:pt idx="1">
                  <c:v>0.568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'Symmetrical Components'!$L$48</c:f>
              <c:strCache>
                <c:ptCount val="1"/>
                <c:pt idx="0">
                  <c:v>A(+)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Components'!$N$48:$N$49</c:f>
              <c:numCache>
                <c:formatCode>General</c:formatCode>
                <c:ptCount val="2"/>
                <c:pt idx="0">
                  <c:v>9.70853075452252</c:v>
                </c:pt>
                <c:pt idx="1">
                  <c:v>13.6005307545225</c:v>
                </c:pt>
              </c:numCache>
            </c:numRef>
          </c:xVal>
          <c:yVal>
            <c:numRef>
              <c:f>'Symmetrical Components'!$O$48:$O$49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'Symmetrical Components'!$L$50</c:f>
              <c:strCache>
                <c:ptCount val="1"/>
                <c:pt idx="0">
                  <c:v>B(+)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Components'!$N$50:$N$51</c:f>
              <c:numCache>
                <c:formatCode>General</c:formatCode>
                <c:ptCount val="2"/>
                <c:pt idx="0">
                  <c:v>9.70853075452252</c:v>
                </c:pt>
                <c:pt idx="1">
                  <c:v>7.76253075452252</c:v>
                </c:pt>
              </c:numCache>
            </c:numRef>
          </c:xVal>
          <c:yVal>
            <c:numRef>
              <c:f>'Symmetrical Components'!$O$50:$O$51</c:f>
              <c:numCache>
                <c:formatCode>General</c:formatCode>
                <c:ptCount val="2"/>
                <c:pt idx="0">
                  <c:v>0</c:v>
                </c:pt>
                <c:pt idx="1">
                  <c:v>-3.37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'Symmetrical Components'!$L$52</c:f>
              <c:strCache>
                <c:ptCount val="1"/>
                <c:pt idx="0">
                  <c:v>C(+)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Components'!$N$52:$N$53</c:f>
              <c:numCache>
                <c:formatCode>General</c:formatCode>
                <c:ptCount val="2"/>
                <c:pt idx="0">
                  <c:v>9.70853075452252</c:v>
                </c:pt>
                <c:pt idx="1">
                  <c:v>7.76253075452252</c:v>
                </c:pt>
              </c:numCache>
            </c:numRef>
          </c:xVal>
          <c:yVal>
            <c:numRef>
              <c:f>'Symmetrical Components'!$O$52:$O$53</c:f>
              <c:numCache>
                <c:formatCode>General</c:formatCode>
                <c:ptCount val="2"/>
                <c:pt idx="0">
                  <c:v>0</c:v>
                </c:pt>
                <c:pt idx="1">
                  <c:v>3.37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'Symmetrical Components'!$L$55</c:f>
              <c:strCache>
                <c:ptCount val="1"/>
                <c:pt idx="0">
                  <c:v>A(-)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Components'!$N$55:$N$56</c:f>
              <c:numCache>
                <c:formatCode>General</c:formatCode>
                <c:ptCount val="2"/>
                <c:pt idx="0">
                  <c:v>13.6005307545225</c:v>
                </c:pt>
                <c:pt idx="1">
                  <c:v>16.8365307545225</c:v>
                </c:pt>
              </c:numCache>
            </c:numRef>
          </c:xVal>
          <c:yVal>
            <c:numRef>
              <c:f>'Symmetrical Components'!$O$55:$O$56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'Symmetrical Components'!$L$57</c:f>
              <c:strCache>
                <c:ptCount val="1"/>
                <c:pt idx="0">
                  <c:v>B(-)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Components'!$N$57:$N$58</c:f>
              <c:numCache>
                <c:formatCode>General</c:formatCode>
                <c:ptCount val="2"/>
                <c:pt idx="0">
                  <c:v>7.76253075452252</c:v>
                </c:pt>
                <c:pt idx="1">
                  <c:v>6.14453075452252</c:v>
                </c:pt>
              </c:numCache>
            </c:numRef>
          </c:xVal>
          <c:yVal>
            <c:numRef>
              <c:f>'Symmetrical Components'!$O$57:$O$58</c:f>
              <c:numCache>
                <c:formatCode>General</c:formatCode>
                <c:ptCount val="2"/>
                <c:pt idx="0">
                  <c:v>-3.37</c:v>
                </c:pt>
                <c:pt idx="1">
                  <c:v>-0.568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'Symmetrical Components'!$L$59</c:f>
              <c:strCache>
                <c:ptCount val="1"/>
                <c:pt idx="0">
                  <c:v>C(-)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Components'!$N$59:$N$60</c:f>
              <c:numCache>
                <c:formatCode>General</c:formatCode>
                <c:ptCount val="2"/>
                <c:pt idx="0">
                  <c:v>7.76253075452252</c:v>
                </c:pt>
                <c:pt idx="1">
                  <c:v>6.14453075452252</c:v>
                </c:pt>
              </c:numCache>
            </c:numRef>
          </c:xVal>
          <c:yVal>
            <c:numRef>
              <c:f>'Symmetrical Components'!$O$59:$O$60</c:f>
              <c:numCache>
                <c:formatCode>General</c:formatCode>
                <c:ptCount val="2"/>
                <c:pt idx="0">
                  <c:v>3.37</c:v>
                </c:pt>
                <c:pt idx="1">
                  <c:v>0.568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'Symmetrical Components'!$L$20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Components'!$N$20:$N$21</c:f>
              <c:numCache>
                <c:formatCode>General</c:formatCode>
                <c:ptCount val="2"/>
                <c:pt idx="0">
                  <c:v>9.70853075452252</c:v>
                </c:pt>
                <c:pt idx="1">
                  <c:v>20.0731413603969</c:v>
                </c:pt>
              </c:numCache>
            </c:numRef>
          </c:xVal>
          <c:yVal>
            <c:numRef>
              <c:f>'Symmetrical Components'!$O$20:$O$21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'Symmetrical Components'!$L$22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Components'!$N$22:$N$23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Components'!$O$22:$O$23</c:f>
              <c:numCache>
                <c:formatCode>General</c:formatCode>
                <c:ptCount val="2"/>
                <c:pt idx="0">
                  <c:v>0</c:v>
                </c:pt>
                <c:pt idx="1">
                  <c:v>-0.568181818181818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'Symmetrical Components'!$L$24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Components'!$N$24:$N$25</c:f>
              <c:numCache>
                <c:formatCode>General</c:formatCode>
                <c:ptCount val="2"/>
                <c:pt idx="0">
                  <c:v>9.70853075452252</c:v>
                </c:pt>
                <c:pt idx="1">
                  <c:v>9.3804908288466</c:v>
                </c:pt>
              </c:numCache>
            </c:numRef>
          </c:xVal>
          <c:yVal>
            <c:numRef>
              <c:f>'Symmetrical Components'!$O$24:$O$25</c:f>
              <c:numCache>
                <c:formatCode>General</c:formatCode>
                <c:ptCount val="2"/>
                <c:pt idx="0">
                  <c:v>0</c:v>
                </c:pt>
                <c:pt idx="1">
                  <c:v>0.568181818181818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'Symmetrical Components'!$L$26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numFmt formatCode="0.000" sourceLinked="1"/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70ad47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Components'!$N$26:$N$27</c:f>
              <c:numCache>
                <c:formatCode>General</c:formatCode>
                <c:ptCount val="2"/>
                <c:pt idx="0">
                  <c:v>0</c:v>
                </c:pt>
                <c:pt idx="1">
                  <c:v>9.70853075452252</c:v>
                </c:pt>
              </c:numCache>
            </c:numRef>
          </c:xVal>
          <c:yVal>
            <c:numRef>
              <c:f>'Symmetrical Components'!$O$26:$O$27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'Symmetrical Components'!$L$41</c:f>
              <c:strCache>
                <c:ptCount val="1"/>
                <c:pt idx="0">
                  <c:v>A(0)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ed7d31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Components'!$N$41:$N$42</c:f>
              <c:numCache>
                <c:formatCode>General</c:formatCode>
                <c:ptCount val="2"/>
                <c:pt idx="0">
                  <c:v>16.8365307545225</c:v>
                </c:pt>
                <c:pt idx="1">
                  <c:v>20.0725307545225</c:v>
                </c:pt>
              </c:numCache>
            </c:numRef>
          </c:xVal>
          <c:yVal>
            <c:numRef>
              <c:f>'Symmetrical Components'!$O$41:$O$42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'Symmetrical Components'!$L$43</c:f>
              <c:strCache>
                <c:ptCount val="1"/>
                <c:pt idx="0">
                  <c:v>B(0)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c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c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Components'!$N$43:$N$44</c:f>
              <c:numCache>
                <c:formatCode>General</c:formatCode>
                <c:ptCount val="2"/>
                <c:pt idx="0">
                  <c:v>6.14453075452252</c:v>
                </c:pt>
                <c:pt idx="1">
                  <c:v>9.38053075452252</c:v>
                </c:pt>
              </c:numCache>
            </c:numRef>
          </c:xVal>
          <c:yVal>
            <c:numRef>
              <c:f>'Symmetrical Components'!$O$43:$O$44</c:f>
              <c:numCache>
                <c:formatCode>General</c:formatCode>
                <c:ptCount val="2"/>
                <c:pt idx="0">
                  <c:v>-0.568</c:v>
                </c:pt>
                <c:pt idx="1">
                  <c:v>-0.568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'Symmetrical Components'!$L$45</c:f>
              <c:strCache>
                <c:ptCount val="1"/>
                <c:pt idx="0">
                  <c:v>C(0)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4472c4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472c4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Components'!$N$45:$N$46</c:f>
              <c:numCache>
                <c:formatCode>General</c:formatCode>
                <c:ptCount val="2"/>
                <c:pt idx="0">
                  <c:v>6.14453075452252</c:v>
                </c:pt>
                <c:pt idx="1">
                  <c:v>9.38053075452252</c:v>
                </c:pt>
              </c:numCache>
            </c:numRef>
          </c:xVal>
          <c:yVal>
            <c:numRef>
              <c:f>'Symmetrical Components'!$O$45:$O$46</c:f>
              <c:numCache>
                <c:formatCode>General</c:formatCode>
                <c:ptCount val="2"/>
                <c:pt idx="0">
                  <c:v>0.568</c:v>
                </c:pt>
                <c:pt idx="1">
                  <c:v>0.568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'Symmetrical Components'!$L$48</c:f>
              <c:strCache>
                <c:ptCount val="1"/>
                <c:pt idx="0">
                  <c:v>A(+)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ed7d31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Components'!$N$48:$N$49</c:f>
              <c:numCache>
                <c:formatCode>General</c:formatCode>
                <c:ptCount val="2"/>
                <c:pt idx="0">
                  <c:v>9.70853075452252</c:v>
                </c:pt>
                <c:pt idx="1">
                  <c:v>13.6005307545225</c:v>
                </c:pt>
              </c:numCache>
            </c:numRef>
          </c:xVal>
          <c:yVal>
            <c:numRef>
              <c:f>'Symmetrical Components'!$O$48:$O$49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'Symmetrical Components'!$L$50</c:f>
              <c:strCache>
                <c:ptCount val="1"/>
                <c:pt idx="0">
                  <c:v>B(+)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numFmt formatCode="0.000" sourceLinked="1"/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c000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Components'!$N$50:$N$51</c:f>
              <c:numCache>
                <c:formatCode>General</c:formatCode>
                <c:ptCount val="2"/>
                <c:pt idx="0">
                  <c:v>9.70853075452252</c:v>
                </c:pt>
                <c:pt idx="1">
                  <c:v>7.76253075452252</c:v>
                </c:pt>
              </c:numCache>
            </c:numRef>
          </c:xVal>
          <c:yVal>
            <c:numRef>
              <c:f>'Symmetrical Components'!$O$50:$O$51</c:f>
              <c:numCache>
                <c:formatCode>General</c:formatCode>
                <c:ptCount val="2"/>
                <c:pt idx="0">
                  <c:v>0</c:v>
                </c:pt>
                <c:pt idx="1">
                  <c:v>-3.37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'Symmetrical Components'!$L$52</c:f>
              <c:strCache>
                <c:ptCount val="1"/>
                <c:pt idx="0">
                  <c:v>C(+)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4472c4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472c4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Components'!$N$52:$N$53</c:f>
              <c:numCache>
                <c:formatCode>General</c:formatCode>
                <c:ptCount val="2"/>
                <c:pt idx="0">
                  <c:v>9.70853075452252</c:v>
                </c:pt>
                <c:pt idx="1">
                  <c:v>7.76253075452252</c:v>
                </c:pt>
              </c:numCache>
            </c:numRef>
          </c:xVal>
          <c:yVal>
            <c:numRef>
              <c:f>'Symmetrical Components'!$O$52:$O$53</c:f>
              <c:numCache>
                <c:formatCode>General</c:formatCode>
                <c:ptCount val="2"/>
                <c:pt idx="0">
                  <c:v>0</c:v>
                </c:pt>
                <c:pt idx="1">
                  <c:v>3.37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'Symmetrical Components'!$L$55</c:f>
              <c:strCache>
                <c:ptCount val="1"/>
                <c:pt idx="0">
                  <c:v>A(-)</c:v>
                </c:pt>
              </c:strCache>
            </c:strRef>
          </c:tx>
          <c:spPr>
            <a:solidFill>
              <a:srgbClr val="ed7d31"/>
            </a:solidFill>
            <a:ln cap="rnd" w="1260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ed7d31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Components'!$N$55:$N$56</c:f>
              <c:numCache>
                <c:formatCode>General</c:formatCode>
                <c:ptCount val="2"/>
                <c:pt idx="0">
                  <c:v>13.6005307545225</c:v>
                </c:pt>
                <c:pt idx="1">
                  <c:v>16.8365307545225</c:v>
                </c:pt>
              </c:numCache>
            </c:numRef>
          </c:xVal>
          <c:yVal>
            <c:numRef>
              <c:f>'Symmetrical Components'!$O$55:$O$56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'Symmetrical Components'!$L$57</c:f>
              <c:strCache>
                <c:ptCount val="1"/>
                <c:pt idx="0">
                  <c:v>B(-)</c:v>
                </c:pt>
              </c:strCache>
            </c:strRef>
          </c:tx>
          <c:spPr>
            <a:solidFill>
              <a:srgbClr val="ffc000"/>
            </a:solidFill>
            <a:ln cap="rnd" w="1260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c000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c00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Components'!$N$57:$N$58</c:f>
              <c:numCache>
                <c:formatCode>General</c:formatCode>
                <c:ptCount val="2"/>
                <c:pt idx="0">
                  <c:v>7.76253075452252</c:v>
                </c:pt>
                <c:pt idx="1">
                  <c:v>6.14453075452252</c:v>
                </c:pt>
              </c:numCache>
            </c:numRef>
          </c:xVal>
          <c:yVal>
            <c:numRef>
              <c:f>'Symmetrical Components'!$O$57:$O$58</c:f>
              <c:numCache>
                <c:formatCode>General</c:formatCode>
                <c:ptCount val="2"/>
                <c:pt idx="0">
                  <c:v>-3.37</c:v>
                </c:pt>
                <c:pt idx="1">
                  <c:v>-0.568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'Symmetrical Components'!$L$59</c:f>
              <c:strCache>
                <c:ptCount val="1"/>
                <c:pt idx="0">
                  <c:v>C(-)</c:v>
                </c:pt>
              </c:strCache>
            </c:strRef>
          </c:tx>
          <c:spPr>
            <a:solidFill>
              <a:srgbClr val="5b9bd5"/>
            </a:solidFill>
            <a:ln cap="rnd" w="1260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4472c4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472c4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'Symmetrical Components'!$N$59:$N$60</c:f>
              <c:numCache>
                <c:formatCode>General</c:formatCode>
                <c:ptCount val="2"/>
                <c:pt idx="0">
                  <c:v>7.76253075452252</c:v>
                </c:pt>
                <c:pt idx="1">
                  <c:v>6.14453075452252</c:v>
                </c:pt>
              </c:numCache>
            </c:numRef>
          </c:xVal>
          <c:yVal>
            <c:numRef>
              <c:f>'Symmetrical Components'!$O$59:$O$60</c:f>
              <c:numCache>
                <c:formatCode>General</c:formatCode>
                <c:ptCount val="2"/>
                <c:pt idx="0">
                  <c:v>3.37</c:v>
                </c:pt>
                <c:pt idx="1">
                  <c:v>0.568</c:v>
                </c:pt>
              </c:numCache>
            </c:numRef>
          </c:yVal>
          <c:smooth val="0"/>
        </c:ser>
        <c:axId val="44506521"/>
        <c:axId val="90502540"/>
      </c:scatterChart>
      <c:valAx>
        <c:axId val="44506521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02540"/>
        <c:crosses val="autoZero"/>
        <c:crossBetween val="midCat"/>
      </c:valAx>
      <c:valAx>
        <c:axId val="905025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065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53640</xdr:colOff>
      <xdr:row>3</xdr:row>
      <xdr:rowOff>171000</xdr:rowOff>
    </xdr:from>
    <xdr:to>
      <xdr:col>10</xdr:col>
      <xdr:colOff>530640</xdr:colOff>
      <xdr:row>27</xdr:row>
      <xdr:rowOff>69120</xdr:rowOff>
    </xdr:to>
    <xdr:graphicFrame>
      <xdr:nvGraphicFramePr>
        <xdr:cNvPr id="0" name="Chart 1"/>
        <xdr:cNvGraphicFramePr/>
      </xdr:nvGraphicFramePr>
      <xdr:xfrm>
        <a:off x="53640" y="803160"/>
        <a:ext cx="5260320" cy="44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13680</xdr:colOff>
      <xdr:row>32</xdr:row>
      <xdr:rowOff>164160</xdr:rowOff>
    </xdr:from>
    <xdr:to>
      <xdr:col>10</xdr:col>
      <xdr:colOff>514080</xdr:colOff>
      <xdr:row>57</xdr:row>
      <xdr:rowOff>163800</xdr:rowOff>
    </xdr:to>
    <xdr:graphicFrame>
      <xdr:nvGraphicFramePr>
        <xdr:cNvPr id="1" name="Chart 3"/>
        <xdr:cNvGraphicFramePr/>
      </xdr:nvGraphicFramePr>
      <xdr:xfrm>
        <a:off x="13680" y="6275160"/>
        <a:ext cx="5283720" cy="469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717480</xdr:colOff>
      <xdr:row>11</xdr:row>
      <xdr:rowOff>38520</xdr:rowOff>
    </xdr:from>
    <xdr:to>
      <xdr:col>14</xdr:col>
      <xdr:colOff>124200</xdr:colOff>
      <xdr:row>20</xdr:row>
      <xdr:rowOff>181440</xdr:rowOff>
    </xdr:to>
    <xdr:sp>
      <xdr:nvSpPr>
        <xdr:cNvPr id="2" name="CustomShape 1"/>
        <xdr:cNvSpPr/>
      </xdr:nvSpPr>
      <xdr:spPr>
        <a:xfrm rot="5400000">
          <a:off x="6272280" y="1307880"/>
          <a:ext cx="175320" cy="1887840"/>
        </a:xfrm>
        <a:prstGeom prst="rightBrace">
          <a:avLst>
            <a:gd name="adj1" fmla="val 81111"/>
            <a:gd name="adj2" fmla="val 50000"/>
          </a:avLst>
        </a:prstGeom>
        <a:noFill/>
        <a:ln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83"/>
    <col collapsed="false" customWidth="true" hidden="false" outlineLevel="0" max="2" min="2" style="0" width="18.2"/>
    <col collapsed="false" customWidth="false" hidden="false" outlineLevel="0" max="5" min="5" style="1" width="11.52"/>
    <col collapsed="false" customWidth="true" hidden="false" outlineLevel="0" max="6" min="6" style="0" width="35.74"/>
    <col collapsed="false" customWidth="true" hidden="false" outlineLevel="0" max="7" min="7" style="0" width="12.96"/>
    <col collapsed="false" customWidth="true" hidden="false" outlineLevel="0" max="8" min="8" style="0" width="23.8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/>
      <c r="G2" s="2" t="s">
        <v>1</v>
      </c>
      <c r="H2" s="2" t="s">
        <v>2</v>
      </c>
    </row>
    <row r="3" customFormat="false" ht="12.8" hidden="false" customHeight="false" outlineLevel="0" collapsed="false">
      <c r="A3" s="3" t="s">
        <v>3</v>
      </c>
      <c r="B3" s="4" t="s">
        <v>4</v>
      </c>
      <c r="C3" s="5" t="s">
        <v>5</v>
      </c>
      <c r="D3" s="6" t="s">
        <v>6</v>
      </c>
      <c r="F3" s="5" t="s">
        <v>7</v>
      </c>
      <c r="G3" s="7" t="n">
        <f aca="false">C36</f>
        <v>1</v>
      </c>
      <c r="H3" s="8"/>
    </row>
    <row r="4" customFormat="false" ht="12.8" hidden="false" customHeight="false" outlineLevel="0" collapsed="false">
      <c r="A4" s="9" t="s">
        <v>8</v>
      </c>
      <c r="B4" s="0" t="s">
        <v>9</v>
      </c>
      <c r="C4" s="10"/>
      <c r="D4" s="11"/>
      <c r="F4" s="5" t="s">
        <v>10</v>
      </c>
      <c r="G4" s="7" t="n">
        <f aca="false">C52</f>
        <v>0</v>
      </c>
      <c r="H4" s="8"/>
    </row>
    <row r="5" customFormat="false" ht="12.8" hidden="false" customHeight="false" outlineLevel="0" collapsed="false">
      <c r="A5" s="9" t="s">
        <v>11</v>
      </c>
      <c r="B5" s="0" t="s">
        <v>12</v>
      </c>
      <c r="C5" s="10" t="n">
        <v>2.5</v>
      </c>
      <c r="D5" s="11" t="s">
        <v>12</v>
      </c>
      <c r="F5" s="5" t="s">
        <v>13</v>
      </c>
      <c r="G5" s="7" t="n">
        <f aca="false">C68</f>
        <v>0.904761904761905</v>
      </c>
      <c r="H5" s="7" t="n">
        <f aca="false">C69</f>
        <v>0.490833333333333</v>
      </c>
    </row>
    <row r="6" customFormat="false" ht="12.8" hidden="false" customHeight="false" outlineLevel="0" collapsed="false">
      <c r="A6" s="12" t="s">
        <v>14</v>
      </c>
      <c r="B6" s="0" t="s">
        <v>15</v>
      </c>
      <c r="C6" s="10" t="n">
        <v>50</v>
      </c>
      <c r="D6" s="11" t="s">
        <v>16</v>
      </c>
      <c r="F6" s="5" t="s">
        <v>17</v>
      </c>
      <c r="G6" s="7" t="n">
        <f aca="false">C85</f>
        <v>0.898652072565116</v>
      </c>
      <c r="H6" s="7" t="n">
        <f aca="false">C86</f>
        <v>0.458128333333333</v>
      </c>
    </row>
    <row r="7" customFormat="false" ht="12.8" hidden="false" customHeight="false" outlineLevel="0" collapsed="false">
      <c r="A7" s="12"/>
      <c r="B7" s="0" t="s">
        <v>18</v>
      </c>
      <c r="C7" s="10" t="n">
        <v>11</v>
      </c>
      <c r="D7" s="11" t="s">
        <v>16</v>
      </c>
    </row>
    <row r="8" customFormat="false" ht="12.8" hidden="false" customHeight="false" outlineLevel="0" collapsed="false">
      <c r="A8" s="9" t="s">
        <v>19</v>
      </c>
      <c r="B8" s="13" t="s">
        <v>20</v>
      </c>
      <c r="C8" s="14" t="n">
        <v>200</v>
      </c>
      <c r="D8" s="11"/>
    </row>
    <row r="9" customFormat="false" ht="12.8" hidden="false" customHeight="false" outlineLevel="0" collapsed="false">
      <c r="A9" s="9" t="s">
        <v>21</v>
      </c>
      <c r="B9" s="13" t="s">
        <v>22</v>
      </c>
      <c r="C9" s="14" t="n">
        <v>200</v>
      </c>
      <c r="D9" s="11"/>
    </row>
    <row r="10" customFormat="false" ht="12.8" hidden="false" customHeight="false" outlineLevel="0" collapsed="false">
      <c r="A10" s="9" t="s">
        <v>23</v>
      </c>
      <c r="B10" s="0" t="s">
        <v>24</v>
      </c>
      <c r="C10" s="15" t="n">
        <v>0.0633</v>
      </c>
      <c r="D10" s="11" t="s">
        <v>24</v>
      </c>
    </row>
    <row r="11" customFormat="false" ht="12.8" hidden="false" customHeight="false" outlineLevel="0" collapsed="false">
      <c r="A11" s="9" t="s">
        <v>25</v>
      </c>
      <c r="B11" s="0" t="s">
        <v>24</v>
      </c>
      <c r="C11" s="15" t="n">
        <v>0.05</v>
      </c>
      <c r="D11" s="11" t="s">
        <v>24</v>
      </c>
    </row>
    <row r="12" customFormat="false" ht="12.8" hidden="false" customHeight="false" outlineLevel="0" collapsed="false">
      <c r="A12" s="9"/>
      <c r="C12" s="10"/>
      <c r="D12" s="11"/>
    </row>
    <row r="13" customFormat="false" ht="12.8" hidden="false" customHeight="false" outlineLevel="0" collapsed="false">
      <c r="A13" s="16" t="s">
        <v>26</v>
      </c>
      <c r="B13" s="17" t="s">
        <v>3</v>
      </c>
      <c r="C13" s="18" t="s">
        <v>5</v>
      </c>
      <c r="D13" s="19" t="s">
        <v>6</v>
      </c>
    </row>
    <row r="14" customFormat="false" ht="12.8" hidden="false" customHeight="false" outlineLevel="0" collapsed="false">
      <c r="A14" s="9" t="s">
        <v>27</v>
      </c>
      <c r="B14" s="0" t="s">
        <v>28</v>
      </c>
      <c r="C14" s="20" t="n">
        <f aca="false">(C5*1000000)/(SQRT(3)*C7*1000)</f>
        <v>131.215970270369</v>
      </c>
      <c r="D14" s="11" t="s">
        <v>29</v>
      </c>
    </row>
    <row r="15" customFormat="false" ht="12.8" hidden="false" customHeight="false" outlineLevel="0" collapsed="false">
      <c r="A15" s="9" t="s">
        <v>30</v>
      </c>
      <c r="B15" s="0" t="s">
        <v>31</v>
      </c>
      <c r="C15" s="20" t="n">
        <f aca="false">(C5*1000000)/(SQRT(3)*C7*1000*C10)</f>
        <v>2072.92212117487</v>
      </c>
      <c r="D15" s="11" t="s">
        <v>29</v>
      </c>
    </row>
    <row r="16" customFormat="false" ht="12.8" hidden="false" customHeight="false" outlineLevel="0" collapsed="false">
      <c r="A16" s="9" t="s">
        <v>32</v>
      </c>
      <c r="B16" s="0" t="s">
        <v>33</v>
      </c>
      <c r="C16" s="20" t="n">
        <f aca="false">C11*C15</f>
        <v>103.646106058744</v>
      </c>
      <c r="D16" s="11" t="s">
        <v>29</v>
      </c>
    </row>
    <row r="17" customFormat="false" ht="12.8" hidden="false" customHeight="false" outlineLevel="0" collapsed="false">
      <c r="A17" s="21" t="s">
        <v>34</v>
      </c>
      <c r="B17" s="22" t="s">
        <v>35</v>
      </c>
      <c r="C17" s="23" t="n">
        <f aca="false">C16/C8</f>
        <v>0.518230530293718</v>
      </c>
      <c r="D17" s="24" t="s">
        <v>36</v>
      </c>
    </row>
    <row r="22" customFormat="false" ht="12.8" hidden="false" customHeight="false" outlineLevel="0" collapsed="false">
      <c r="A22" s="2" t="s">
        <v>7</v>
      </c>
    </row>
    <row r="24" customFormat="false" ht="12.8" hidden="false" customHeight="false" outlineLevel="0" collapsed="false">
      <c r="A24" s="17" t="s">
        <v>26</v>
      </c>
      <c r="B24" s="17" t="s">
        <v>3</v>
      </c>
      <c r="C24" s="17" t="s">
        <v>5</v>
      </c>
      <c r="D24" s="17" t="s">
        <v>6</v>
      </c>
      <c r="E24" s="25" t="s">
        <v>37</v>
      </c>
    </row>
    <row r="25" customFormat="false" ht="12.8" hidden="false" customHeight="false" outlineLevel="0" collapsed="false">
      <c r="A25" s="0" t="s">
        <v>38</v>
      </c>
      <c r="B25" s="0" t="s">
        <v>39</v>
      </c>
      <c r="C25" s="26" t="n">
        <f aca="false">C16/C8</f>
        <v>0.518230530293718</v>
      </c>
      <c r="D25" s="0" t="s">
        <v>36</v>
      </c>
      <c r="E25" s="1" t="n">
        <v>37</v>
      </c>
    </row>
    <row r="26" customFormat="false" ht="12.8" hidden="false" customHeight="false" outlineLevel="0" collapsed="false">
      <c r="A26" s="27" t="s">
        <v>40</v>
      </c>
      <c r="B26" s="27" t="s">
        <v>41</v>
      </c>
      <c r="C26" s="26" t="n">
        <f aca="false">C14/C8</f>
        <v>0.656079851351847</v>
      </c>
      <c r="D26" s="0" t="s">
        <v>36</v>
      </c>
      <c r="E26" s="1" t="n">
        <v>38</v>
      </c>
    </row>
    <row r="27" customFormat="false" ht="12.8" hidden="false" customHeight="false" outlineLevel="0" collapsed="false">
      <c r="A27" s="28" t="s">
        <v>42</v>
      </c>
      <c r="B27" s="0" t="s">
        <v>43</v>
      </c>
      <c r="C27" s="26" t="n">
        <f aca="false">C14/C9</f>
        <v>0.656079851351847</v>
      </c>
      <c r="D27" s="0" t="s">
        <v>36</v>
      </c>
      <c r="E27" s="28" t="n">
        <v>39</v>
      </c>
    </row>
    <row r="28" customFormat="false" ht="12.8" hidden="false" customHeight="false" outlineLevel="0" collapsed="false">
      <c r="A28" s="28"/>
      <c r="B28" s="26" t="s">
        <v>44</v>
      </c>
      <c r="C28" s="0" t="n">
        <v>0</v>
      </c>
      <c r="D28" s="0" t="s">
        <v>36</v>
      </c>
      <c r="E28" s="28"/>
    </row>
    <row r="29" customFormat="false" ht="12.8" hidden="false" customHeight="false" outlineLevel="0" collapsed="false">
      <c r="A29" s="28"/>
      <c r="B29" s="26" t="s">
        <v>45</v>
      </c>
      <c r="C29" s="0" t="n">
        <v>0</v>
      </c>
      <c r="D29" s="0" t="s">
        <v>36</v>
      </c>
      <c r="E29" s="28"/>
    </row>
    <row r="30" customFormat="false" ht="12.8" hidden="false" customHeight="false" outlineLevel="0" collapsed="false">
      <c r="A30" s="0" t="s">
        <v>46</v>
      </c>
      <c r="B30" s="0" t="s">
        <v>47</v>
      </c>
      <c r="C30" s="26" t="n">
        <f aca="false">(C25)+C29</f>
        <v>0.518230530293718</v>
      </c>
      <c r="D30" s="0" t="s">
        <v>36</v>
      </c>
      <c r="E30" s="1" t="n">
        <v>40</v>
      </c>
    </row>
    <row r="31" customFormat="false" ht="12.8" hidden="false" customHeight="false" outlineLevel="0" collapsed="false">
      <c r="A31" s="0" t="s">
        <v>48</v>
      </c>
      <c r="B31" s="0" t="s">
        <v>49</v>
      </c>
      <c r="C31" s="26" t="n">
        <f aca="false">C27/8</f>
        <v>0.0820099814189809</v>
      </c>
      <c r="D31" s="0" t="s">
        <v>36</v>
      </c>
      <c r="E31" s="1" t="n">
        <v>45</v>
      </c>
    </row>
    <row r="32" customFormat="false" ht="12.8" hidden="false" customHeight="false" outlineLevel="0" collapsed="false">
      <c r="A32" s="27" t="s">
        <v>50</v>
      </c>
      <c r="B32" s="0" t="s">
        <v>51</v>
      </c>
      <c r="C32" s="0" t="n">
        <f aca="false">C28*3</f>
        <v>0</v>
      </c>
      <c r="D32" s="0" t="s">
        <v>36</v>
      </c>
      <c r="E32" s="1" t="n">
        <v>46</v>
      </c>
    </row>
    <row r="33" customFormat="false" ht="12.8" hidden="false" customHeight="false" outlineLevel="0" collapsed="false">
      <c r="A33" s="0" t="s">
        <v>52</v>
      </c>
      <c r="B33" s="0" t="s">
        <v>53</v>
      </c>
      <c r="C33" s="26" t="n">
        <f aca="false">C25-C29</f>
        <v>0.518230530293718</v>
      </c>
      <c r="D33" s="0" t="s">
        <v>36</v>
      </c>
      <c r="E33" s="1" t="n">
        <v>47</v>
      </c>
    </row>
    <row r="34" customFormat="false" ht="12.8" hidden="false" customHeight="false" outlineLevel="0" collapsed="false">
      <c r="A34" s="0" t="s">
        <v>35</v>
      </c>
      <c r="B34" s="0" t="s">
        <v>47</v>
      </c>
      <c r="C34" s="26" t="n">
        <f aca="false">C25-C29</f>
        <v>0.518230530293718</v>
      </c>
      <c r="D34" s="0" t="s">
        <v>36</v>
      </c>
      <c r="E34" s="1" t="n">
        <v>48</v>
      </c>
    </row>
    <row r="35" customFormat="false" ht="12.8" hidden="false" customHeight="false" outlineLevel="0" collapsed="false">
      <c r="A35" s="0" t="s">
        <v>54</v>
      </c>
      <c r="B35" s="0" t="s">
        <v>55</v>
      </c>
      <c r="C35" s="26" t="n">
        <f aca="false">MAX(C31,C32,C33)</f>
        <v>0.518230530293718</v>
      </c>
      <c r="D35" s="0" t="s">
        <v>36</v>
      </c>
      <c r="E35" s="1" t="n">
        <v>49</v>
      </c>
    </row>
    <row r="36" customFormat="false" ht="12.8" hidden="false" customHeight="false" outlineLevel="0" collapsed="false">
      <c r="A36" s="0" t="s">
        <v>1</v>
      </c>
      <c r="B36" s="0" t="s">
        <v>56</v>
      </c>
      <c r="C36" s="7" t="n">
        <f aca="false">(C34/C35)*100%</f>
        <v>1</v>
      </c>
      <c r="D36" s="0" t="s">
        <v>24</v>
      </c>
      <c r="E36" s="1" t="n">
        <v>50</v>
      </c>
    </row>
    <row r="38" customFormat="false" ht="12.8" hidden="false" customHeight="false" outlineLevel="0" collapsed="false">
      <c r="A38" s="2" t="s">
        <v>10</v>
      </c>
    </row>
    <row r="39" customFormat="false" ht="12.8" hidden="false" customHeight="false" outlineLevel="0" collapsed="false">
      <c r="A39" s="0" t="s">
        <v>57</v>
      </c>
      <c r="B39" s="0" t="s">
        <v>58</v>
      </c>
      <c r="C39" s="26" t="n">
        <f aca="false">$C$15/$C$8</f>
        <v>10.3646106058744</v>
      </c>
      <c r="D39" s="0" t="s">
        <v>36</v>
      </c>
    </row>
    <row r="40" customFormat="false" ht="12.8" hidden="false" customHeight="false" outlineLevel="0" collapsed="false">
      <c r="A40" s="0" t="s">
        <v>59</v>
      </c>
      <c r="B40" s="0" t="s">
        <v>58</v>
      </c>
      <c r="C40" s="26" t="n">
        <v>0</v>
      </c>
      <c r="D40" s="27" t="s">
        <v>36</v>
      </c>
    </row>
    <row r="41" customFormat="false" ht="12.8" hidden="false" customHeight="false" outlineLevel="0" collapsed="false">
      <c r="A41" s="0" t="s">
        <v>60</v>
      </c>
      <c r="B41" s="0" t="s">
        <v>58</v>
      </c>
      <c r="C41" s="26" t="n">
        <v>0</v>
      </c>
      <c r="D41" s="27" t="s">
        <v>36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26" t="n">
        <f aca="false">$C$15/$C$9</f>
        <v>10.3646106058744</v>
      </c>
      <c r="D42" s="27" t="s">
        <v>36</v>
      </c>
    </row>
    <row r="43" customFormat="false" ht="12.8" hidden="false" customHeight="false" outlineLevel="0" collapsed="false">
      <c r="A43" s="0" t="s">
        <v>39</v>
      </c>
      <c r="B43" s="0" t="s">
        <v>62</v>
      </c>
      <c r="C43" s="26" t="n">
        <f aca="false">$C$15/$C$9</f>
        <v>10.3646106058744</v>
      </c>
      <c r="D43" s="27" t="s">
        <v>36</v>
      </c>
    </row>
    <row r="44" customFormat="false" ht="12.8" hidden="false" customHeight="false" outlineLevel="0" collapsed="false">
      <c r="A44" s="0" t="s">
        <v>43</v>
      </c>
      <c r="B44" s="0" t="s">
        <v>63</v>
      </c>
      <c r="C44" s="26" t="n">
        <f aca="false">$C$55/3</f>
        <v>3.45487020195812</v>
      </c>
      <c r="D44" s="0" t="s">
        <v>36</v>
      </c>
    </row>
    <row r="45" customFormat="false" ht="12.8" hidden="false" customHeight="false" outlineLevel="0" collapsed="false">
      <c r="A45" s="0" t="s">
        <v>44</v>
      </c>
      <c r="C45" s="26" t="n">
        <f aca="false">$C$55/3</f>
        <v>3.45487020195812</v>
      </c>
      <c r="D45" s="0" t="s">
        <v>36</v>
      </c>
    </row>
    <row r="46" customFormat="false" ht="12.8" hidden="false" customHeight="false" outlineLevel="0" collapsed="false">
      <c r="A46" s="0" t="s">
        <v>45</v>
      </c>
      <c r="C46" s="26" t="n">
        <f aca="false">$C$55/3</f>
        <v>3.45487020195812</v>
      </c>
      <c r="D46" s="0" t="s">
        <v>36</v>
      </c>
    </row>
    <row r="47" customFormat="false" ht="12.8" hidden="false" customHeight="false" outlineLevel="0" collapsed="false">
      <c r="A47" s="27" t="s">
        <v>35</v>
      </c>
      <c r="B47" s="27" t="s">
        <v>47</v>
      </c>
      <c r="C47" s="26" t="n">
        <f aca="false">$C$43-$C$42</f>
        <v>0</v>
      </c>
      <c r="D47" s="27" t="s">
        <v>36</v>
      </c>
    </row>
    <row r="48" customFormat="false" ht="12.8" hidden="false" customHeight="false" outlineLevel="0" collapsed="false">
      <c r="A48" s="0" t="s">
        <v>48</v>
      </c>
      <c r="C48" s="0" t="n">
        <v>0</v>
      </c>
      <c r="E48" s="1" t="n">
        <v>53</v>
      </c>
    </row>
    <row r="49" customFormat="false" ht="12.8" hidden="false" customHeight="false" outlineLevel="0" collapsed="false">
      <c r="A49" s="0" t="s">
        <v>50</v>
      </c>
      <c r="C49" s="26" t="n">
        <f aca="false">$C$44*3</f>
        <v>10.3646106058744</v>
      </c>
      <c r="E49" s="1" t="n">
        <v>54</v>
      </c>
    </row>
    <row r="50" customFormat="false" ht="12.8" hidden="false" customHeight="false" outlineLevel="0" collapsed="false">
      <c r="A50" s="27" t="s">
        <v>52</v>
      </c>
      <c r="B50" s="27" t="s">
        <v>53</v>
      </c>
      <c r="C50" s="26" t="n">
        <f aca="false">$C$43-(-$C$42)</f>
        <v>20.7292212117487</v>
      </c>
      <c r="D50" s="27" t="s">
        <v>36</v>
      </c>
      <c r="E50" s="1" t="n">
        <v>55</v>
      </c>
    </row>
    <row r="51" customFormat="false" ht="12.8" hidden="false" customHeight="false" outlineLevel="0" collapsed="false">
      <c r="A51" s="27" t="s">
        <v>54</v>
      </c>
      <c r="B51" s="27" t="s">
        <v>55</v>
      </c>
      <c r="C51" s="26" t="n">
        <f aca="false">MAX($C$48,$C$49,$C$50)</f>
        <v>20.7292212117487</v>
      </c>
      <c r="D51" s="27" t="s">
        <v>36</v>
      </c>
      <c r="E51" s="1" t="n">
        <v>56</v>
      </c>
    </row>
    <row r="52" customFormat="false" ht="12.8" hidden="false" customHeight="false" outlineLevel="0" collapsed="false">
      <c r="A52" s="27" t="s">
        <v>1</v>
      </c>
      <c r="B52" s="27" t="s">
        <v>56</v>
      </c>
      <c r="C52" s="7" t="n">
        <f aca="false">($C$47/$C$51)*100%</f>
        <v>0</v>
      </c>
      <c r="D52" s="27" t="s">
        <v>24</v>
      </c>
      <c r="E52" s="1" t="n">
        <v>57</v>
      </c>
    </row>
    <row r="54" customFormat="false" ht="12.8" hidden="false" customHeight="false" outlineLevel="0" collapsed="false">
      <c r="A54" s="2" t="s">
        <v>13</v>
      </c>
    </row>
    <row r="55" customFormat="false" ht="12.8" hidden="false" customHeight="false" outlineLevel="0" collapsed="false">
      <c r="A55" s="0" t="s">
        <v>57</v>
      </c>
      <c r="B55" s="0" t="s">
        <v>58</v>
      </c>
      <c r="C55" s="26" t="n">
        <f aca="false">$C$15/$C$8</f>
        <v>10.3646106058744</v>
      </c>
      <c r="D55" s="0" t="s">
        <v>36</v>
      </c>
    </row>
    <row r="56" customFormat="false" ht="12.8" hidden="false" customHeight="false" outlineLevel="0" collapsed="false">
      <c r="A56" s="0" t="s">
        <v>59</v>
      </c>
      <c r="B56" s="0" t="s">
        <v>58</v>
      </c>
      <c r="C56" s="26" t="n">
        <v>0</v>
      </c>
      <c r="D56" s="27" t="s">
        <v>36</v>
      </c>
    </row>
    <row r="57" customFormat="false" ht="12.8" hidden="false" customHeight="false" outlineLevel="0" collapsed="false">
      <c r="A57" s="0" t="s">
        <v>60</v>
      </c>
      <c r="B57" s="0" t="s">
        <v>58</v>
      </c>
      <c r="C57" s="26" t="n">
        <v>0</v>
      </c>
      <c r="D57" s="27" t="s">
        <v>36</v>
      </c>
    </row>
    <row r="58" customFormat="false" ht="12.8" hidden="false" customHeight="false" outlineLevel="0" collapsed="false">
      <c r="A58" s="0" t="s">
        <v>61</v>
      </c>
      <c r="B58" s="0" t="s">
        <v>62</v>
      </c>
      <c r="C58" s="26" t="n">
        <f aca="false">$C$15/$C$9</f>
        <v>10.3646106058744</v>
      </c>
      <c r="D58" s="27" t="s">
        <v>36</v>
      </c>
    </row>
    <row r="59" customFormat="false" ht="12.8" hidden="false" customHeight="false" outlineLevel="0" collapsed="false">
      <c r="A59" s="0" t="s">
        <v>39</v>
      </c>
      <c r="B59" s="0" t="s">
        <v>62</v>
      </c>
      <c r="C59" s="26" t="n">
        <f aca="false">$C$15/$C$9*5%</f>
        <v>0.518230530293718</v>
      </c>
      <c r="D59" s="27" t="s">
        <v>36</v>
      </c>
    </row>
    <row r="60" customFormat="false" ht="12.8" hidden="false" customHeight="false" outlineLevel="0" collapsed="false">
      <c r="A60" s="0" t="s">
        <v>43</v>
      </c>
      <c r="B60" s="0" t="s">
        <v>63</v>
      </c>
      <c r="C60" s="26" t="n">
        <f aca="false">$C$55/3</f>
        <v>3.45487020195812</v>
      </c>
      <c r="D60" s="0" t="s">
        <v>36</v>
      </c>
    </row>
    <row r="61" customFormat="false" ht="12.8" hidden="false" customHeight="false" outlineLevel="0" collapsed="false">
      <c r="A61" s="0" t="s">
        <v>44</v>
      </c>
      <c r="C61" s="26" t="n">
        <f aca="false">$C$55/3</f>
        <v>3.45487020195812</v>
      </c>
      <c r="D61" s="0" t="s">
        <v>36</v>
      </c>
    </row>
    <row r="62" customFormat="false" ht="12.8" hidden="false" customHeight="false" outlineLevel="0" collapsed="false">
      <c r="A62" s="0" t="s">
        <v>45</v>
      </c>
      <c r="C62" s="26" t="n">
        <f aca="false">$C$55/3</f>
        <v>3.45487020195812</v>
      </c>
      <c r="D62" s="0" t="s">
        <v>36</v>
      </c>
    </row>
    <row r="63" customFormat="false" ht="12.8" hidden="false" customHeight="false" outlineLevel="0" collapsed="false">
      <c r="A63" s="27" t="s">
        <v>35</v>
      </c>
      <c r="B63" s="27" t="s">
        <v>47</v>
      </c>
      <c r="C63" s="26" t="n">
        <f aca="false">$C$58-$C$59</f>
        <v>9.84638007558065</v>
      </c>
      <c r="D63" s="27" t="s">
        <v>36</v>
      </c>
    </row>
    <row r="64" customFormat="false" ht="12.8" hidden="false" customHeight="false" outlineLevel="0" collapsed="false">
      <c r="A64" s="0" t="s">
        <v>48</v>
      </c>
      <c r="C64" s="0" t="n">
        <v>0</v>
      </c>
    </row>
    <row r="65" customFormat="false" ht="12.8" hidden="false" customHeight="false" outlineLevel="0" collapsed="false">
      <c r="A65" s="0" t="s">
        <v>50</v>
      </c>
      <c r="C65" s="26" t="n">
        <f aca="false">$C$60*3</f>
        <v>10.3646106058744</v>
      </c>
    </row>
    <row r="66" customFormat="false" ht="12.8" hidden="false" customHeight="false" outlineLevel="0" collapsed="false">
      <c r="A66" s="27" t="s">
        <v>52</v>
      </c>
      <c r="B66" s="27" t="s">
        <v>53</v>
      </c>
      <c r="C66" s="26" t="n">
        <f aca="false">$C$59-(-$C$58)</f>
        <v>10.8828411361681</v>
      </c>
      <c r="D66" s="27" t="s">
        <v>36</v>
      </c>
    </row>
    <row r="67" customFormat="false" ht="12.8" hidden="false" customHeight="false" outlineLevel="0" collapsed="false">
      <c r="A67" s="27" t="s">
        <v>54</v>
      </c>
      <c r="B67" s="27" t="s">
        <v>55</v>
      </c>
      <c r="C67" s="26" t="n">
        <f aca="false">MAX($C$64,$C$65,$C$66)</f>
        <v>10.8828411361681</v>
      </c>
      <c r="D67" s="27" t="s">
        <v>36</v>
      </c>
    </row>
    <row r="68" customFormat="false" ht="12.8" hidden="false" customHeight="false" outlineLevel="0" collapsed="false">
      <c r="A68" s="27" t="s">
        <v>1</v>
      </c>
      <c r="B68" s="27" t="s">
        <v>56</v>
      </c>
      <c r="C68" s="7" t="n">
        <f aca="false">($C$63/$C$67)*100%</f>
        <v>0.904761904761905</v>
      </c>
      <c r="D68" s="27" t="s">
        <v>24</v>
      </c>
    </row>
    <row r="69" customFormat="false" ht="12.8" hidden="false" customHeight="false" outlineLevel="0" collapsed="false">
      <c r="A69" s="27" t="s">
        <v>1</v>
      </c>
      <c r="B69" s="27" t="s">
        <v>56</v>
      </c>
      <c r="C69" s="7" t="n">
        <f aca="false">C63/(C51-((1/15.5*0.5)*C51))</f>
        <v>0.490833333333333</v>
      </c>
      <c r="D69" s="27" t="s">
        <v>24</v>
      </c>
    </row>
    <row r="71" customFormat="false" ht="12.8" hidden="false" customHeight="false" outlineLevel="0" collapsed="false">
      <c r="A71" s="2" t="s">
        <v>17</v>
      </c>
    </row>
    <row r="72" customFormat="false" ht="12.8" hidden="false" customHeight="false" outlineLevel="0" collapsed="false">
      <c r="A72" s="0" t="s">
        <v>57</v>
      </c>
      <c r="B72" s="0" t="s">
        <v>58</v>
      </c>
      <c r="C72" s="26" t="n">
        <f aca="false">$C$15/$C$8</f>
        <v>10.3646106058744</v>
      </c>
      <c r="D72" s="0" t="s">
        <v>36</v>
      </c>
    </row>
    <row r="73" customFormat="false" ht="12.8" hidden="false" customHeight="false" outlineLevel="0" collapsed="false">
      <c r="A73" s="0" t="s">
        <v>59</v>
      </c>
      <c r="B73" s="0" t="s">
        <v>58</v>
      </c>
      <c r="C73" s="26" t="n">
        <f aca="false">$C$14/$C$8</f>
        <v>0.656079851351847</v>
      </c>
      <c r="D73" s="27" t="s">
        <v>36</v>
      </c>
    </row>
    <row r="74" customFormat="false" ht="12.8" hidden="false" customHeight="false" outlineLevel="0" collapsed="false">
      <c r="A74" s="0" t="s">
        <v>60</v>
      </c>
      <c r="B74" s="0" t="s">
        <v>58</v>
      </c>
      <c r="C74" s="26" t="n">
        <f aca="false">$C$14/$C$8</f>
        <v>0.656079851351847</v>
      </c>
      <c r="D74" s="27" t="s">
        <v>36</v>
      </c>
    </row>
    <row r="75" customFormat="false" ht="12.8" hidden="false" customHeight="false" outlineLevel="0" collapsed="false">
      <c r="A75" s="0" t="s">
        <v>61</v>
      </c>
      <c r="B75" s="0" t="s">
        <v>62</v>
      </c>
      <c r="C75" s="26" t="n">
        <f aca="false">(C15-C14)/C8</f>
        <v>9.70853075452252</v>
      </c>
      <c r="D75" s="27" t="s">
        <v>36</v>
      </c>
    </row>
    <row r="76" customFormat="false" ht="12.8" hidden="false" customHeight="false" outlineLevel="0" collapsed="false">
      <c r="A76" s="0" t="s">
        <v>39</v>
      </c>
      <c r="B76" s="0" t="s">
        <v>62</v>
      </c>
      <c r="C76" s="26" t="n">
        <f aca="false">$C$15/$C$9*5%</f>
        <v>0.518230530293718</v>
      </c>
      <c r="D76" s="27" t="s">
        <v>36</v>
      </c>
    </row>
    <row r="77" customFormat="false" ht="12.8" hidden="false" customHeight="false" outlineLevel="0" collapsed="false">
      <c r="A77" s="0" t="s">
        <v>43</v>
      </c>
      <c r="C77" s="26" t="n">
        <f aca="false">'Symmetrical Components'!Q48</f>
        <v>3.892</v>
      </c>
      <c r="D77" s="0" t="s">
        <v>36</v>
      </c>
    </row>
    <row r="78" customFormat="false" ht="12.8" hidden="false" customHeight="false" outlineLevel="0" collapsed="false">
      <c r="A78" s="0" t="s">
        <v>44</v>
      </c>
      <c r="C78" s="26" t="n">
        <f aca="false">'Symmetrical Components'!Q55</f>
        <v>3.236</v>
      </c>
      <c r="D78" s="0" t="s">
        <v>36</v>
      </c>
    </row>
    <row r="79" customFormat="false" ht="12.8" hidden="false" customHeight="false" outlineLevel="0" collapsed="false">
      <c r="A79" s="0" t="s">
        <v>45</v>
      </c>
      <c r="C79" s="26" t="n">
        <f aca="false">'Symmetrical Components'!Q41</f>
        <v>3.236</v>
      </c>
      <c r="D79" s="0" t="s">
        <v>36</v>
      </c>
    </row>
    <row r="80" customFormat="false" ht="12.8" hidden="false" customHeight="false" outlineLevel="0" collapsed="false">
      <c r="A80" s="27" t="s">
        <v>35</v>
      </c>
      <c r="B80" s="27" t="s">
        <v>47</v>
      </c>
      <c r="C80" s="26" t="n">
        <f aca="false">$C$75-$C$76</f>
        <v>9.1903002242288</v>
      </c>
      <c r="D80" s="27" t="s">
        <v>36</v>
      </c>
    </row>
    <row r="81" customFormat="false" ht="12.8" hidden="false" customHeight="false" outlineLevel="0" collapsed="false">
      <c r="A81" s="0" t="s">
        <v>48</v>
      </c>
      <c r="C81" s="0" t="n">
        <f aca="false">3*(C77-C79)</f>
        <v>1.968</v>
      </c>
      <c r="D81" s="0" t="s">
        <v>36</v>
      </c>
    </row>
    <row r="82" customFormat="false" ht="12.8" hidden="false" customHeight="false" outlineLevel="0" collapsed="false">
      <c r="A82" s="0" t="s">
        <v>50</v>
      </c>
      <c r="C82" s="26" t="n">
        <f aca="false">$C$78*3</f>
        <v>9.708</v>
      </c>
    </row>
    <row r="83" customFormat="false" ht="12.8" hidden="false" customHeight="false" outlineLevel="0" collapsed="false">
      <c r="A83" s="27" t="s">
        <v>52</v>
      </c>
      <c r="B83" s="27" t="s">
        <v>53</v>
      </c>
      <c r="C83" s="26" t="n">
        <f aca="false">$C$76-(-$C$75)</f>
        <v>10.2267612848162</v>
      </c>
      <c r="D83" s="27" t="s">
        <v>36</v>
      </c>
    </row>
    <row r="84" customFormat="false" ht="12.8" hidden="false" customHeight="false" outlineLevel="0" collapsed="false">
      <c r="A84" s="27" t="s">
        <v>54</v>
      </c>
      <c r="B84" s="27" t="s">
        <v>55</v>
      </c>
      <c r="C84" s="26" t="n">
        <f aca="false">MAX($C$81,$C$82,$C$83)</f>
        <v>10.2267612848162</v>
      </c>
      <c r="D84" s="27" t="s">
        <v>36</v>
      </c>
    </row>
    <row r="85" customFormat="false" ht="12.8" hidden="false" customHeight="false" outlineLevel="0" collapsed="false">
      <c r="A85" s="27" t="s">
        <v>1</v>
      </c>
      <c r="B85" s="27" t="s">
        <v>56</v>
      </c>
      <c r="C85" s="7" t="n">
        <f aca="false">($C$80/$C$84)*100%</f>
        <v>0.898652072565116</v>
      </c>
      <c r="D85" s="27" t="s">
        <v>24</v>
      </c>
    </row>
    <row r="86" customFormat="false" ht="12.8" hidden="false" customHeight="false" outlineLevel="0" collapsed="false">
      <c r="A86" s="27" t="s">
        <v>1</v>
      </c>
      <c r="B86" s="27" t="s">
        <v>56</v>
      </c>
      <c r="C86" s="7" t="n">
        <f aca="false">C80/(C51-((1/15.5*0.5)*C51))</f>
        <v>0.458128333333333</v>
      </c>
      <c r="D86" s="27" t="s">
        <v>24</v>
      </c>
    </row>
  </sheetData>
  <mergeCells count="3">
    <mergeCell ref="A6:A7"/>
    <mergeCell ref="A27:A29"/>
    <mergeCell ref="E27:E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6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12" activeCellId="0" sqref="M1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2.11"/>
    <col collapsed="false" customWidth="true" hidden="false" outlineLevel="0" max="3" min="3" style="0" width="8.21"/>
    <col collapsed="false" customWidth="true" hidden="false" outlineLevel="0" max="4" min="4" style="0" width="8.78"/>
    <col collapsed="false" customWidth="true" hidden="false" outlineLevel="0" max="5" min="5" style="0" width="7"/>
    <col collapsed="false" customWidth="true" hidden="false" outlineLevel="0" max="6" min="6" style="0" width="3.33"/>
    <col collapsed="false" customWidth="true" hidden="false" outlineLevel="0" max="11" min="11" style="0" width="8.89"/>
    <col collapsed="false" customWidth="true" hidden="false" outlineLevel="0" max="12" min="12" style="0" width="6.44"/>
    <col collapsed="false" customWidth="true" hidden="false" outlineLevel="0" max="13" min="13" style="0" width="10.22"/>
    <col collapsed="false" customWidth="true" hidden="false" outlineLevel="0" max="14" min="14" style="0" width="10.89"/>
    <col collapsed="false" customWidth="true" hidden="false" outlineLevel="0" max="15" min="15" style="0" width="7.56"/>
    <col collapsed="false" customWidth="true" hidden="false" outlineLevel="0" max="16" min="16" style="0" width="15.78"/>
    <col collapsed="false" customWidth="true" hidden="false" outlineLevel="0" max="17" min="17" style="0" width="10.22"/>
    <col collapsed="false" customWidth="true" hidden="false" outlineLevel="0" max="18" min="18" style="0" width="8.21"/>
    <col collapsed="false" customWidth="true" hidden="false" outlineLevel="0" max="19" min="19" style="0" width="5.55"/>
    <col collapsed="false" customWidth="true" hidden="false" outlineLevel="0" max="20" min="20" style="0" width="3.45"/>
    <col collapsed="false" customWidth="true" hidden="false" outlineLevel="0" max="21" min="21" style="0" width="5.78"/>
    <col collapsed="false" customWidth="true" hidden="false" outlineLevel="0" max="22" min="22" style="0" width="10.22"/>
    <col collapsed="false" customWidth="true" hidden="false" outlineLevel="0" max="23" min="23" style="0" width="7.22"/>
    <col collapsed="false" customWidth="true" hidden="false" outlineLevel="0" max="24" min="24" style="0" width="5.22"/>
    <col collapsed="false" customWidth="true" hidden="false" outlineLevel="0" max="25" min="25" style="0" width="10.11"/>
    <col collapsed="false" customWidth="true" hidden="false" outlineLevel="0" max="27" min="26" style="0" width="7.34"/>
    <col collapsed="false" customWidth="false" hidden="false" outlineLevel="0" max="1024" min="65" style="27" width="8.67"/>
  </cols>
  <sheetData>
    <row r="1" customFormat="false" ht="14.4" hidden="false" customHeight="false" outlineLevel="0" collapsed="false"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0.4" hidden="false" customHeight="false" outlineLevel="0" collapsed="false">
      <c r="B2" s="29" t="s">
        <v>64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" hidden="false" customHeight="false" outlineLevel="0" collapsed="false">
      <c r="L5" s="30" t="s">
        <v>65</v>
      </c>
      <c r="M5" s="30"/>
      <c r="N5" s="30"/>
      <c r="O5" s="3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6" hidden="false" customHeight="false" outlineLevel="0" collapsed="false">
      <c r="L6" s="31" t="s">
        <v>66</v>
      </c>
      <c r="M6" s="31" t="s">
        <v>67</v>
      </c>
      <c r="N6" s="32" t="s">
        <v>68</v>
      </c>
      <c r="O6" s="32"/>
      <c r="U6" s="33"/>
      <c r="V6" s="33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M7" s="34"/>
      <c r="N7" s="34" t="s">
        <v>69</v>
      </c>
      <c r="O7" s="34" t="s">
        <v>70</v>
      </c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L8" s="35" t="s">
        <v>29</v>
      </c>
      <c r="M8" s="36" t="n">
        <f aca="false">RGF!C72</f>
        <v>10.3646106058744</v>
      </c>
      <c r="N8" s="35" t="n">
        <v>0</v>
      </c>
      <c r="O8" s="37" t="n">
        <f aca="false">RADIANS(N8)</f>
        <v>0</v>
      </c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L9" s="38" t="s">
        <v>71</v>
      </c>
      <c r="M9" s="39" t="n">
        <f aca="false">RGF!C73</f>
        <v>0.656079851351847</v>
      </c>
      <c r="N9" s="38" t="n">
        <v>-120</v>
      </c>
      <c r="O9" s="40" t="n">
        <f aca="false">RADIANS(N9)</f>
        <v>-2.0943951023932</v>
      </c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L10" s="41" t="s">
        <v>72</v>
      </c>
      <c r="M10" s="42" t="n">
        <f aca="false">RGF!C74</f>
        <v>0.656079851351847</v>
      </c>
      <c r="N10" s="41" t="n">
        <v>-240</v>
      </c>
      <c r="O10" s="43" t="n">
        <f aca="false">RADIANS(N10)</f>
        <v>-4.18879020478639</v>
      </c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L11" s="44" t="s">
        <v>73</v>
      </c>
      <c r="M11" s="45" t="n">
        <f aca="false">RGF!C75</f>
        <v>9.70853075452252</v>
      </c>
      <c r="N11" s="44" t="n">
        <v>0</v>
      </c>
      <c r="O11" s="46" t="n">
        <f aca="false">RADIANS(N11)</f>
        <v>0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4" hidden="false" customHeight="false" outlineLevel="0" collapsed="false"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4" hidden="false" customHeight="false" outlineLevel="0" collapsed="false">
      <c r="L13" s="47" t="s">
        <v>74</v>
      </c>
      <c r="M13" s="47"/>
      <c r="N13" s="47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4" hidden="false" customHeight="false" outlineLevel="0" collapsed="false"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" hidden="false" customHeight="false" outlineLevel="0" collapsed="false"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" hidden="false" customHeight="false" outlineLevel="0" collapsed="false">
      <c r="L16" s="30" t="s">
        <v>75</v>
      </c>
      <c r="M16" s="30"/>
      <c r="N16" s="30"/>
      <c r="O16" s="30"/>
      <c r="P16" s="3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6" hidden="false" customHeight="false" outlineLevel="0" collapsed="false">
      <c r="L17" s="48" t="s">
        <v>76</v>
      </c>
      <c r="M17" s="48"/>
      <c r="N17" s="48"/>
      <c r="O17" s="48"/>
      <c r="P17" s="48" t="s">
        <v>77</v>
      </c>
      <c r="V17" s="33"/>
      <c r="W17" s="33"/>
      <c r="X17" s="33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6" hidden="false" customHeight="false" outlineLevel="0" collapsed="false">
      <c r="L18" s="48" t="s">
        <v>66</v>
      </c>
      <c r="M18" s="48" t="s">
        <v>78</v>
      </c>
      <c r="N18" s="48" t="s">
        <v>79</v>
      </c>
      <c r="O18" s="48"/>
      <c r="P18" s="48"/>
      <c r="V18" s="33"/>
      <c r="W18" s="33"/>
      <c r="X18" s="33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6" hidden="false" customHeight="false" outlineLevel="0" collapsed="false">
      <c r="L19" s="48"/>
      <c r="M19" s="48"/>
      <c r="N19" s="49" t="s">
        <v>80</v>
      </c>
      <c r="O19" s="49" t="s">
        <v>81</v>
      </c>
      <c r="P19" s="49" t="s">
        <v>82</v>
      </c>
      <c r="V19" s="33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L20" s="50" t="str">
        <f aca="false">L8</f>
        <v>A</v>
      </c>
      <c r="M20" s="51" t="s">
        <v>83</v>
      </c>
      <c r="N20" s="52" t="n">
        <f aca="false">$N$27</f>
        <v>9.70853075452252</v>
      </c>
      <c r="O20" s="52" t="n">
        <f aca="false">$O$27</f>
        <v>0</v>
      </c>
      <c r="P20" s="50" t="str">
        <f aca="false">COMPLEX(ROUND((N21-N20),3),ROUND((O21-O20),3))</f>
        <v>10.365</v>
      </c>
      <c r="V20" s="33"/>
      <c r="W20" s="33"/>
      <c r="X20" s="33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4" hidden="false" customHeight="false" outlineLevel="0" collapsed="false">
      <c r="L21" s="50"/>
      <c r="M21" s="53" t="s">
        <v>84</v>
      </c>
      <c r="N21" s="54" t="n">
        <f aca="false">$N$20+$M$8*COS($O$8)</f>
        <v>20.0731413603969</v>
      </c>
      <c r="O21" s="54" t="n">
        <f aca="false">$O$20+$M$8*SIN($O$8)</f>
        <v>0</v>
      </c>
      <c r="P21" s="50"/>
      <c r="V21" s="33"/>
      <c r="W21" s="33"/>
      <c r="X21" s="33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4" hidden="false" customHeight="false" outlineLevel="0" collapsed="false">
      <c r="L22" s="55" t="str">
        <f aca="false">L9</f>
        <v>B</v>
      </c>
      <c r="M22" s="56" t="s">
        <v>83</v>
      </c>
      <c r="N22" s="57" t="n">
        <f aca="false">$N$27</f>
        <v>9.70853075452252</v>
      </c>
      <c r="O22" s="57" t="n">
        <f aca="false">$O$27</f>
        <v>0</v>
      </c>
      <c r="P22" s="55" t="str">
        <f aca="false">COMPLEX(ROUND((N23-N22),3),ROUND((O23-O22),3))</f>
        <v>-0.328-0.568i</v>
      </c>
      <c r="V22" s="33"/>
      <c r="W22" s="33"/>
      <c r="X22" s="33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4" hidden="false" customHeight="false" outlineLevel="0" collapsed="false">
      <c r="L23" s="55"/>
      <c r="M23" s="56" t="s">
        <v>84</v>
      </c>
      <c r="N23" s="57" t="n">
        <f aca="false">$N$22+$M$9*COS($O$9)</f>
        <v>9.3804908288466</v>
      </c>
      <c r="O23" s="57" t="n">
        <f aca="false">$O$22+$M$9*SIN($O$9)</f>
        <v>-0.568181818181818</v>
      </c>
      <c r="P23" s="55"/>
      <c r="V23" s="33"/>
      <c r="W23" s="33"/>
      <c r="X23" s="33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4" hidden="false" customHeight="false" outlineLevel="0" collapsed="false">
      <c r="L24" s="58" t="str">
        <f aca="false">L10</f>
        <v>C</v>
      </c>
      <c r="M24" s="59" t="s">
        <v>83</v>
      </c>
      <c r="N24" s="60" t="n">
        <f aca="false">$N$27</f>
        <v>9.70853075452252</v>
      </c>
      <c r="O24" s="60" t="n">
        <f aca="false">$O$27</f>
        <v>0</v>
      </c>
      <c r="P24" s="58" t="str">
        <f aca="false">COMPLEX(ROUND((N25-N24),3),ROUND((O25-O24),3))</f>
        <v>-0.328+0.568i</v>
      </c>
      <c r="V24" s="33"/>
      <c r="W24" s="33"/>
      <c r="X24" s="33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4" hidden="false" customHeight="false" outlineLevel="0" collapsed="false">
      <c r="L25" s="58"/>
      <c r="M25" s="59" t="s">
        <v>84</v>
      </c>
      <c r="N25" s="60" t="n">
        <f aca="false">$N$24+$M$10*COS($O$10)</f>
        <v>9.3804908288466</v>
      </c>
      <c r="O25" s="60" t="n">
        <f aca="false">$O$24+$M$10*SIN($O$10)</f>
        <v>0.568181818181818</v>
      </c>
      <c r="P25" s="58"/>
      <c r="V25" s="33"/>
      <c r="W25" s="33"/>
      <c r="X25" s="33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4" hidden="false" customHeight="false" outlineLevel="0" collapsed="false">
      <c r="C26" s="33"/>
      <c r="D26" s="33"/>
      <c r="E26" s="33"/>
      <c r="L26" s="61" t="str">
        <f aca="false">L11</f>
        <v>N</v>
      </c>
      <c r="M26" s="62" t="s">
        <v>83</v>
      </c>
      <c r="N26" s="63" t="n">
        <v>0</v>
      </c>
      <c r="O26" s="63" t="n">
        <v>0</v>
      </c>
      <c r="P26" s="61" t="str">
        <f aca="false">COMPLEX(ROUND((N27-N26),3),ROUND((O27-O26),3))</f>
        <v>9.709</v>
      </c>
      <c r="V26" s="33"/>
      <c r="W26" s="33"/>
      <c r="X26" s="33"/>
    </row>
    <row r="27" customFormat="false" ht="14.4" hidden="false" customHeight="false" outlineLevel="0" collapsed="false">
      <c r="C27" s="33"/>
      <c r="D27" s="33"/>
      <c r="E27" s="33"/>
      <c r="L27" s="61"/>
      <c r="M27" s="62" t="s">
        <v>84</v>
      </c>
      <c r="N27" s="63" t="n">
        <f aca="false">$M$11*COS($O$11)</f>
        <v>9.70853075452252</v>
      </c>
      <c r="O27" s="63" t="n">
        <f aca="false">$M$11*SIN($O$11)</f>
        <v>0</v>
      </c>
      <c r="P27" s="61"/>
      <c r="V27" s="33"/>
      <c r="W27" s="33"/>
      <c r="X27" s="33"/>
    </row>
    <row r="32" customFormat="false" ht="18" hidden="false" customHeight="false" outlineLevel="0" collapsed="false">
      <c r="B32" s="30" t="s">
        <v>85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customFormat="false" ht="15.6" hidden="false" customHeight="false" outlineLevel="0" collapsed="false"/>
    <row r="34" customFormat="false" ht="15.6" hidden="false" customHeight="false" outlineLevel="0" collapsed="false">
      <c r="L34" s="48" t="s">
        <v>76</v>
      </c>
      <c r="M34" s="48"/>
      <c r="N34" s="48"/>
      <c r="O34" s="48"/>
      <c r="P34" s="48" t="s">
        <v>77</v>
      </c>
      <c r="Q34" s="48" t="s">
        <v>86</v>
      </c>
      <c r="R34" s="48"/>
      <c r="S34" s="48"/>
    </row>
    <row r="35" customFormat="false" ht="15.6" hidden="false" customHeight="false" outlineLevel="0" collapsed="false">
      <c r="E35" s="64"/>
      <c r="L35" s="48" t="s">
        <v>66</v>
      </c>
      <c r="M35" s="48" t="s">
        <v>78</v>
      </c>
      <c r="N35" s="48" t="s">
        <v>79</v>
      </c>
      <c r="O35" s="48"/>
      <c r="P35" s="48"/>
      <c r="Q35" s="48" t="s">
        <v>67</v>
      </c>
      <c r="R35" s="48" t="s">
        <v>68</v>
      </c>
      <c r="S35" s="48"/>
    </row>
    <row r="36" customFormat="false" ht="15.6" hidden="false" customHeight="false" outlineLevel="0" collapsed="false">
      <c r="L36" s="48"/>
      <c r="M36" s="48"/>
      <c r="N36" s="49" t="s">
        <v>80</v>
      </c>
      <c r="O36" s="49" t="s">
        <v>81</v>
      </c>
      <c r="P36" s="49" t="s">
        <v>82</v>
      </c>
      <c r="Q36" s="48"/>
      <c r="R36" s="49" t="s">
        <v>87</v>
      </c>
      <c r="S36" s="49" t="s">
        <v>88</v>
      </c>
    </row>
    <row r="37" customFormat="false" ht="15.6" hidden="false" customHeight="false" outlineLevel="0" collapsed="false">
      <c r="L37" s="65" t="s">
        <v>89</v>
      </c>
      <c r="M37" s="65"/>
      <c r="N37" s="65"/>
      <c r="O37" s="65"/>
      <c r="P37" s="65"/>
      <c r="Q37" s="65"/>
      <c r="R37" s="65"/>
      <c r="S37" s="65"/>
    </row>
    <row r="38" customFormat="false" ht="14.4" hidden="false" customHeight="false" outlineLevel="0" collapsed="false">
      <c r="L38" s="66" t="s">
        <v>90</v>
      </c>
      <c r="M38" s="66" t="s">
        <v>84</v>
      </c>
      <c r="N38" s="67" t="n">
        <f aca="false">Q38*COS(S38)</f>
        <v>-0.5</v>
      </c>
      <c r="O38" s="67" t="n">
        <f aca="false">Q38*SIN(S38)</f>
        <v>0.866025403784439</v>
      </c>
      <c r="P38" s="68" t="str">
        <f aca="false">COMPLEX(ROUND(N38,3),ROUND(O38,3))</f>
        <v>-0.5+0.866i</v>
      </c>
      <c r="Q38" s="68" t="n">
        <v>1</v>
      </c>
      <c r="R38" s="68" t="n">
        <v>120</v>
      </c>
      <c r="S38" s="69" t="n">
        <f aca="false">RADIANS(R38)</f>
        <v>2.0943951023932</v>
      </c>
    </row>
    <row r="39" customFormat="false" ht="14.4" hidden="false" customHeight="false" outlineLevel="0" collapsed="false">
      <c r="L39" s="70" t="s">
        <v>91</v>
      </c>
      <c r="M39" s="70" t="s">
        <v>84</v>
      </c>
      <c r="N39" s="71" t="n">
        <f aca="false">Q39*COS(S39)</f>
        <v>-0.5</v>
      </c>
      <c r="O39" s="71" t="n">
        <f aca="false">Q39*SIN(S39)</f>
        <v>-0.866025403784438</v>
      </c>
      <c r="P39" s="72" t="str">
        <f aca="false">COMPLEX(ROUND(N39,3),ROUND(O39,3))</f>
        <v>-0.5-0.866i</v>
      </c>
      <c r="Q39" s="72" t="n">
        <v>1</v>
      </c>
      <c r="R39" s="72" t="n">
        <v>240</v>
      </c>
      <c r="S39" s="73" t="n">
        <f aca="false">RADIANS(R39)</f>
        <v>4.18879020478639</v>
      </c>
    </row>
    <row r="40" customFormat="false" ht="15" hidden="false" customHeight="false" outlineLevel="0" collapsed="false">
      <c r="L40" s="65" t="s">
        <v>92</v>
      </c>
      <c r="M40" s="65"/>
      <c r="N40" s="65"/>
      <c r="O40" s="65"/>
      <c r="P40" s="65"/>
      <c r="Q40" s="65"/>
      <c r="R40" s="65"/>
      <c r="S40" s="65"/>
    </row>
    <row r="41" customFormat="false" ht="15" hidden="false" customHeight="false" outlineLevel="0" collapsed="false">
      <c r="L41" s="50" t="str">
        <f aca="false">$L$8&amp;"(0)"</f>
        <v>A(0)</v>
      </c>
      <c r="M41" s="51" t="s">
        <v>83</v>
      </c>
      <c r="N41" s="52" t="n">
        <f aca="false">N56</f>
        <v>16.8365307545225</v>
      </c>
      <c r="O41" s="52" t="n">
        <f aca="false">O56</f>
        <v>0</v>
      </c>
      <c r="P41" s="50" t="str">
        <f aca="false">COMPLEX(ROUND(IMREAL(IMPRODUCT((1/3),(IMSUM($P$20,$P$22,$P$24)))),3),ROUND(IMAGINARY(IMPRODUCT((1/3),(IMSUM($P$20,$P$22,$P$24)))),3))</f>
        <v>3.236</v>
      </c>
      <c r="Q41" s="74" t="n">
        <f aca="false">IMABS(P41)</f>
        <v>3.236</v>
      </c>
      <c r="R41" s="74" t="n">
        <f aca="false">DEGREES(S41)</f>
        <v>0</v>
      </c>
      <c r="S41" s="75" t="n">
        <f aca="false">IMARGUMENT(P41)</f>
        <v>0</v>
      </c>
    </row>
    <row r="42" customFormat="false" ht="14.4" hidden="false" customHeight="false" outlineLevel="0" collapsed="false">
      <c r="L42" s="50" t="str">
        <f aca="false">V5&amp;"(0)"</f>
        <v>(0)</v>
      </c>
      <c r="M42" s="53" t="s">
        <v>84</v>
      </c>
      <c r="N42" s="54" t="n">
        <f aca="false">N41+IMREAL(P41)</f>
        <v>20.0725307545225</v>
      </c>
      <c r="O42" s="54" t="n">
        <f aca="false">O41+IMAGINARY(P41)</f>
        <v>0</v>
      </c>
      <c r="P42" s="50"/>
      <c r="Q42" s="74"/>
      <c r="R42" s="74"/>
      <c r="S42" s="75"/>
    </row>
    <row r="43" customFormat="false" ht="14.4" hidden="false" customHeight="false" outlineLevel="0" collapsed="false">
      <c r="B43" s="33"/>
      <c r="C43" s="33"/>
      <c r="D43" s="33"/>
      <c r="E43" s="33"/>
      <c r="L43" s="55" t="str">
        <f aca="false">$L$9&amp;"(0)"</f>
        <v>B(0)</v>
      </c>
      <c r="M43" s="56" t="s">
        <v>83</v>
      </c>
      <c r="N43" s="57" t="n">
        <f aca="false">N58</f>
        <v>6.14453075452252</v>
      </c>
      <c r="O43" s="57" t="n">
        <f aca="false">O58</f>
        <v>-0.568</v>
      </c>
      <c r="P43" s="55" t="str">
        <f aca="false">COMPLEX(ROUND(IMREAL(IMPRODUCT((1/3),(IMSUM($P$20,$P$22,$P$24)))),3),ROUND(IMAGINARY(IMPRODUCT((1/3),(IMSUM($P$20,$P$22,$P$24)))),3))</f>
        <v>3.236</v>
      </c>
      <c r="Q43" s="76" t="n">
        <f aca="false">IMABS(P43)</f>
        <v>3.236</v>
      </c>
      <c r="R43" s="76" t="n">
        <f aca="false">DEGREES(S43)</f>
        <v>0</v>
      </c>
      <c r="S43" s="77" t="n">
        <f aca="false">IMARGUMENT(P43)</f>
        <v>0</v>
      </c>
    </row>
    <row r="44" customFormat="false" ht="14.4" hidden="false" customHeight="false" outlineLevel="0" collapsed="false">
      <c r="L44" s="55"/>
      <c r="M44" s="56" t="s">
        <v>84</v>
      </c>
      <c r="N44" s="57" t="n">
        <f aca="false">N43+IMREAL(P43)</f>
        <v>9.38053075452252</v>
      </c>
      <c r="O44" s="57" t="n">
        <f aca="false">O43+IMAGINARY(P43)</f>
        <v>-0.568</v>
      </c>
      <c r="P44" s="55"/>
      <c r="Q44" s="76"/>
      <c r="R44" s="76"/>
      <c r="S44" s="77"/>
    </row>
    <row r="45" customFormat="false" ht="14.4" hidden="false" customHeight="false" outlineLevel="0" collapsed="false">
      <c r="L45" s="58" t="str">
        <f aca="false">$L$10&amp;"(0)"</f>
        <v>C(0)</v>
      </c>
      <c r="M45" s="59" t="s">
        <v>83</v>
      </c>
      <c r="N45" s="60" t="n">
        <f aca="false">N60</f>
        <v>6.14453075452252</v>
      </c>
      <c r="O45" s="60" t="n">
        <f aca="false">O60</f>
        <v>0.568</v>
      </c>
      <c r="P45" s="58" t="str">
        <f aca="false">COMPLEX(ROUND(IMREAL(IMPRODUCT((1/3),(IMSUM($P$20,$P$22,$P$24)))),3),ROUND(IMAGINARY(IMPRODUCT((1/3),(IMSUM($P$20,$P$22,$P$24)))),3))</f>
        <v>3.236</v>
      </c>
      <c r="Q45" s="78" t="n">
        <f aca="false">IMABS(P45)</f>
        <v>3.236</v>
      </c>
      <c r="R45" s="78" t="n">
        <f aca="false">DEGREES(S45)</f>
        <v>0</v>
      </c>
      <c r="S45" s="79" t="n">
        <f aca="false">IMARGUMENT(P45)</f>
        <v>0</v>
      </c>
    </row>
    <row r="46" customFormat="false" ht="14.4" hidden="false" customHeight="false" outlineLevel="0" collapsed="false">
      <c r="L46" s="58"/>
      <c r="M46" s="59" t="s">
        <v>84</v>
      </c>
      <c r="N46" s="60" t="n">
        <f aca="false">N45+IMREAL(P45)</f>
        <v>9.38053075452252</v>
      </c>
      <c r="O46" s="60" t="n">
        <f aca="false">O45+IMAGINARY(P45)</f>
        <v>0.568</v>
      </c>
      <c r="P46" s="58"/>
      <c r="Q46" s="78"/>
      <c r="R46" s="78"/>
      <c r="S46" s="79"/>
    </row>
    <row r="47" customFormat="false" ht="15" hidden="false" customHeight="false" outlineLevel="0" collapsed="false">
      <c r="L47" s="65" t="s">
        <v>93</v>
      </c>
      <c r="M47" s="65"/>
      <c r="N47" s="65"/>
      <c r="O47" s="65"/>
      <c r="P47" s="65"/>
      <c r="Q47" s="65"/>
      <c r="R47" s="65"/>
      <c r="S47" s="65"/>
      <c r="Z47" s="80"/>
    </row>
    <row r="48" customFormat="false" ht="15" hidden="false" customHeight="false" outlineLevel="0" collapsed="false">
      <c r="L48" s="50" t="str">
        <f aca="false">$L$8&amp;"(+)"</f>
        <v>A(+)</v>
      </c>
      <c r="M48" s="51" t="s">
        <v>83</v>
      </c>
      <c r="N48" s="52" t="n">
        <f aca="false">N20</f>
        <v>9.70853075452252</v>
      </c>
      <c r="O48" s="52" t="n">
        <f aca="false">O20</f>
        <v>0</v>
      </c>
      <c r="P48" s="50" t="str">
        <f aca="false">COMPLEX(ROUND(IMREAL(IMPRODUCT((1/3),(IMSUM($P$20,IMPRODUCT(P38,P22),IMPRODUCT(P24,P39))))),3),ROUND(IMAGINARY(IMPRODUCT((1/3),(IMSUM($P$20,IMPRODUCT(P38,P22),IMPRODUCT(P24,P39))))),3))</f>
        <v>3.892</v>
      </c>
      <c r="Q48" s="74" t="n">
        <f aca="false">IMABS(P48)</f>
        <v>3.892</v>
      </c>
      <c r="R48" s="74" t="n">
        <f aca="false">DEGREES(S48)</f>
        <v>0</v>
      </c>
      <c r="S48" s="75" t="n">
        <f aca="false">IMARGUMENT(P48)</f>
        <v>0</v>
      </c>
    </row>
    <row r="49" customFormat="false" ht="14.4" hidden="false" customHeight="false" outlineLevel="0" collapsed="false">
      <c r="L49" s="50" t="str">
        <f aca="false">V12&amp;"(0)"</f>
        <v>(0)</v>
      </c>
      <c r="M49" s="53" t="s">
        <v>84</v>
      </c>
      <c r="N49" s="54" t="n">
        <f aca="false">N48+IMREAL(P48)</f>
        <v>13.6005307545225</v>
      </c>
      <c r="O49" s="54" t="n">
        <f aca="false">O48+IMAGINARY(P48)</f>
        <v>0</v>
      </c>
      <c r="P49" s="50"/>
      <c r="Q49" s="74"/>
      <c r="R49" s="74"/>
      <c r="S49" s="75"/>
    </row>
    <row r="50" customFormat="false" ht="14.4" hidden="false" customHeight="false" outlineLevel="0" collapsed="false">
      <c r="L50" s="55" t="str">
        <f aca="false">$L$9&amp;"(+)"</f>
        <v>B(+)</v>
      </c>
      <c r="M50" s="56" t="s">
        <v>83</v>
      </c>
      <c r="N50" s="57" t="n">
        <f aca="false">N22</f>
        <v>9.70853075452252</v>
      </c>
      <c r="O50" s="57" t="n">
        <f aca="false">O22</f>
        <v>0</v>
      </c>
      <c r="P50" s="55" t="str">
        <f aca="false">COMPLEX(ROUND(IMREAL(IMPRODUCT(P48,P39)),3),ROUND(IMAGINARY(IMPRODUCT(P48,P39)),3))</f>
        <v>-1.946-3.37i</v>
      </c>
      <c r="Q50" s="76" t="n">
        <f aca="false">IMABS(P50)</f>
        <v>3.89150562122169</v>
      </c>
      <c r="R50" s="76" t="n">
        <f aca="false">DEGREES(S50)</f>
        <v>-120.004202554547</v>
      </c>
      <c r="S50" s="77" t="n">
        <f aca="false">IMARGUMENT(P50)</f>
        <v>-2.09446845080704</v>
      </c>
    </row>
    <row r="51" customFormat="false" ht="14.4" hidden="false" customHeight="false" outlineLevel="0" collapsed="false">
      <c r="L51" s="55"/>
      <c r="M51" s="56" t="s">
        <v>84</v>
      </c>
      <c r="N51" s="57" t="n">
        <f aca="false">N50+IMREAL(P50)</f>
        <v>7.76253075452252</v>
      </c>
      <c r="O51" s="57" t="n">
        <f aca="false">O50+IMAGINARY(P50)</f>
        <v>-3.37</v>
      </c>
      <c r="P51" s="55"/>
      <c r="Q51" s="76"/>
      <c r="R51" s="76"/>
      <c r="S51" s="77"/>
    </row>
    <row r="52" customFormat="false" ht="14.4" hidden="false" customHeight="false" outlineLevel="0" collapsed="false">
      <c r="L52" s="58" t="str">
        <f aca="false">$L$10&amp;"(+)"</f>
        <v>C(+)</v>
      </c>
      <c r="M52" s="59" t="s">
        <v>83</v>
      </c>
      <c r="N52" s="60" t="n">
        <f aca="false">N24</f>
        <v>9.70853075452252</v>
      </c>
      <c r="O52" s="60" t="n">
        <f aca="false">O24</f>
        <v>0</v>
      </c>
      <c r="P52" s="58" t="str">
        <f aca="false">COMPLEX(ROUND(IMREAL(IMPRODUCT(P48,P38)),3),ROUND(IMAGINARY(IMPRODUCT(P48,P38)),3))</f>
        <v>-1.946+3.37i</v>
      </c>
      <c r="Q52" s="78" t="n">
        <f aca="false">IMABS(P52)</f>
        <v>3.89150562122169</v>
      </c>
      <c r="R52" s="78" t="n">
        <f aca="false">DEGREES(S52)</f>
        <v>120.004202554547</v>
      </c>
      <c r="S52" s="79" t="n">
        <f aca="false">IMARGUMENT(P52)</f>
        <v>2.09446845080704</v>
      </c>
    </row>
    <row r="53" customFormat="false" ht="14.4" hidden="false" customHeight="false" outlineLevel="0" collapsed="false">
      <c r="L53" s="58"/>
      <c r="M53" s="59" t="s">
        <v>84</v>
      </c>
      <c r="N53" s="60" t="n">
        <f aca="false">N52+IMREAL(P52)</f>
        <v>7.76253075452252</v>
      </c>
      <c r="O53" s="60" t="n">
        <f aca="false">O52+IMAGINARY(P52)</f>
        <v>3.37</v>
      </c>
      <c r="P53" s="58"/>
      <c r="Q53" s="78"/>
      <c r="R53" s="78"/>
      <c r="S53" s="79"/>
    </row>
    <row r="54" customFormat="false" ht="15" hidden="false" customHeight="false" outlineLevel="0" collapsed="false">
      <c r="L54" s="65" t="s">
        <v>94</v>
      </c>
      <c r="M54" s="65"/>
      <c r="N54" s="65"/>
      <c r="O54" s="65"/>
      <c r="P54" s="65"/>
      <c r="Q54" s="65"/>
      <c r="R54" s="65"/>
      <c r="S54" s="65"/>
    </row>
    <row r="55" customFormat="false" ht="15" hidden="false" customHeight="false" outlineLevel="0" collapsed="false">
      <c r="L55" s="50" t="str">
        <f aca="false">$L$8&amp;"(-)"</f>
        <v>A(-)</v>
      </c>
      <c r="M55" s="51" t="s">
        <v>83</v>
      </c>
      <c r="N55" s="52" t="n">
        <f aca="false">N49</f>
        <v>13.6005307545225</v>
      </c>
      <c r="O55" s="52" t="n">
        <f aca="false">O49</f>
        <v>0</v>
      </c>
      <c r="P55" s="50" t="str">
        <f aca="false">COMPLEX(ROUND(IMREAL(IMPRODUCT((1/3),(IMSUM($P$20,IMPRODUCT(P39,P22),IMPRODUCT(P24,P38))))),3),ROUND(IMAGINARY(IMPRODUCT((1/3),(IMSUM($P$20,IMPRODUCT(P39,P22),IMPRODUCT(P24,P38))))),3))</f>
        <v>3.236</v>
      </c>
      <c r="Q55" s="74" t="n">
        <f aca="false">IMABS(P55)</f>
        <v>3.236</v>
      </c>
      <c r="R55" s="74" t="n">
        <f aca="false">DEGREES(S55)</f>
        <v>0</v>
      </c>
      <c r="S55" s="75" t="n">
        <f aca="false">IMARGUMENT(P55)</f>
        <v>0</v>
      </c>
    </row>
    <row r="56" customFormat="false" ht="14.4" hidden="false" customHeight="false" outlineLevel="0" collapsed="false">
      <c r="C56" s="26"/>
      <c r="D56" s="64"/>
      <c r="L56" s="50" t="str">
        <f aca="false">V19&amp;"(0)"</f>
        <v>(0)</v>
      </c>
      <c r="M56" s="53" t="s">
        <v>84</v>
      </c>
      <c r="N56" s="54" t="n">
        <f aca="false">N55+IMREAL(P55)</f>
        <v>16.8365307545225</v>
      </c>
      <c r="O56" s="54" t="n">
        <f aca="false">O55+IMAGINARY(P55)</f>
        <v>0</v>
      </c>
      <c r="P56" s="50"/>
      <c r="Q56" s="74"/>
      <c r="R56" s="74"/>
      <c r="S56" s="75"/>
    </row>
    <row r="57" customFormat="false" ht="14.4" hidden="false" customHeight="false" outlineLevel="0" collapsed="false">
      <c r="L57" s="55" t="str">
        <f aca="false">$L$9&amp;"(-)"</f>
        <v>B(-)</v>
      </c>
      <c r="M57" s="56" t="s">
        <v>83</v>
      </c>
      <c r="N57" s="57" t="n">
        <f aca="false">N51</f>
        <v>7.76253075452252</v>
      </c>
      <c r="O57" s="57" t="n">
        <f aca="false">O51</f>
        <v>-3.37</v>
      </c>
      <c r="P57" s="55" t="str">
        <f aca="false">COMPLEX(ROUND(IMREAL(IMPRODUCT(P38,P55)),3),ROUND(IMAGINARY(IMPRODUCT(P38,P55)),3))</f>
        <v>-1.618+2.802i</v>
      </c>
      <c r="Q57" s="76" t="n">
        <f aca="false">IMABS(P57)</f>
        <v>3.23560318951506</v>
      </c>
      <c r="R57" s="76" t="n">
        <f aca="false">DEGREES(S57)</f>
        <v>120.0040569417</v>
      </c>
      <c r="S57" s="77" t="n">
        <f aca="false">IMARGUMENT(P57)</f>
        <v>2.09446590938342</v>
      </c>
    </row>
    <row r="58" customFormat="false" ht="14.4" hidden="false" customHeight="false" outlineLevel="0" collapsed="false">
      <c r="L58" s="55"/>
      <c r="M58" s="56" t="s">
        <v>84</v>
      </c>
      <c r="N58" s="57" t="n">
        <f aca="false">N57+IMREAL(P57)</f>
        <v>6.14453075452252</v>
      </c>
      <c r="O58" s="57" t="n">
        <f aca="false">O57+IMAGINARY(P57)</f>
        <v>-0.568</v>
      </c>
      <c r="P58" s="55"/>
      <c r="Q58" s="76"/>
      <c r="R58" s="76"/>
      <c r="S58" s="77"/>
    </row>
    <row r="59" customFormat="false" ht="14.4" hidden="false" customHeight="false" outlineLevel="0" collapsed="false">
      <c r="L59" s="58" t="str">
        <f aca="false">$L$10&amp;"(-)"</f>
        <v>C(-)</v>
      </c>
      <c r="M59" s="59" t="s">
        <v>83</v>
      </c>
      <c r="N59" s="60" t="n">
        <f aca="false">N53</f>
        <v>7.76253075452252</v>
      </c>
      <c r="O59" s="60" t="n">
        <f aca="false">O53</f>
        <v>3.37</v>
      </c>
      <c r="P59" s="58" t="str">
        <f aca="false">COMPLEX(ROUND(IMREAL(IMPRODUCT(P39,P55)),3),ROUND(IMAGINARY(IMPRODUCT(P39,P55)),3))</f>
        <v>-1.618-2.802i</v>
      </c>
      <c r="Q59" s="78" t="n">
        <f aca="false">IMABS(P59)</f>
        <v>3.23560318951506</v>
      </c>
      <c r="R59" s="78" t="n">
        <f aca="false">DEGREES(S59)</f>
        <v>-120.0040569417</v>
      </c>
      <c r="S59" s="79" t="n">
        <f aca="false">IMARGUMENT(P59)</f>
        <v>-2.09446590938342</v>
      </c>
    </row>
    <row r="60" customFormat="false" ht="14.4" hidden="false" customHeight="false" outlineLevel="0" collapsed="false">
      <c r="L60" s="58"/>
      <c r="M60" s="59" t="s">
        <v>84</v>
      </c>
      <c r="N60" s="60" t="n">
        <f aca="false">N59+IMREAL(P59)</f>
        <v>6.14453075452252</v>
      </c>
      <c r="O60" s="60" t="n">
        <f aca="false">O59+IMAGINARY(P59)</f>
        <v>0.568</v>
      </c>
      <c r="P60" s="58"/>
      <c r="Q60" s="78"/>
      <c r="R60" s="78"/>
      <c r="S60" s="79"/>
    </row>
  </sheetData>
  <mergeCells count="95">
    <mergeCell ref="B2:S2"/>
    <mergeCell ref="L5:O5"/>
    <mergeCell ref="N6:O6"/>
    <mergeCell ref="U6:V6"/>
    <mergeCell ref="L13:N13"/>
    <mergeCell ref="L16:P16"/>
    <mergeCell ref="L17:O17"/>
    <mergeCell ref="P17:P18"/>
    <mergeCell ref="V17:X17"/>
    <mergeCell ref="L18:L19"/>
    <mergeCell ref="M18:M19"/>
    <mergeCell ref="N18:O18"/>
    <mergeCell ref="V18:V19"/>
    <mergeCell ref="W18:X18"/>
    <mergeCell ref="L20:L21"/>
    <mergeCell ref="P20:P21"/>
    <mergeCell ref="V20:V21"/>
    <mergeCell ref="W20:W21"/>
    <mergeCell ref="X20:X21"/>
    <mergeCell ref="L22:L23"/>
    <mergeCell ref="P22:P23"/>
    <mergeCell ref="V22:V23"/>
    <mergeCell ref="W22:W23"/>
    <mergeCell ref="X22:X23"/>
    <mergeCell ref="L24:L25"/>
    <mergeCell ref="P24:P25"/>
    <mergeCell ref="V24:V25"/>
    <mergeCell ref="W24:W25"/>
    <mergeCell ref="X24:X25"/>
    <mergeCell ref="C26:E26"/>
    <mergeCell ref="L26:L27"/>
    <mergeCell ref="P26:P27"/>
    <mergeCell ref="V26:V27"/>
    <mergeCell ref="W26:W27"/>
    <mergeCell ref="X26:X27"/>
    <mergeCell ref="C27:E27"/>
    <mergeCell ref="B32:S32"/>
    <mergeCell ref="L34:O34"/>
    <mergeCell ref="P34:P35"/>
    <mergeCell ref="Q34:S34"/>
    <mergeCell ref="L35:L36"/>
    <mergeCell ref="M35:M36"/>
    <mergeCell ref="N35:O35"/>
    <mergeCell ref="Q35:Q36"/>
    <mergeCell ref="R35:S35"/>
    <mergeCell ref="L37:S37"/>
    <mergeCell ref="L40:S40"/>
    <mergeCell ref="L41:L42"/>
    <mergeCell ref="P41:P42"/>
    <mergeCell ref="Q41:Q42"/>
    <mergeCell ref="R41:R42"/>
    <mergeCell ref="S41:S42"/>
    <mergeCell ref="B43:E43"/>
    <mergeCell ref="L43:L44"/>
    <mergeCell ref="P43:P44"/>
    <mergeCell ref="Q43:Q44"/>
    <mergeCell ref="R43:R44"/>
    <mergeCell ref="S43:S44"/>
    <mergeCell ref="L45:L46"/>
    <mergeCell ref="P45:P46"/>
    <mergeCell ref="Q45:Q46"/>
    <mergeCell ref="R45:R46"/>
    <mergeCell ref="S45:S46"/>
    <mergeCell ref="L47:S47"/>
    <mergeCell ref="L48:L49"/>
    <mergeCell ref="P48:P49"/>
    <mergeCell ref="Q48:Q49"/>
    <mergeCell ref="R48:R49"/>
    <mergeCell ref="S48:S49"/>
    <mergeCell ref="L50:L51"/>
    <mergeCell ref="P50:P51"/>
    <mergeCell ref="Q50:Q51"/>
    <mergeCell ref="R50:R51"/>
    <mergeCell ref="S50:S51"/>
    <mergeCell ref="L52:L53"/>
    <mergeCell ref="P52:P53"/>
    <mergeCell ref="Q52:Q53"/>
    <mergeCell ref="R52:R53"/>
    <mergeCell ref="S52:S53"/>
    <mergeCell ref="L54:S54"/>
    <mergeCell ref="L55:L56"/>
    <mergeCell ref="P55:P56"/>
    <mergeCell ref="Q55:Q56"/>
    <mergeCell ref="R55:R56"/>
    <mergeCell ref="S55:S56"/>
    <mergeCell ref="L57:L58"/>
    <mergeCell ref="P57:P58"/>
    <mergeCell ref="Q57:Q58"/>
    <mergeCell ref="R57:R58"/>
    <mergeCell ref="S57:S58"/>
    <mergeCell ref="L59:L60"/>
    <mergeCell ref="P59:P60"/>
    <mergeCell ref="Q59:Q60"/>
    <mergeCell ref="R59:R60"/>
    <mergeCell ref="S59:S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2021-05-12T09:57:40Z</dcterms:created>
  <dc:creator/>
  <dc:description/>
  <dc:language>en-NZ</dc:language>
  <cp:lastModifiedBy/>
  <dcterms:modified xsi:type="dcterms:W3CDTF">2021-05-12T12:44:03Z</dcterms:modified>
  <cp:revision>27</cp:revision>
  <dc:subject/>
  <dc:title/>
</cp:coreProperties>
</file>