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G:\My Drive\Flu vaccine response project\Analysis on UGA1-5 cohorts\"/>
    </mc:Choice>
  </mc:AlternateContent>
  <xr:revisionPtr revIDLastSave="0" documentId="13_ncr:1_{BE260700-0CEF-42DA-BD25-E429E3D256E9}" xr6:coauthVersionLast="46" xr6:coauthVersionMax="46" xr10:uidLastSave="{00000000-0000-0000-0000-000000000000}"/>
  <bookViews>
    <workbookView xWindow="-108" yWindow="-108" windowWidth="23256" windowHeight="13176" tabRatio="775" activeTab="2" xr2:uid="{00000000-000D-0000-FFFF-FFFF00000000}"/>
  </bookViews>
  <sheets>
    <sheet name="UGA4 2019-20 Cohort" sheetId="100" r:id="rId1"/>
    <sheet name="UGA4 (19-20) HAIs" sheetId="102" r:id="rId2"/>
    <sheet name="UGA4 (19-20) ELISAs" sheetId="101" r:id="rId3"/>
  </sheets>
  <definedNames>
    <definedName name="_xlnm.Print_Area" localSheetId="1">'UGA4 (19-20) HAIs'!$DE$7:$ED$41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U7" i="102" l="1"/>
  <c r="CV7" i="102"/>
  <c r="CW7" i="102"/>
  <c r="CX7" i="102"/>
  <c r="CY7" i="102"/>
  <c r="CZ7" i="102"/>
  <c r="DA7" i="102"/>
  <c r="DB7" i="102"/>
  <c r="CU8" i="102"/>
  <c r="CY8" i="102" s="1"/>
  <c r="CV8" i="102"/>
  <c r="CZ8" i="102" s="1"/>
  <c r="CW8" i="102"/>
  <c r="DA8" i="102" s="1"/>
  <c r="CX8" i="102"/>
  <c r="DB8" i="102" s="1"/>
  <c r="CU9" i="102"/>
  <c r="CV9" i="102"/>
  <c r="CZ9" i="102" s="1"/>
  <c r="CW9" i="102"/>
  <c r="DA9" i="102" s="1"/>
  <c r="CX9" i="102"/>
  <c r="DB9" i="102" s="1"/>
  <c r="CY9" i="102"/>
  <c r="DE9" i="102"/>
  <c r="DP9" i="102" s="1"/>
  <c r="DG9" i="102"/>
  <c r="DH9" i="102"/>
  <c r="DM9" i="102"/>
  <c r="DN9" i="102"/>
  <c r="DO9" i="102" s="1"/>
  <c r="DS9" i="102"/>
  <c r="DT9" i="102"/>
  <c r="DU9" i="102"/>
  <c r="DY9" i="102"/>
  <c r="DZ9" i="102"/>
  <c r="EA9" i="102" s="1"/>
  <c r="CU10" i="102"/>
  <c r="CY10" i="102" s="1"/>
  <c r="CV10" i="102"/>
  <c r="CW10" i="102"/>
  <c r="CX10" i="102"/>
  <c r="DB10" i="102"/>
  <c r="DE10" i="102"/>
  <c r="DG10" i="102"/>
  <c r="DH10" i="102"/>
  <c r="DJ10" i="102"/>
  <c r="DK10" i="102"/>
  <c r="DM10" i="102"/>
  <c r="DN10" i="102"/>
  <c r="DO10" i="102"/>
  <c r="DP10" i="102"/>
  <c r="DQ10" i="102"/>
  <c r="DS10" i="102"/>
  <c r="DT10" i="102"/>
  <c r="DU10" i="102" s="1"/>
  <c r="DV10" i="102"/>
  <c r="DW10" i="102"/>
  <c r="DY10" i="102"/>
  <c r="DZ10" i="102"/>
  <c r="EA10" i="102" s="1"/>
  <c r="EB10" i="102"/>
  <c r="EC10" i="102"/>
  <c r="CU11" i="102"/>
  <c r="CV11" i="102"/>
  <c r="CW11" i="102"/>
  <c r="CX11" i="102"/>
  <c r="CY11" i="102"/>
  <c r="DA11" i="102"/>
  <c r="DE11" i="102"/>
  <c r="DK11" i="102" s="1"/>
  <c r="DG11" i="102"/>
  <c r="DI11" i="102" s="1"/>
  <c r="DH11" i="102"/>
  <c r="DJ11" i="102"/>
  <c r="DM11" i="102"/>
  <c r="DO11" i="102" s="1"/>
  <c r="DN11" i="102"/>
  <c r="DS11" i="102"/>
  <c r="DT11" i="102"/>
  <c r="DV11" i="102"/>
  <c r="DY11" i="102"/>
  <c r="DZ11" i="102"/>
  <c r="CU12" i="102"/>
  <c r="CY12" i="102" s="1"/>
  <c r="CV12" i="102"/>
  <c r="CW12" i="102"/>
  <c r="CX12" i="102"/>
  <c r="CZ12" i="102"/>
  <c r="DA12" i="102"/>
  <c r="DE12" i="102"/>
  <c r="DP12" i="102" s="1"/>
  <c r="DG12" i="102"/>
  <c r="DH12" i="102"/>
  <c r="DI12" i="102" s="1"/>
  <c r="DJ12" i="102"/>
  <c r="DM12" i="102"/>
  <c r="DN12" i="102"/>
  <c r="DO12" i="102" s="1"/>
  <c r="DS12" i="102"/>
  <c r="DT12" i="102"/>
  <c r="DU12" i="102" s="1"/>
  <c r="DV12" i="102"/>
  <c r="DY12" i="102"/>
  <c r="DZ12" i="102"/>
  <c r="EA12" i="102" s="1"/>
  <c r="CU13" i="102"/>
  <c r="CV13" i="102"/>
  <c r="CW13" i="102"/>
  <c r="DA13" i="102" s="1"/>
  <c r="CX13" i="102"/>
  <c r="CY13" i="102"/>
  <c r="CZ13" i="102"/>
  <c r="DB13" i="102"/>
  <c r="DE13" i="102"/>
  <c r="DK13" i="102" s="1"/>
  <c r="DG13" i="102"/>
  <c r="DH13" i="102"/>
  <c r="DI13" i="102" s="1"/>
  <c r="DJ13" i="102"/>
  <c r="DM13" i="102"/>
  <c r="DN13" i="102"/>
  <c r="DP13" i="102"/>
  <c r="DS13" i="102"/>
  <c r="DT13" i="102"/>
  <c r="DV13" i="102"/>
  <c r="DY13" i="102"/>
  <c r="DZ13" i="102"/>
  <c r="EB13" i="102"/>
  <c r="CU14" i="102"/>
  <c r="CV14" i="102"/>
  <c r="CW14" i="102"/>
  <c r="CX14" i="102"/>
  <c r="CY14" i="102"/>
  <c r="DC14" i="102" s="1"/>
  <c r="CZ14" i="102"/>
  <c r="DA14" i="102"/>
  <c r="DB14" i="102"/>
  <c r="DE14" i="102"/>
  <c r="DQ14" i="102" s="1"/>
  <c r="DG14" i="102"/>
  <c r="DH14" i="102"/>
  <c r="DM14" i="102"/>
  <c r="DN14" i="102"/>
  <c r="DO14" i="102" s="1"/>
  <c r="DS14" i="102"/>
  <c r="DT14" i="102"/>
  <c r="DY14" i="102"/>
  <c r="DZ14" i="102"/>
  <c r="CU15" i="102"/>
  <c r="CV15" i="102"/>
  <c r="CW15" i="102"/>
  <c r="DA15" i="102" s="1"/>
  <c r="CX15" i="102"/>
  <c r="CZ15" i="102"/>
  <c r="DB15" i="102"/>
  <c r="DE15" i="102"/>
  <c r="DG15" i="102"/>
  <c r="DH15" i="102"/>
  <c r="DI15" i="102" s="1"/>
  <c r="DM15" i="102"/>
  <c r="DN15" i="102"/>
  <c r="DO15" i="102" s="1"/>
  <c r="DS15" i="102"/>
  <c r="DT15" i="102"/>
  <c r="DU15" i="102"/>
  <c r="DY15" i="102"/>
  <c r="DZ15" i="102"/>
  <c r="EA15" i="102" s="1"/>
  <c r="CU16" i="102"/>
  <c r="CY16" i="102" s="1"/>
  <c r="CV16" i="102"/>
  <c r="CZ16" i="102" s="1"/>
  <c r="CW16" i="102"/>
  <c r="CX16" i="102"/>
  <c r="DB16" i="102"/>
  <c r="DE16" i="102"/>
  <c r="DG16" i="102"/>
  <c r="DH16" i="102"/>
  <c r="DJ16" i="102"/>
  <c r="DK16" i="102"/>
  <c r="DM16" i="102"/>
  <c r="DN16" i="102"/>
  <c r="DO16" i="102"/>
  <c r="DP16" i="102"/>
  <c r="DQ16" i="102"/>
  <c r="DS16" i="102"/>
  <c r="DT16" i="102"/>
  <c r="DU16" i="102" s="1"/>
  <c r="DV16" i="102"/>
  <c r="DW16" i="102"/>
  <c r="DY16" i="102"/>
  <c r="DZ16" i="102"/>
  <c r="EA16" i="102" s="1"/>
  <c r="EB16" i="102"/>
  <c r="EC16" i="102"/>
  <c r="CU17" i="102"/>
  <c r="CV17" i="102"/>
  <c r="CW17" i="102"/>
  <c r="CX17" i="102"/>
  <c r="DB17" i="102" s="1"/>
  <c r="CY17" i="102"/>
  <c r="DA17" i="102"/>
  <c r="DE17" i="102"/>
  <c r="DK17" i="102" s="1"/>
  <c r="DG17" i="102"/>
  <c r="DI17" i="102" s="1"/>
  <c r="DH17" i="102"/>
  <c r="DJ17" i="102"/>
  <c r="DM17" i="102"/>
  <c r="DN17" i="102"/>
  <c r="DS17" i="102"/>
  <c r="DT17" i="102"/>
  <c r="DU17" i="102"/>
  <c r="DV17" i="102"/>
  <c r="DY17" i="102"/>
  <c r="DZ17" i="102"/>
  <c r="CU18" i="102"/>
  <c r="CY18" i="102" s="1"/>
  <c r="CV18" i="102"/>
  <c r="CZ18" i="102" s="1"/>
  <c r="CW18" i="102"/>
  <c r="CX18" i="102"/>
  <c r="DB18" i="102" s="1"/>
  <c r="DA18" i="102"/>
  <c r="CU19" i="102"/>
  <c r="CV19" i="102"/>
  <c r="CW19" i="102"/>
  <c r="CX19" i="102"/>
  <c r="DB19" i="102" s="1"/>
  <c r="CY19" i="102"/>
  <c r="CZ19" i="102"/>
  <c r="DA19" i="102"/>
  <c r="CU20" i="102"/>
  <c r="CY20" i="102" s="1"/>
  <c r="CV20" i="102"/>
  <c r="CW20" i="102"/>
  <c r="DA20" i="102" s="1"/>
  <c r="CX20" i="102"/>
  <c r="DB20" i="102" s="1"/>
  <c r="CZ20" i="102"/>
  <c r="DE20" i="102"/>
  <c r="EC20" i="102" s="1"/>
  <c r="DG20" i="102"/>
  <c r="DI20" i="102" s="1"/>
  <c r="DH20" i="102"/>
  <c r="DM20" i="102"/>
  <c r="DN20" i="102"/>
  <c r="DO20" i="102" s="1"/>
  <c r="DS20" i="102"/>
  <c r="DT20" i="102"/>
  <c r="DU20" i="102"/>
  <c r="DY20" i="102"/>
  <c r="DZ20" i="102"/>
  <c r="EA20" i="102"/>
  <c r="CU21" i="102"/>
  <c r="CV21" i="102"/>
  <c r="CZ21" i="102" s="1"/>
  <c r="CW21" i="102"/>
  <c r="DA21" i="102" s="1"/>
  <c r="CX21" i="102"/>
  <c r="DB21" i="102" s="1"/>
  <c r="CY21" i="102"/>
  <c r="DE21" i="102"/>
  <c r="DJ21" i="102" s="1"/>
  <c r="DG21" i="102"/>
  <c r="DH21" i="102"/>
  <c r="DK21" i="102"/>
  <c r="DM21" i="102"/>
  <c r="DN21" i="102"/>
  <c r="DO21" i="102" s="1"/>
  <c r="DQ21" i="102"/>
  <c r="DS21" i="102"/>
  <c r="DT21" i="102"/>
  <c r="DW21" i="102"/>
  <c r="DY21" i="102"/>
  <c r="DZ21" i="102"/>
  <c r="EA21" i="102" s="1"/>
  <c r="EC21" i="102"/>
  <c r="CU22" i="102"/>
  <c r="CV22" i="102"/>
  <c r="CZ22" i="102" s="1"/>
  <c r="CW22" i="102"/>
  <c r="CX22" i="102"/>
  <c r="DB22" i="102" s="1"/>
  <c r="CY22" i="102"/>
  <c r="DA22" i="102"/>
  <c r="DE22" i="102"/>
  <c r="DG22" i="102"/>
  <c r="DH22" i="102"/>
  <c r="DJ22" i="102"/>
  <c r="DM22" i="102"/>
  <c r="DN22" i="102"/>
  <c r="DS22" i="102"/>
  <c r="DT22" i="102"/>
  <c r="DV22" i="102"/>
  <c r="DY22" i="102"/>
  <c r="DZ22" i="102"/>
  <c r="CU23" i="102"/>
  <c r="CY23" i="102" s="1"/>
  <c r="CV23" i="102"/>
  <c r="CW23" i="102"/>
  <c r="DA23" i="102" s="1"/>
  <c r="CX23" i="102"/>
  <c r="DB23" i="102" s="1"/>
  <c r="CZ23" i="102"/>
  <c r="DE23" i="102"/>
  <c r="DP23" i="102" s="1"/>
  <c r="DG23" i="102"/>
  <c r="DH23" i="102"/>
  <c r="DI23" i="102" s="1"/>
  <c r="DJ23" i="102"/>
  <c r="DK23" i="102"/>
  <c r="DM23" i="102"/>
  <c r="DN23" i="102"/>
  <c r="DO23" i="102" s="1"/>
  <c r="DS23" i="102"/>
  <c r="DT23" i="102"/>
  <c r="DV23" i="102"/>
  <c r="DW23" i="102"/>
  <c r="DY23" i="102"/>
  <c r="DZ23" i="102"/>
  <c r="CU24" i="102"/>
  <c r="CV24" i="102"/>
  <c r="CZ24" i="102" s="1"/>
  <c r="CW24" i="102"/>
  <c r="DA24" i="102" s="1"/>
  <c r="CX24" i="102"/>
  <c r="CY24" i="102"/>
  <c r="DB24" i="102"/>
  <c r="DE24" i="102"/>
  <c r="DW24" i="102" s="1"/>
  <c r="DG24" i="102"/>
  <c r="DH24" i="102"/>
  <c r="DI24" i="102" s="1"/>
  <c r="DM24" i="102"/>
  <c r="DN24" i="102"/>
  <c r="DQ24" i="102"/>
  <c r="DS24" i="102"/>
  <c r="DT24" i="102"/>
  <c r="DU24" i="102" s="1"/>
  <c r="DY24" i="102"/>
  <c r="DZ24" i="102"/>
  <c r="EA24" i="102" s="1"/>
  <c r="EC24" i="102"/>
  <c r="CU25" i="102"/>
  <c r="CV25" i="102"/>
  <c r="CZ25" i="102" s="1"/>
  <c r="CW25" i="102"/>
  <c r="DA25" i="102" s="1"/>
  <c r="CX25" i="102"/>
  <c r="DB25" i="102" s="1"/>
  <c r="CY25" i="102"/>
  <c r="DE25" i="102"/>
  <c r="EB25" i="102" s="1"/>
  <c r="DG25" i="102"/>
  <c r="DH25" i="102"/>
  <c r="DM25" i="102"/>
  <c r="DN25" i="102"/>
  <c r="DO25" i="102" s="1"/>
  <c r="DS25" i="102"/>
  <c r="DT25" i="102"/>
  <c r="DY25" i="102"/>
  <c r="EA25" i="102" s="1"/>
  <c r="DZ25" i="102"/>
  <c r="CU26" i="102"/>
  <c r="CY26" i="102" s="1"/>
  <c r="DC26" i="102" s="1"/>
  <c r="CV26" i="102"/>
  <c r="CW26" i="102"/>
  <c r="DA26" i="102" s="1"/>
  <c r="CX26" i="102"/>
  <c r="DB26" i="102" s="1"/>
  <c r="CZ26" i="102"/>
  <c r="DE26" i="102"/>
  <c r="DG26" i="102"/>
  <c r="DH26" i="102"/>
  <c r="DI26" i="102" s="1"/>
  <c r="DM26" i="102"/>
  <c r="DN26" i="102"/>
  <c r="DS26" i="102"/>
  <c r="DT26" i="102"/>
  <c r="DU26" i="102" s="1"/>
  <c r="DY26" i="102"/>
  <c r="DZ26" i="102"/>
  <c r="CU27" i="102"/>
  <c r="CV27" i="102"/>
  <c r="CZ27" i="102" s="1"/>
  <c r="CW27" i="102"/>
  <c r="DA27" i="102" s="1"/>
  <c r="CX27" i="102"/>
  <c r="DB27" i="102" s="1"/>
  <c r="CY27" i="102"/>
  <c r="DE27" i="102"/>
  <c r="DQ27" i="102" s="1"/>
  <c r="DG27" i="102"/>
  <c r="DH27" i="102"/>
  <c r="DM27" i="102"/>
  <c r="DN27" i="102"/>
  <c r="DS27" i="102"/>
  <c r="DT27" i="102"/>
  <c r="DW27" i="102"/>
  <c r="DY27" i="102"/>
  <c r="DZ27" i="102"/>
  <c r="EC27" i="102"/>
  <c r="CU28" i="102"/>
  <c r="CV28" i="102"/>
  <c r="CZ28" i="102" s="1"/>
  <c r="CW28" i="102"/>
  <c r="DA28" i="102" s="1"/>
  <c r="CX28" i="102"/>
  <c r="CY28" i="102"/>
  <c r="DE28" i="102"/>
  <c r="DG28" i="102"/>
  <c r="DH28" i="102"/>
  <c r="DI28" i="102" s="1"/>
  <c r="DM28" i="102"/>
  <c r="DN28" i="102"/>
  <c r="DO28" i="102"/>
  <c r="DS28" i="102"/>
  <c r="DT28" i="102"/>
  <c r="DY28" i="102"/>
  <c r="DZ28" i="102"/>
  <c r="EA28" i="102"/>
  <c r="CU29" i="102"/>
  <c r="CV29" i="102"/>
  <c r="CZ29" i="102" s="1"/>
  <c r="CW29" i="102"/>
  <c r="DA29" i="102" s="1"/>
  <c r="CX29" i="102"/>
  <c r="DB29" i="102" s="1"/>
  <c r="CU30" i="102"/>
  <c r="CV30" i="102"/>
  <c r="CW30" i="102"/>
  <c r="CX30" i="102"/>
  <c r="DB30" i="102" s="1"/>
  <c r="CY30" i="102"/>
  <c r="DC30" i="102" s="1"/>
  <c r="CZ30" i="102"/>
  <c r="DA30" i="102"/>
  <c r="CU31" i="102"/>
  <c r="CY31" i="102" s="1"/>
  <c r="CV31" i="102"/>
  <c r="CW31" i="102"/>
  <c r="DA31" i="102" s="1"/>
  <c r="CX31" i="102"/>
  <c r="DB31" i="102" s="1"/>
  <c r="CZ31" i="102"/>
  <c r="DE31" i="102"/>
  <c r="CU32" i="102"/>
  <c r="CV32" i="102"/>
  <c r="CW32" i="102"/>
  <c r="DA32" i="102" s="1"/>
  <c r="CX32" i="102"/>
  <c r="CY32" i="102"/>
  <c r="CZ32" i="102"/>
  <c r="DB32" i="102"/>
  <c r="DE32" i="102"/>
  <c r="CU33" i="102"/>
  <c r="CV33" i="102"/>
  <c r="CZ33" i="102" s="1"/>
  <c r="CW33" i="102"/>
  <c r="DA33" i="102" s="1"/>
  <c r="CX33" i="102"/>
  <c r="CY33" i="102"/>
  <c r="DE33" i="102"/>
  <c r="EB33" i="102" s="1"/>
  <c r="DG33" i="102"/>
  <c r="DH33" i="102"/>
  <c r="DM33" i="102"/>
  <c r="DN33" i="102"/>
  <c r="DO33" i="102"/>
  <c r="DS33" i="102"/>
  <c r="DT33" i="102"/>
  <c r="DU33" i="102"/>
  <c r="DY33" i="102"/>
  <c r="EA33" i="102" s="1"/>
  <c r="DZ33" i="102"/>
  <c r="CU34" i="102"/>
  <c r="CY34" i="102" s="1"/>
  <c r="CV34" i="102"/>
  <c r="CW34" i="102"/>
  <c r="CX34" i="102"/>
  <c r="DB34" i="102" s="1"/>
  <c r="CZ34" i="102"/>
  <c r="DA34" i="102"/>
  <c r="DE34" i="102"/>
  <c r="DG34" i="102"/>
  <c r="DH34" i="102"/>
  <c r="DI34" i="102" s="1"/>
  <c r="DJ34" i="102"/>
  <c r="DK34" i="102"/>
  <c r="DM34" i="102"/>
  <c r="DN34" i="102"/>
  <c r="DQ34" i="102"/>
  <c r="DS34" i="102"/>
  <c r="DT34" i="102"/>
  <c r="DV34" i="102"/>
  <c r="DW34" i="102"/>
  <c r="DY34" i="102"/>
  <c r="DZ34" i="102"/>
  <c r="EC34" i="102"/>
  <c r="CU35" i="102"/>
  <c r="CV35" i="102"/>
  <c r="CW35" i="102"/>
  <c r="DA35" i="102" s="1"/>
  <c r="CX35" i="102"/>
  <c r="DB35" i="102" s="1"/>
  <c r="CY35" i="102"/>
  <c r="CZ35" i="102"/>
  <c r="DE35" i="102"/>
  <c r="DG35" i="102"/>
  <c r="DI35" i="102" s="1"/>
  <c r="DK35" i="102"/>
  <c r="DM35" i="102"/>
  <c r="DN35" i="102"/>
  <c r="DQ35" i="102"/>
  <c r="DS35" i="102"/>
  <c r="DT35" i="102"/>
  <c r="DW35" i="102"/>
  <c r="DY35" i="102"/>
  <c r="DZ35" i="102"/>
  <c r="EA35" i="102" s="1"/>
  <c r="CU36" i="102"/>
  <c r="CV36" i="102"/>
  <c r="CW36" i="102"/>
  <c r="DA36" i="102" s="1"/>
  <c r="CX36" i="102"/>
  <c r="CY36" i="102"/>
  <c r="CZ36" i="102"/>
  <c r="DB36" i="102"/>
  <c r="DE36" i="102"/>
  <c r="DG36" i="102"/>
  <c r="DH36" i="102"/>
  <c r="DJ36" i="102"/>
  <c r="DK36" i="102"/>
  <c r="DM36" i="102"/>
  <c r="DN36" i="102"/>
  <c r="DO36" i="102"/>
  <c r="DP36" i="102"/>
  <c r="DQ36" i="102"/>
  <c r="DS36" i="102"/>
  <c r="DT36" i="102"/>
  <c r="DU36" i="102" s="1"/>
  <c r="DV36" i="102"/>
  <c r="DW36" i="102"/>
  <c r="DY36" i="102"/>
  <c r="DZ36" i="102"/>
  <c r="EB36" i="102"/>
  <c r="EC36" i="102"/>
  <c r="CU37" i="102"/>
  <c r="CV37" i="102"/>
  <c r="CW37" i="102"/>
  <c r="CX37" i="102"/>
  <c r="CY37" i="102"/>
  <c r="CZ37" i="102"/>
  <c r="DA37" i="102"/>
  <c r="DB37" i="102"/>
  <c r="DE37" i="102"/>
  <c r="DG37" i="102"/>
  <c r="DI37" i="102" s="1"/>
  <c r="DH37" i="102"/>
  <c r="DM37" i="102"/>
  <c r="DO37" i="102" s="1"/>
  <c r="DN37" i="102"/>
  <c r="DQ37" i="102"/>
  <c r="DS37" i="102"/>
  <c r="DT37" i="102"/>
  <c r="DU37" i="102" s="1"/>
  <c r="DY37" i="102"/>
  <c r="DZ37" i="102"/>
  <c r="EA37" i="102"/>
  <c r="CU38" i="102"/>
  <c r="CV38" i="102"/>
  <c r="CZ38" i="102" s="1"/>
  <c r="CW38" i="102"/>
  <c r="CX38" i="102"/>
  <c r="DB38" i="102" s="1"/>
  <c r="DA38" i="102"/>
  <c r="DE38" i="102"/>
  <c r="EC38" i="102" s="1"/>
  <c r="DG38" i="102"/>
  <c r="DH38" i="102"/>
  <c r="DM38" i="102"/>
  <c r="DN38" i="102"/>
  <c r="DO38" i="102" s="1"/>
  <c r="DS38" i="102"/>
  <c r="DT38" i="102"/>
  <c r="DY38" i="102"/>
  <c r="DZ38" i="102"/>
  <c r="EA38" i="102" s="1"/>
  <c r="CU39" i="102"/>
  <c r="CY39" i="102" s="1"/>
  <c r="CV39" i="102"/>
  <c r="CW39" i="102"/>
  <c r="CX39" i="102"/>
  <c r="DB39" i="102" s="1"/>
  <c r="CZ39" i="102"/>
  <c r="DA39" i="102"/>
  <c r="DC39" i="102"/>
  <c r="DE39" i="102"/>
  <c r="DG39" i="102"/>
  <c r="DH39" i="102"/>
  <c r="DJ39" i="102"/>
  <c r="DK39" i="102"/>
  <c r="DM39" i="102"/>
  <c r="DN39" i="102"/>
  <c r="DP39" i="102"/>
  <c r="DQ39" i="102"/>
  <c r="DS39" i="102"/>
  <c r="DT39" i="102"/>
  <c r="DV39" i="102"/>
  <c r="DW39" i="102"/>
  <c r="DY39" i="102"/>
  <c r="DZ39" i="102"/>
  <c r="EB39" i="102"/>
  <c r="EC39" i="102"/>
  <c r="CU40" i="102"/>
  <c r="CY40" i="102" s="1"/>
  <c r="CV40" i="102"/>
  <c r="CZ40" i="102" s="1"/>
  <c r="CW40" i="102"/>
  <c r="DA40" i="102" s="1"/>
  <c r="CX40" i="102"/>
  <c r="DB40" i="102" s="1"/>
  <c r="CU41" i="102"/>
  <c r="CV41" i="102"/>
  <c r="CZ41" i="102" s="1"/>
  <c r="CW41" i="102"/>
  <c r="DA41" i="102" s="1"/>
  <c r="CX41" i="102"/>
  <c r="DB41" i="102" s="1"/>
  <c r="CY41" i="102"/>
  <c r="CU42" i="102"/>
  <c r="CV42" i="102"/>
  <c r="CZ42" i="102" s="1"/>
  <c r="CW42" i="102"/>
  <c r="DA42" i="102" s="1"/>
  <c r="CX42" i="102"/>
  <c r="CY42" i="102"/>
  <c r="DB42" i="102"/>
  <c r="CU43" i="102"/>
  <c r="CV43" i="102"/>
  <c r="CW43" i="102"/>
  <c r="CX43" i="102"/>
  <c r="CY43" i="102"/>
  <c r="CZ43" i="102"/>
  <c r="DA43" i="102"/>
  <c r="DB43" i="102"/>
  <c r="CU44" i="102"/>
  <c r="CY44" i="102" s="1"/>
  <c r="CV44" i="102"/>
  <c r="CZ44" i="102" s="1"/>
  <c r="CW44" i="102"/>
  <c r="CX44" i="102"/>
  <c r="DB44" i="102" s="1"/>
  <c r="DA44" i="102"/>
  <c r="CU45" i="102"/>
  <c r="CY45" i="102" s="1"/>
  <c r="CV45" i="102"/>
  <c r="CZ45" i="102" s="1"/>
  <c r="CW45" i="102"/>
  <c r="DA45" i="102" s="1"/>
  <c r="CX45" i="102"/>
  <c r="DB45" i="102" s="1"/>
  <c r="CU46" i="102"/>
  <c r="CV46" i="102"/>
  <c r="CW46" i="102"/>
  <c r="CX46" i="102"/>
  <c r="DB46" i="102" s="1"/>
  <c r="CY46" i="102"/>
  <c r="CZ46" i="102"/>
  <c r="DA46" i="102"/>
  <c r="CU47" i="102"/>
  <c r="CY47" i="102" s="1"/>
  <c r="CV47" i="102"/>
  <c r="CZ47" i="102" s="1"/>
  <c r="CW47" i="102"/>
  <c r="DA47" i="102" s="1"/>
  <c r="CX47" i="102"/>
  <c r="DB47" i="102" s="1"/>
  <c r="CU48" i="102"/>
  <c r="CY48" i="102" s="1"/>
  <c r="CV48" i="102"/>
  <c r="CZ48" i="102" s="1"/>
  <c r="CW48" i="102"/>
  <c r="DA48" i="102" s="1"/>
  <c r="CX48" i="102"/>
  <c r="DB48" i="102" s="1"/>
  <c r="CU49" i="102"/>
  <c r="CV49" i="102"/>
  <c r="CW49" i="102"/>
  <c r="CX49" i="102"/>
  <c r="DB49" i="102" s="1"/>
  <c r="CY49" i="102"/>
  <c r="CZ49" i="102"/>
  <c r="DA49" i="102"/>
  <c r="CU50" i="102"/>
  <c r="CY50" i="102" s="1"/>
  <c r="CV50" i="102"/>
  <c r="CW50" i="102"/>
  <c r="DA50" i="102" s="1"/>
  <c r="CX50" i="102"/>
  <c r="DB50" i="102" s="1"/>
  <c r="CZ50" i="102"/>
  <c r="CU51" i="102"/>
  <c r="CY51" i="102" s="1"/>
  <c r="CV51" i="102"/>
  <c r="CW51" i="102"/>
  <c r="DA51" i="102" s="1"/>
  <c r="CX51" i="102"/>
  <c r="CZ51" i="102"/>
  <c r="DB51" i="102"/>
  <c r="CU52" i="102"/>
  <c r="CV52" i="102"/>
  <c r="CZ52" i="102" s="1"/>
  <c r="CW52" i="102"/>
  <c r="DA52" i="102" s="1"/>
  <c r="CX52" i="102"/>
  <c r="DB52" i="102" s="1"/>
  <c r="CY52" i="102"/>
  <c r="CU53" i="102"/>
  <c r="CY53" i="102" s="1"/>
  <c r="CV53" i="102"/>
  <c r="CW53" i="102"/>
  <c r="DA53" i="102" s="1"/>
  <c r="CX53" i="102"/>
  <c r="DB53" i="102" s="1"/>
  <c r="CZ53" i="102"/>
  <c r="CU54" i="102"/>
  <c r="CY54" i="102" s="1"/>
  <c r="CV54" i="102"/>
  <c r="CZ54" i="102" s="1"/>
  <c r="CW54" i="102"/>
  <c r="DA54" i="102" s="1"/>
  <c r="CX54" i="102"/>
  <c r="DB54" i="102"/>
  <c r="CU55" i="102"/>
  <c r="CY55" i="102" s="1"/>
  <c r="CV55" i="102"/>
  <c r="CZ55" i="102" s="1"/>
  <c r="CW55" i="102"/>
  <c r="CX55" i="102"/>
  <c r="DB55" i="102" s="1"/>
  <c r="DA55" i="102"/>
  <c r="CU56" i="102"/>
  <c r="CV56" i="102"/>
  <c r="CZ56" i="102" s="1"/>
  <c r="CW56" i="102"/>
  <c r="DA56" i="102" s="1"/>
  <c r="CX56" i="102"/>
  <c r="DB56" i="102" s="1"/>
  <c r="CY56" i="102"/>
  <c r="CU57" i="102"/>
  <c r="CY57" i="102" s="1"/>
  <c r="CV57" i="102"/>
  <c r="CW57" i="102"/>
  <c r="DA57" i="102" s="1"/>
  <c r="CX57" i="102"/>
  <c r="DB57" i="102" s="1"/>
  <c r="CZ57" i="102"/>
  <c r="CU58" i="102"/>
  <c r="CY58" i="102" s="1"/>
  <c r="CV58" i="102"/>
  <c r="CZ58" i="102" s="1"/>
  <c r="CW58" i="102"/>
  <c r="DA58" i="102" s="1"/>
  <c r="CX58" i="102"/>
  <c r="DB58" i="102" s="1"/>
  <c r="CU59" i="102"/>
  <c r="CV59" i="102"/>
  <c r="CW59" i="102"/>
  <c r="CX59" i="102"/>
  <c r="DB59" i="102" s="1"/>
  <c r="CY59" i="102"/>
  <c r="CZ59" i="102"/>
  <c r="DA59" i="102"/>
  <c r="CU60" i="102"/>
  <c r="CY60" i="102" s="1"/>
  <c r="CV60" i="102"/>
  <c r="CZ60" i="102" s="1"/>
  <c r="CW60" i="102"/>
  <c r="DA60" i="102" s="1"/>
  <c r="CX60" i="102"/>
  <c r="DB60" i="102" s="1"/>
  <c r="CU61" i="102"/>
  <c r="CV61" i="102"/>
  <c r="CW61" i="102"/>
  <c r="DA61" i="102" s="1"/>
  <c r="CX61" i="102"/>
  <c r="CY61" i="102"/>
  <c r="DB61" i="102"/>
  <c r="CU62" i="102"/>
  <c r="CV62" i="102"/>
  <c r="CZ62" i="102" s="1"/>
  <c r="CW62" i="102"/>
  <c r="DA62" i="102" s="1"/>
  <c r="CX62" i="102"/>
  <c r="DB62" i="102" s="1"/>
  <c r="CY62" i="102"/>
  <c r="CU63" i="102"/>
  <c r="CY63" i="102" s="1"/>
  <c r="CV63" i="102"/>
  <c r="CW63" i="102"/>
  <c r="DA63" i="102" s="1"/>
  <c r="CX63" i="102"/>
  <c r="DB63" i="102" s="1"/>
  <c r="CZ63" i="102"/>
  <c r="CU64" i="102"/>
  <c r="CV64" i="102"/>
  <c r="CZ64" i="102" s="1"/>
  <c r="CW64" i="102"/>
  <c r="DA64" i="102" s="1"/>
  <c r="CX64" i="102"/>
  <c r="DB64" i="102" s="1"/>
  <c r="CY64" i="102"/>
  <c r="CU65" i="102"/>
  <c r="CV65" i="102"/>
  <c r="CZ65" i="102" s="1"/>
  <c r="CW65" i="102"/>
  <c r="CX65" i="102"/>
  <c r="DB65" i="102" s="1"/>
  <c r="CY65" i="102"/>
  <c r="DA65" i="102"/>
  <c r="CU66" i="102"/>
  <c r="CY66" i="102" s="1"/>
  <c r="CV66" i="102"/>
  <c r="CZ66" i="102" s="1"/>
  <c r="CW66" i="102"/>
  <c r="DA66" i="102" s="1"/>
  <c r="CX66" i="102"/>
  <c r="DB66" i="102"/>
  <c r="CU67" i="102"/>
  <c r="CV67" i="102"/>
  <c r="CW67" i="102"/>
  <c r="CX67" i="102"/>
  <c r="DB67" i="102" s="1"/>
  <c r="CY67" i="102"/>
  <c r="CZ67" i="102"/>
  <c r="DA67" i="102"/>
  <c r="CU68" i="102"/>
  <c r="CV68" i="102"/>
  <c r="CZ68" i="102" s="1"/>
  <c r="CW68" i="102"/>
  <c r="DA68" i="102" s="1"/>
  <c r="CX68" i="102"/>
  <c r="CY68" i="102"/>
  <c r="DB68" i="102"/>
  <c r="CU69" i="102"/>
  <c r="CY69" i="102" s="1"/>
  <c r="CV69" i="102"/>
  <c r="CZ69" i="102" s="1"/>
  <c r="CW69" i="102"/>
  <c r="CX69" i="102"/>
  <c r="DB69" i="102" s="1"/>
  <c r="DA69" i="102"/>
  <c r="CU70" i="102"/>
  <c r="CV70" i="102"/>
  <c r="CW70" i="102"/>
  <c r="CX70" i="102"/>
  <c r="CY70" i="102"/>
  <c r="CZ70" i="102"/>
  <c r="DA70" i="102"/>
  <c r="DB70" i="102"/>
  <c r="CU71" i="102"/>
  <c r="CV71" i="102"/>
  <c r="CZ71" i="102" s="1"/>
  <c r="CW71" i="102"/>
  <c r="DA71" i="102" s="1"/>
  <c r="CX71" i="102"/>
  <c r="CY71" i="102"/>
  <c r="DB71" i="102"/>
  <c r="CU72" i="102"/>
  <c r="CY72" i="102" s="1"/>
  <c r="CV72" i="102"/>
  <c r="CZ72" i="102" s="1"/>
  <c r="CW72" i="102"/>
  <c r="DA72" i="102" s="1"/>
  <c r="CX72" i="102"/>
  <c r="DB72" i="102" s="1"/>
  <c r="CU73" i="102"/>
  <c r="CY73" i="102" s="1"/>
  <c r="CV73" i="102"/>
  <c r="CW73" i="102"/>
  <c r="DA73" i="102" s="1"/>
  <c r="CX73" i="102"/>
  <c r="DB73" i="102" s="1"/>
  <c r="CZ73" i="102"/>
  <c r="CU74" i="102"/>
  <c r="CV74" i="102"/>
  <c r="CW74" i="102"/>
  <c r="DA74" i="102" s="1"/>
  <c r="CX74" i="102"/>
  <c r="DB74" i="102" s="1"/>
  <c r="CY74" i="102"/>
  <c r="CZ74" i="102"/>
  <c r="CU75" i="102"/>
  <c r="CY75" i="102" s="1"/>
  <c r="CV75" i="102"/>
  <c r="CZ75" i="102" s="1"/>
  <c r="CW75" i="102"/>
  <c r="DA75" i="102" s="1"/>
  <c r="DC75" i="102" s="1"/>
  <c r="CX75" i="102"/>
  <c r="DB75" i="102"/>
  <c r="CU76" i="102"/>
  <c r="CV76" i="102"/>
  <c r="CZ76" i="102" s="1"/>
  <c r="CW76" i="102"/>
  <c r="CX76" i="102"/>
  <c r="DB76" i="102" s="1"/>
  <c r="CY76" i="102"/>
  <c r="DA76" i="102"/>
  <c r="CU77" i="102"/>
  <c r="CV77" i="102"/>
  <c r="CZ77" i="102" s="1"/>
  <c r="CW77" i="102"/>
  <c r="DA77" i="102" s="1"/>
  <c r="CX77" i="102"/>
  <c r="DB77" i="102" s="1"/>
  <c r="CY77" i="102"/>
  <c r="CU78" i="102"/>
  <c r="CY78" i="102" s="1"/>
  <c r="CV78" i="102"/>
  <c r="CZ78" i="102" s="1"/>
  <c r="CW78" i="102"/>
  <c r="DA78" i="102" s="1"/>
  <c r="CX78" i="102"/>
  <c r="DB78" i="102"/>
  <c r="CU79" i="102"/>
  <c r="CV79" i="102"/>
  <c r="CW79" i="102"/>
  <c r="CX79" i="102"/>
  <c r="DB79" i="102" s="1"/>
  <c r="CY79" i="102"/>
  <c r="DC79" i="102" s="1"/>
  <c r="CZ79" i="102"/>
  <c r="DA79" i="102"/>
  <c r="CU80" i="102"/>
  <c r="CY80" i="102" s="1"/>
  <c r="CV80" i="102"/>
  <c r="CZ80" i="102" s="1"/>
  <c r="CW80" i="102"/>
  <c r="CX80" i="102"/>
  <c r="DB80" i="102" s="1"/>
  <c r="DA80" i="102"/>
  <c r="CU81" i="102"/>
  <c r="CV81" i="102"/>
  <c r="CW81" i="102"/>
  <c r="CX81" i="102"/>
  <c r="DB81" i="102" s="1"/>
  <c r="CY81" i="102"/>
  <c r="CZ81" i="102"/>
  <c r="DA81" i="102"/>
  <c r="CU82" i="102"/>
  <c r="CY82" i="102" s="1"/>
  <c r="CV82" i="102"/>
  <c r="CZ82" i="102" s="1"/>
  <c r="CW82" i="102"/>
  <c r="DA82" i="102" s="1"/>
  <c r="CX82" i="102"/>
  <c r="DB82" i="102" s="1"/>
  <c r="CU83" i="102"/>
  <c r="CY83" i="102" s="1"/>
  <c r="CV83" i="102"/>
  <c r="CZ83" i="102" s="1"/>
  <c r="CW83" i="102"/>
  <c r="DA83" i="102" s="1"/>
  <c r="CX83" i="102"/>
  <c r="DB83" i="102" s="1"/>
  <c r="CU84" i="102"/>
  <c r="CY84" i="102" s="1"/>
  <c r="CV84" i="102"/>
  <c r="CZ84" i="102" s="1"/>
  <c r="CW84" i="102"/>
  <c r="CX84" i="102"/>
  <c r="DA84" i="102"/>
  <c r="DB84" i="102"/>
  <c r="CU85" i="102"/>
  <c r="CV85" i="102"/>
  <c r="CZ85" i="102" s="1"/>
  <c r="CW85" i="102"/>
  <c r="DA85" i="102" s="1"/>
  <c r="CX85" i="102"/>
  <c r="DB85" i="102" s="1"/>
  <c r="CY85" i="102"/>
  <c r="CU86" i="102"/>
  <c r="CV86" i="102"/>
  <c r="CZ86" i="102" s="1"/>
  <c r="CW86" i="102"/>
  <c r="DA86" i="102" s="1"/>
  <c r="CX86" i="102"/>
  <c r="DB86" i="102" s="1"/>
  <c r="CY86" i="102"/>
  <c r="CU87" i="102"/>
  <c r="CY87" i="102" s="1"/>
  <c r="CV87" i="102"/>
  <c r="CW87" i="102"/>
  <c r="CX87" i="102"/>
  <c r="DB87" i="102" s="1"/>
  <c r="CZ87" i="102"/>
  <c r="DA87" i="102"/>
  <c r="CU88" i="102"/>
  <c r="CV88" i="102"/>
  <c r="CZ88" i="102" s="1"/>
  <c r="CW88" i="102"/>
  <c r="DA88" i="102" s="1"/>
  <c r="CX88" i="102"/>
  <c r="CY88" i="102"/>
  <c r="DB88" i="102"/>
  <c r="CU89" i="102"/>
  <c r="CV89" i="102"/>
  <c r="CZ89" i="102" s="1"/>
  <c r="CW89" i="102"/>
  <c r="DA89" i="102" s="1"/>
  <c r="CX89" i="102"/>
  <c r="DB89" i="102" s="1"/>
  <c r="CY89" i="102"/>
  <c r="CU90" i="102"/>
  <c r="CV90" i="102"/>
  <c r="CZ90" i="102" s="1"/>
  <c r="CW90" i="102"/>
  <c r="CX90" i="102"/>
  <c r="DB90" i="102" s="1"/>
  <c r="DC90" i="102" s="1"/>
  <c r="CY90" i="102"/>
  <c r="DA90" i="102"/>
  <c r="CU91" i="102"/>
  <c r="CV91" i="102"/>
  <c r="CZ91" i="102" s="1"/>
  <c r="CW91" i="102"/>
  <c r="CX91" i="102"/>
  <c r="DB91" i="102" s="1"/>
  <c r="CY91" i="102"/>
  <c r="DA91" i="102"/>
  <c r="CU92" i="102"/>
  <c r="CV92" i="102"/>
  <c r="CZ92" i="102" s="1"/>
  <c r="CW92" i="102"/>
  <c r="DA92" i="102" s="1"/>
  <c r="CX92" i="102"/>
  <c r="DB92" i="102" s="1"/>
  <c r="CY92" i="102"/>
  <c r="CU93" i="102"/>
  <c r="CV93" i="102"/>
  <c r="CZ93" i="102" s="1"/>
  <c r="CW93" i="102"/>
  <c r="DA93" i="102" s="1"/>
  <c r="CX93" i="102"/>
  <c r="DB93" i="102" s="1"/>
  <c r="CY93" i="102"/>
  <c r="CU94" i="102"/>
  <c r="CV94" i="102"/>
  <c r="CZ94" i="102" s="1"/>
  <c r="CW94" i="102"/>
  <c r="CX94" i="102"/>
  <c r="DB94" i="102" s="1"/>
  <c r="CY94" i="102"/>
  <c r="DA94" i="102"/>
  <c r="CU95" i="102"/>
  <c r="CV95" i="102"/>
  <c r="CW95" i="102"/>
  <c r="CX95" i="102"/>
  <c r="CY95" i="102"/>
  <c r="CZ95" i="102"/>
  <c r="DA95" i="102"/>
  <c r="DB95" i="102"/>
  <c r="CU96" i="102"/>
  <c r="CY96" i="102" s="1"/>
  <c r="CV96" i="102"/>
  <c r="CZ96" i="102" s="1"/>
  <c r="CW96" i="102"/>
  <c r="DA96" i="102" s="1"/>
  <c r="CX96" i="102"/>
  <c r="DB96" i="102" s="1"/>
  <c r="CU97" i="102"/>
  <c r="CY97" i="102" s="1"/>
  <c r="CV97" i="102"/>
  <c r="CZ97" i="102" s="1"/>
  <c r="CW97" i="102"/>
  <c r="DA97" i="102" s="1"/>
  <c r="CX97" i="102"/>
  <c r="DB97" i="102"/>
  <c r="CU98" i="102"/>
  <c r="CY98" i="102" s="1"/>
  <c r="CV98" i="102"/>
  <c r="CZ98" i="102" s="1"/>
  <c r="CW98" i="102"/>
  <c r="DA98" i="102" s="1"/>
  <c r="CX98" i="102"/>
  <c r="DB98" i="102" s="1"/>
  <c r="CU99" i="102"/>
  <c r="CY99" i="102" s="1"/>
  <c r="CV99" i="102"/>
  <c r="CW99" i="102"/>
  <c r="DA99" i="102" s="1"/>
  <c r="CX99" i="102"/>
  <c r="CZ99" i="102"/>
  <c r="DB99" i="102"/>
  <c r="CU100" i="102"/>
  <c r="CY100" i="102" s="1"/>
  <c r="CV100" i="102"/>
  <c r="CZ100" i="102" s="1"/>
  <c r="CW100" i="102"/>
  <c r="CX100" i="102"/>
  <c r="DB100" i="102" s="1"/>
  <c r="DA100" i="102"/>
  <c r="CU101" i="102"/>
  <c r="CY101" i="102" s="1"/>
  <c r="CV101" i="102"/>
  <c r="CZ101" i="102" s="1"/>
  <c r="CW101" i="102"/>
  <c r="DA101" i="102" s="1"/>
  <c r="CX101" i="102"/>
  <c r="DB101" i="102"/>
  <c r="CU102" i="102"/>
  <c r="CV102" i="102"/>
  <c r="CW102" i="102"/>
  <c r="CX102" i="102"/>
  <c r="CY102" i="102"/>
  <c r="CZ102" i="102"/>
  <c r="DA102" i="102"/>
  <c r="DB102" i="102"/>
  <c r="CU103" i="102"/>
  <c r="CY103" i="102" s="1"/>
  <c r="CV103" i="102"/>
  <c r="CW103" i="102"/>
  <c r="DA103" i="102" s="1"/>
  <c r="CX103" i="102"/>
  <c r="CZ103" i="102"/>
  <c r="DB103" i="102"/>
  <c r="CU104" i="102"/>
  <c r="CV104" i="102"/>
  <c r="CZ104" i="102" s="1"/>
  <c r="CW104" i="102"/>
  <c r="DA104" i="102" s="1"/>
  <c r="CX104" i="102"/>
  <c r="DB104" i="102" s="1"/>
  <c r="CY104" i="102"/>
  <c r="CU105" i="102"/>
  <c r="CV105" i="102"/>
  <c r="CW105" i="102"/>
  <c r="DA105" i="102" s="1"/>
  <c r="CX105" i="102"/>
  <c r="DB105" i="102" s="1"/>
  <c r="CY105" i="102"/>
  <c r="CZ105" i="102"/>
  <c r="CU106" i="102"/>
  <c r="CY106" i="102" s="1"/>
  <c r="CV106" i="102"/>
  <c r="CZ106" i="102" s="1"/>
  <c r="CW106" i="102"/>
  <c r="CX106" i="102"/>
  <c r="DA106" i="102"/>
  <c r="DB106" i="102"/>
  <c r="CU107" i="102"/>
  <c r="CY107" i="102" s="1"/>
  <c r="CV107" i="102"/>
  <c r="CZ107" i="102" s="1"/>
  <c r="CW107" i="102"/>
  <c r="DA107" i="102" s="1"/>
  <c r="CX107" i="102"/>
  <c r="DB107" i="102" s="1"/>
  <c r="CU108" i="102"/>
  <c r="CV108" i="102"/>
  <c r="CZ108" i="102" s="1"/>
  <c r="CW108" i="102"/>
  <c r="CX108" i="102"/>
  <c r="DB108" i="102" s="1"/>
  <c r="CY108" i="102"/>
  <c r="DA108" i="102"/>
  <c r="CU109" i="102"/>
  <c r="CY109" i="102" s="1"/>
  <c r="CV109" i="102"/>
  <c r="CZ109" i="102" s="1"/>
  <c r="CW109" i="102"/>
  <c r="CX109" i="102"/>
  <c r="DB109" i="102" s="1"/>
  <c r="DA109" i="102"/>
  <c r="CU110" i="102"/>
  <c r="CV110" i="102"/>
  <c r="CZ110" i="102" s="1"/>
  <c r="CW110" i="102"/>
  <c r="DA110" i="102" s="1"/>
  <c r="CX110" i="102"/>
  <c r="DB110" i="102" s="1"/>
  <c r="CY110" i="102"/>
  <c r="CU111" i="102"/>
  <c r="CY111" i="102" s="1"/>
  <c r="CV111" i="102"/>
  <c r="CZ111" i="102" s="1"/>
  <c r="CW111" i="102"/>
  <c r="CX111" i="102"/>
  <c r="DB111" i="102" s="1"/>
  <c r="DA111" i="102"/>
  <c r="CU112" i="102"/>
  <c r="CY112" i="102" s="1"/>
  <c r="CV112" i="102"/>
  <c r="CZ112" i="102" s="1"/>
  <c r="CW112" i="102"/>
  <c r="DA112" i="102" s="1"/>
  <c r="CX112" i="102"/>
  <c r="DB112" i="102" s="1"/>
  <c r="CU113" i="102"/>
  <c r="CY113" i="102" s="1"/>
  <c r="CV113" i="102"/>
  <c r="CZ113" i="102" s="1"/>
  <c r="CW113" i="102"/>
  <c r="DA113" i="102" s="1"/>
  <c r="CX113" i="102"/>
  <c r="DB113" i="102"/>
  <c r="CU114" i="102"/>
  <c r="CY114" i="102" s="1"/>
  <c r="CV114" i="102"/>
  <c r="CW114" i="102"/>
  <c r="CX114" i="102"/>
  <c r="DB114" i="102" s="1"/>
  <c r="CZ114" i="102"/>
  <c r="DA114" i="102"/>
  <c r="DC114" i="102"/>
  <c r="CU115" i="102"/>
  <c r="CV115" i="102"/>
  <c r="CW115" i="102"/>
  <c r="CX115" i="102"/>
  <c r="DB115" i="102" s="1"/>
  <c r="DC115" i="102" s="1"/>
  <c r="CY115" i="102"/>
  <c r="CZ115" i="102"/>
  <c r="DA115" i="102"/>
  <c r="CU116" i="102"/>
  <c r="CY116" i="102" s="1"/>
  <c r="CV116" i="102"/>
  <c r="CZ116" i="102" s="1"/>
  <c r="CW116" i="102"/>
  <c r="DA116" i="102" s="1"/>
  <c r="CX116" i="102"/>
  <c r="DB116" i="102"/>
  <c r="CU117" i="102"/>
  <c r="CV117" i="102"/>
  <c r="CW117" i="102"/>
  <c r="CX117" i="102"/>
  <c r="DB117" i="102" s="1"/>
  <c r="CY117" i="102"/>
  <c r="CZ117" i="102"/>
  <c r="DA117" i="102"/>
  <c r="CU118" i="102"/>
  <c r="CV118" i="102"/>
  <c r="CZ118" i="102" s="1"/>
  <c r="CW118" i="102"/>
  <c r="DA118" i="102" s="1"/>
  <c r="CX118" i="102"/>
  <c r="DB118" i="102" s="1"/>
  <c r="CY118" i="102"/>
  <c r="CU119" i="102"/>
  <c r="CV119" i="102"/>
  <c r="CW119" i="102"/>
  <c r="CX119" i="102"/>
  <c r="CY119" i="102"/>
  <c r="CZ119" i="102"/>
  <c r="DA119" i="102"/>
  <c r="DB119" i="102"/>
  <c r="CU120" i="102"/>
  <c r="CY120" i="102" s="1"/>
  <c r="CV120" i="102"/>
  <c r="CZ120" i="102" s="1"/>
  <c r="CW120" i="102"/>
  <c r="CX120" i="102"/>
  <c r="DB120" i="102" s="1"/>
  <c r="DA120" i="102"/>
  <c r="CU121" i="102"/>
  <c r="CY121" i="102" s="1"/>
  <c r="CV121" i="102"/>
  <c r="CZ121" i="102" s="1"/>
  <c r="CW121" i="102"/>
  <c r="DA121" i="102" s="1"/>
  <c r="CX121" i="102"/>
  <c r="DB121" i="102" s="1"/>
  <c r="CU122" i="102"/>
  <c r="CV122" i="102"/>
  <c r="CW122" i="102"/>
  <c r="CX122" i="102"/>
  <c r="DB122" i="102" s="1"/>
  <c r="CY122" i="102"/>
  <c r="CZ122" i="102"/>
  <c r="DA122" i="102"/>
  <c r="CU123" i="102"/>
  <c r="CY123" i="102" s="1"/>
  <c r="CV123" i="102"/>
  <c r="CZ123" i="102" s="1"/>
  <c r="CW123" i="102"/>
  <c r="DA123" i="102" s="1"/>
  <c r="CX123" i="102"/>
  <c r="DB123" i="102" s="1"/>
  <c r="DC123" i="102" s="1"/>
  <c r="CU124" i="102"/>
  <c r="CY124" i="102" s="1"/>
  <c r="CV124" i="102"/>
  <c r="CZ124" i="102" s="1"/>
  <c r="CW124" i="102"/>
  <c r="CX124" i="102"/>
  <c r="DA124" i="102"/>
  <c r="DB124" i="102"/>
  <c r="CU125" i="102"/>
  <c r="CV125" i="102"/>
  <c r="CW125" i="102"/>
  <c r="DA125" i="102" s="1"/>
  <c r="CX125" i="102"/>
  <c r="DB125" i="102" s="1"/>
  <c r="CY125" i="102"/>
  <c r="CZ125" i="102"/>
  <c r="CU126" i="102"/>
  <c r="CY126" i="102" s="1"/>
  <c r="CV126" i="102"/>
  <c r="CZ126" i="102" s="1"/>
  <c r="DC126" i="102" s="1"/>
  <c r="CW126" i="102"/>
  <c r="DA126" i="102" s="1"/>
  <c r="CX126" i="102"/>
  <c r="DB126" i="102" s="1"/>
  <c r="CU127" i="102"/>
  <c r="CV127" i="102"/>
  <c r="CW127" i="102"/>
  <c r="CX127" i="102"/>
  <c r="DB127" i="102" s="1"/>
  <c r="CY127" i="102"/>
  <c r="CZ127" i="102"/>
  <c r="DA127" i="102"/>
  <c r="CU128" i="102"/>
  <c r="CY128" i="102" s="1"/>
  <c r="CV128" i="102"/>
  <c r="CZ128" i="102" s="1"/>
  <c r="CW128" i="102"/>
  <c r="CX128" i="102"/>
  <c r="DB128" i="102" s="1"/>
  <c r="DA128" i="102"/>
  <c r="CU129" i="102"/>
  <c r="CV129" i="102"/>
  <c r="CZ129" i="102" s="1"/>
  <c r="CW129" i="102"/>
  <c r="CX129" i="102"/>
  <c r="DB129" i="102" s="1"/>
  <c r="CY129" i="102"/>
  <c r="DA129" i="102"/>
  <c r="CU130" i="102"/>
  <c r="CY130" i="102" s="1"/>
  <c r="CV130" i="102"/>
  <c r="CZ130" i="102" s="1"/>
  <c r="CW130" i="102"/>
  <c r="DA130" i="102" s="1"/>
  <c r="CX130" i="102"/>
  <c r="DB130" i="102" s="1"/>
  <c r="CU131" i="102"/>
  <c r="CY131" i="102" s="1"/>
  <c r="CV131" i="102"/>
  <c r="CW131" i="102"/>
  <c r="DA131" i="102" s="1"/>
  <c r="CX131" i="102"/>
  <c r="CZ131" i="102"/>
  <c r="DB131" i="102"/>
  <c r="CU132" i="102"/>
  <c r="CY132" i="102" s="1"/>
  <c r="CV132" i="102"/>
  <c r="CW132" i="102"/>
  <c r="DA132" i="102" s="1"/>
  <c r="CX132" i="102"/>
  <c r="DB132" i="102" s="1"/>
  <c r="CZ132" i="102"/>
  <c r="CU133" i="102"/>
  <c r="CY133" i="102" s="1"/>
  <c r="CV133" i="102"/>
  <c r="CZ133" i="102" s="1"/>
  <c r="CW133" i="102"/>
  <c r="DA133" i="102" s="1"/>
  <c r="CX133" i="102"/>
  <c r="DB133" i="102" s="1"/>
  <c r="CU134" i="102"/>
  <c r="CV134" i="102"/>
  <c r="CW134" i="102"/>
  <c r="DA134" i="102" s="1"/>
  <c r="CX134" i="102"/>
  <c r="CY134" i="102"/>
  <c r="CZ134" i="102"/>
  <c r="DB134" i="102"/>
  <c r="CU135" i="102"/>
  <c r="CY135" i="102" s="1"/>
  <c r="CV135" i="102"/>
  <c r="CZ135" i="102" s="1"/>
  <c r="CW135" i="102"/>
  <c r="DA135" i="102" s="1"/>
  <c r="CX135" i="102"/>
  <c r="DB135" i="102" s="1"/>
  <c r="CU136" i="102"/>
  <c r="CY136" i="102" s="1"/>
  <c r="CV136" i="102"/>
  <c r="CZ136" i="102" s="1"/>
  <c r="CW136" i="102"/>
  <c r="CX136" i="102"/>
  <c r="DB136" i="102" s="1"/>
  <c r="DA136" i="102"/>
  <c r="CU137" i="102"/>
  <c r="CV137" i="102"/>
  <c r="CZ137" i="102" s="1"/>
  <c r="CW137" i="102"/>
  <c r="DA137" i="102" s="1"/>
  <c r="CX137" i="102"/>
  <c r="DB137" i="102" s="1"/>
  <c r="CY137" i="102"/>
  <c r="CU138" i="102"/>
  <c r="CV138" i="102"/>
  <c r="CZ138" i="102" s="1"/>
  <c r="CW138" i="102"/>
  <c r="DA138" i="102" s="1"/>
  <c r="CX138" i="102"/>
  <c r="CY138" i="102"/>
  <c r="DB138" i="102"/>
  <c r="CU139" i="102"/>
  <c r="CV139" i="102"/>
  <c r="CW139" i="102"/>
  <c r="DA139" i="102" s="1"/>
  <c r="CX139" i="102"/>
  <c r="DB139" i="102" s="1"/>
  <c r="CY139" i="102"/>
  <c r="CZ139" i="102"/>
  <c r="CU140" i="102"/>
  <c r="CY140" i="102" s="1"/>
  <c r="CV140" i="102"/>
  <c r="CZ140" i="102" s="1"/>
  <c r="CW140" i="102"/>
  <c r="DA140" i="102" s="1"/>
  <c r="CX140" i="102"/>
  <c r="DB140" i="102"/>
  <c r="CU141" i="102"/>
  <c r="CY141" i="102" s="1"/>
  <c r="DC141" i="102" s="1"/>
  <c r="CV141" i="102"/>
  <c r="CZ141" i="102" s="1"/>
  <c r="CW141" i="102"/>
  <c r="DA141" i="102" s="1"/>
  <c r="CX141" i="102"/>
  <c r="DB141" i="102" s="1"/>
  <c r="CU142" i="102"/>
  <c r="CV142" i="102"/>
  <c r="CW142" i="102"/>
  <c r="CX142" i="102"/>
  <c r="DB142" i="102" s="1"/>
  <c r="CY142" i="102"/>
  <c r="DC142" i="102" s="1"/>
  <c r="CZ142" i="102"/>
  <c r="DA142" i="102"/>
  <c r="CU143" i="102"/>
  <c r="CY143" i="102" s="1"/>
  <c r="CV143" i="102"/>
  <c r="CZ143" i="102" s="1"/>
  <c r="CW143" i="102"/>
  <c r="DA143" i="102" s="1"/>
  <c r="CX143" i="102"/>
  <c r="DB143" i="102"/>
  <c r="DC143" i="102" s="1"/>
  <c r="CU144" i="102"/>
  <c r="CY144" i="102" s="1"/>
  <c r="CV144" i="102"/>
  <c r="CZ144" i="102" s="1"/>
  <c r="CW144" i="102"/>
  <c r="DA144" i="102" s="1"/>
  <c r="CX144" i="102"/>
  <c r="DB144" i="102" s="1"/>
  <c r="CU145" i="102"/>
  <c r="CV145" i="102"/>
  <c r="CW145" i="102"/>
  <c r="CX145" i="102"/>
  <c r="DB145" i="102" s="1"/>
  <c r="CY145" i="102"/>
  <c r="CZ145" i="102"/>
  <c r="DA145" i="102"/>
  <c r="CU146" i="102"/>
  <c r="CY146" i="102" s="1"/>
  <c r="CV146" i="102"/>
  <c r="CZ146" i="102" s="1"/>
  <c r="CW146" i="102"/>
  <c r="DA146" i="102" s="1"/>
  <c r="CX146" i="102"/>
  <c r="DB146" i="102" s="1"/>
  <c r="CU147" i="102"/>
  <c r="CV147" i="102"/>
  <c r="CW147" i="102"/>
  <c r="DA147" i="102" s="1"/>
  <c r="CX147" i="102"/>
  <c r="DB147" i="102" s="1"/>
  <c r="CY147" i="102"/>
  <c r="CZ147" i="102"/>
  <c r="CU148" i="102"/>
  <c r="CY148" i="102" s="1"/>
  <c r="CV148" i="102"/>
  <c r="CW148" i="102"/>
  <c r="CX148" i="102"/>
  <c r="DB148" i="102" s="1"/>
  <c r="CZ148" i="102"/>
  <c r="DA148" i="102"/>
  <c r="CU149" i="102"/>
  <c r="CV149" i="102"/>
  <c r="CW149" i="102"/>
  <c r="CX149" i="102"/>
  <c r="DB149" i="102" s="1"/>
  <c r="CY149" i="102"/>
  <c r="CZ149" i="102"/>
  <c r="DA149" i="102"/>
  <c r="CU150" i="102"/>
  <c r="CY150" i="102" s="1"/>
  <c r="CV150" i="102"/>
  <c r="CZ150" i="102" s="1"/>
  <c r="CW150" i="102"/>
  <c r="DA150" i="102" s="1"/>
  <c r="CX150" i="102"/>
  <c r="DB150" i="102" s="1"/>
  <c r="CU151" i="102"/>
  <c r="CV151" i="102"/>
  <c r="CW151" i="102"/>
  <c r="CX151" i="102"/>
  <c r="DB151" i="102" s="1"/>
  <c r="CY151" i="102"/>
  <c r="CZ151" i="102"/>
  <c r="DA151" i="102"/>
  <c r="CU152" i="102"/>
  <c r="CY152" i="102" s="1"/>
  <c r="CV152" i="102"/>
  <c r="CZ152" i="102" s="1"/>
  <c r="CW152" i="102"/>
  <c r="CX152" i="102"/>
  <c r="DB152" i="102" s="1"/>
  <c r="DA152" i="102"/>
  <c r="CU153" i="102"/>
  <c r="CY153" i="102" s="1"/>
  <c r="CV153" i="102"/>
  <c r="CZ153" i="102" s="1"/>
  <c r="CW153" i="102"/>
  <c r="CX153" i="102"/>
  <c r="DB153" i="102" s="1"/>
  <c r="DA153" i="102"/>
  <c r="CU154" i="102"/>
  <c r="CV154" i="102"/>
  <c r="CW154" i="102"/>
  <c r="DA154" i="102" s="1"/>
  <c r="CX154" i="102"/>
  <c r="CY154" i="102"/>
  <c r="CZ154" i="102"/>
  <c r="DB154" i="102"/>
  <c r="CU155" i="102"/>
  <c r="CV155" i="102"/>
  <c r="CW155" i="102"/>
  <c r="CX155" i="102"/>
  <c r="CY155" i="102"/>
  <c r="CZ155" i="102"/>
  <c r="DA155" i="102"/>
  <c r="DB155" i="102"/>
  <c r="CU156" i="102"/>
  <c r="CY156" i="102" s="1"/>
  <c r="CV156" i="102"/>
  <c r="CZ156" i="102" s="1"/>
  <c r="CW156" i="102"/>
  <c r="DA156" i="102" s="1"/>
  <c r="CX156" i="102"/>
  <c r="DB156" i="102" s="1"/>
  <c r="CU157" i="102"/>
  <c r="CY157" i="102" s="1"/>
  <c r="CV157" i="102"/>
  <c r="CW157" i="102"/>
  <c r="DA157" i="102" s="1"/>
  <c r="DC157" i="102" s="1"/>
  <c r="CX157" i="102"/>
  <c r="DB157" i="102" s="1"/>
  <c r="CZ157" i="102"/>
  <c r="CU158" i="102"/>
  <c r="CY158" i="102" s="1"/>
  <c r="CV158" i="102"/>
  <c r="CW158" i="102"/>
  <c r="CX158" i="102"/>
  <c r="DB158" i="102" s="1"/>
  <c r="CZ158" i="102"/>
  <c r="DA158" i="102"/>
  <c r="CU159" i="102"/>
  <c r="CV159" i="102"/>
  <c r="CW159" i="102"/>
  <c r="DA159" i="102" s="1"/>
  <c r="CX159" i="102"/>
  <c r="CY159" i="102"/>
  <c r="CZ159" i="102"/>
  <c r="DB159" i="102"/>
  <c r="CU160" i="102"/>
  <c r="CY160" i="102" s="1"/>
  <c r="CV160" i="102"/>
  <c r="CZ160" i="102" s="1"/>
  <c r="CW160" i="102"/>
  <c r="DA160" i="102" s="1"/>
  <c r="CX160" i="102"/>
  <c r="DB160" i="102" s="1"/>
  <c r="CU161" i="102"/>
  <c r="CY161" i="102" s="1"/>
  <c r="CV161" i="102"/>
  <c r="CZ161" i="102" s="1"/>
  <c r="CW161" i="102"/>
  <c r="DA161" i="102" s="1"/>
  <c r="CX161" i="102"/>
  <c r="DB161" i="102" s="1"/>
  <c r="CU162" i="102"/>
  <c r="CV162" i="102"/>
  <c r="CW162" i="102"/>
  <c r="DA162" i="102" s="1"/>
  <c r="CX162" i="102"/>
  <c r="DB162" i="102" s="1"/>
  <c r="CY162" i="102"/>
  <c r="DC162" i="102" s="1"/>
  <c r="CZ162" i="102"/>
  <c r="CU163" i="102"/>
  <c r="CV163" i="102"/>
  <c r="CW163" i="102"/>
  <c r="CX163" i="102"/>
  <c r="CY163" i="102"/>
  <c r="CZ163" i="102"/>
  <c r="DA163" i="102"/>
  <c r="DC163" i="102" s="1"/>
  <c r="DB163" i="102"/>
  <c r="CU164" i="102"/>
  <c r="CY164" i="102" s="1"/>
  <c r="CV164" i="102"/>
  <c r="CZ164" i="102" s="1"/>
  <c r="CW164" i="102"/>
  <c r="DA164" i="102" s="1"/>
  <c r="CX164" i="102"/>
  <c r="DB164" i="102"/>
  <c r="CU165" i="102"/>
  <c r="CV165" i="102"/>
  <c r="CZ165" i="102" s="1"/>
  <c r="CW165" i="102"/>
  <c r="DA165" i="102" s="1"/>
  <c r="CX165" i="102"/>
  <c r="DB165" i="102" s="1"/>
  <c r="CY165" i="102"/>
  <c r="CU166" i="102"/>
  <c r="CV166" i="102"/>
  <c r="CW166" i="102"/>
  <c r="CX166" i="102"/>
  <c r="CY166" i="102"/>
  <c r="CZ166" i="102"/>
  <c r="DA166" i="102"/>
  <c r="DB166" i="102"/>
  <c r="CU167" i="102"/>
  <c r="CV167" i="102"/>
  <c r="CW167" i="102"/>
  <c r="CX167" i="102"/>
  <c r="CY167" i="102"/>
  <c r="CZ167" i="102"/>
  <c r="DA167" i="102"/>
  <c r="DB167" i="102"/>
  <c r="CU168" i="102"/>
  <c r="CY168" i="102" s="1"/>
  <c r="CV168" i="102"/>
  <c r="CW168" i="102"/>
  <c r="DA168" i="102" s="1"/>
  <c r="CX168" i="102"/>
  <c r="DB168" i="102" s="1"/>
  <c r="CZ168" i="102"/>
  <c r="CU169" i="102"/>
  <c r="CV169" i="102"/>
  <c r="CW169" i="102"/>
  <c r="CX169" i="102"/>
  <c r="DB169" i="102" s="1"/>
  <c r="CY169" i="102"/>
  <c r="CZ169" i="102"/>
  <c r="DA169" i="102"/>
  <c r="DC169" i="102"/>
  <c r="CU170" i="102"/>
  <c r="CV170" i="102"/>
  <c r="CZ170" i="102" s="1"/>
  <c r="CW170" i="102"/>
  <c r="DA170" i="102" s="1"/>
  <c r="CX170" i="102"/>
  <c r="DB170" i="102" s="1"/>
  <c r="CY170" i="102"/>
  <c r="CU171" i="102"/>
  <c r="CV171" i="102"/>
  <c r="CW171" i="102"/>
  <c r="CX171" i="102"/>
  <c r="CY171" i="102"/>
  <c r="CZ171" i="102"/>
  <c r="DA171" i="102"/>
  <c r="DB171" i="102"/>
  <c r="CU172" i="102"/>
  <c r="CY172" i="102" s="1"/>
  <c r="CV172" i="102"/>
  <c r="CZ172" i="102" s="1"/>
  <c r="CW172" i="102"/>
  <c r="CX172" i="102"/>
  <c r="DB172" i="102" s="1"/>
  <c r="DA172" i="102"/>
  <c r="CU173" i="102"/>
  <c r="CV173" i="102"/>
  <c r="CW173" i="102"/>
  <c r="DA173" i="102" s="1"/>
  <c r="CX173" i="102"/>
  <c r="DB173" i="102" s="1"/>
  <c r="CY173" i="102"/>
  <c r="CZ173" i="102"/>
  <c r="CU174" i="102"/>
  <c r="CY174" i="102" s="1"/>
  <c r="CV174" i="102"/>
  <c r="CZ174" i="102" s="1"/>
  <c r="CW174" i="102"/>
  <c r="CX174" i="102"/>
  <c r="DA174" i="102"/>
  <c r="DB174" i="102"/>
  <c r="CU175" i="102"/>
  <c r="CV175" i="102"/>
  <c r="CW175" i="102"/>
  <c r="DA175" i="102" s="1"/>
  <c r="CX175" i="102"/>
  <c r="DB175" i="102" s="1"/>
  <c r="CY175" i="102"/>
  <c r="CZ175" i="102"/>
  <c r="CU176" i="102"/>
  <c r="CY176" i="102" s="1"/>
  <c r="CV176" i="102"/>
  <c r="CZ176" i="102" s="1"/>
  <c r="CW176" i="102"/>
  <c r="DA176" i="102" s="1"/>
  <c r="CX176" i="102"/>
  <c r="DB176" i="102"/>
  <c r="CU177" i="102"/>
  <c r="CV177" i="102"/>
  <c r="CW177" i="102"/>
  <c r="CX177" i="102"/>
  <c r="DB177" i="102" s="1"/>
  <c r="CY177" i="102"/>
  <c r="DC177" i="102" s="1"/>
  <c r="CZ177" i="102"/>
  <c r="DA177" i="102"/>
  <c r="CU178" i="102"/>
  <c r="CV178" i="102"/>
  <c r="CW178" i="102"/>
  <c r="DA178" i="102" s="1"/>
  <c r="CX178" i="102"/>
  <c r="DB178" i="102" s="1"/>
  <c r="CY178" i="102"/>
  <c r="CZ178" i="102"/>
  <c r="CU179" i="102"/>
  <c r="CY179" i="102" s="1"/>
  <c r="CV179" i="102"/>
  <c r="CW179" i="102"/>
  <c r="DA179" i="102" s="1"/>
  <c r="CX179" i="102"/>
  <c r="CZ179" i="102"/>
  <c r="DB179" i="102"/>
  <c r="CU180" i="102"/>
  <c r="CY180" i="102" s="1"/>
  <c r="CV180" i="102"/>
  <c r="CW180" i="102"/>
  <c r="DA180" i="102" s="1"/>
  <c r="CX180" i="102"/>
  <c r="DB180" i="102" s="1"/>
  <c r="CZ180" i="102"/>
  <c r="CU181" i="102"/>
  <c r="CY181" i="102" s="1"/>
  <c r="CV181" i="102"/>
  <c r="CZ181" i="102" s="1"/>
  <c r="DC181" i="102" s="1"/>
  <c r="CW181" i="102"/>
  <c r="DA181" i="102" s="1"/>
  <c r="CX181" i="102"/>
  <c r="DB181" i="102" s="1"/>
  <c r="CU182" i="102"/>
  <c r="CY182" i="102" s="1"/>
  <c r="CV182" i="102"/>
  <c r="CZ182" i="102" s="1"/>
  <c r="CW182" i="102"/>
  <c r="DA182" i="102" s="1"/>
  <c r="CX182" i="102"/>
  <c r="DB182" i="102" s="1"/>
  <c r="CU183" i="102"/>
  <c r="CY183" i="102" s="1"/>
  <c r="CV183" i="102"/>
  <c r="CW183" i="102"/>
  <c r="CX183" i="102"/>
  <c r="DB183" i="102" s="1"/>
  <c r="CZ183" i="102"/>
  <c r="DA183" i="102"/>
  <c r="CU184" i="102"/>
  <c r="CY184" i="102" s="1"/>
  <c r="CV184" i="102"/>
  <c r="CZ184" i="102" s="1"/>
  <c r="CW184" i="102"/>
  <c r="DA184" i="102" s="1"/>
  <c r="CX184" i="102"/>
  <c r="DB184" i="102" s="1"/>
  <c r="DC184" i="102"/>
  <c r="CU185" i="102"/>
  <c r="CY185" i="102" s="1"/>
  <c r="CV185" i="102"/>
  <c r="CZ185" i="102" s="1"/>
  <c r="CW185" i="102"/>
  <c r="DA185" i="102" s="1"/>
  <c r="CX185" i="102"/>
  <c r="DB185" i="102" s="1"/>
  <c r="CU186" i="102"/>
  <c r="CV186" i="102"/>
  <c r="CW186" i="102"/>
  <c r="CX186" i="102"/>
  <c r="CY186" i="102"/>
  <c r="CZ186" i="102"/>
  <c r="DA186" i="102"/>
  <c r="DB186" i="102"/>
  <c r="CU187" i="102"/>
  <c r="CY187" i="102" s="1"/>
  <c r="CV187" i="102"/>
  <c r="CW187" i="102"/>
  <c r="DA187" i="102" s="1"/>
  <c r="CX187" i="102"/>
  <c r="DB187" i="102" s="1"/>
  <c r="CZ187" i="102"/>
  <c r="CU188" i="102"/>
  <c r="CY188" i="102" s="1"/>
  <c r="CV188" i="102"/>
  <c r="CZ188" i="102" s="1"/>
  <c r="DC188" i="102" s="1"/>
  <c r="CW188" i="102"/>
  <c r="DA188" i="102" s="1"/>
  <c r="CX188" i="102"/>
  <c r="DB188" i="102" s="1"/>
  <c r="CU189" i="102"/>
  <c r="CV189" i="102"/>
  <c r="CW189" i="102"/>
  <c r="CX189" i="102"/>
  <c r="DB189" i="102" s="1"/>
  <c r="CY189" i="102"/>
  <c r="CZ189" i="102"/>
  <c r="DA189" i="102"/>
  <c r="CU190" i="102"/>
  <c r="CV190" i="102"/>
  <c r="CZ190" i="102" s="1"/>
  <c r="CW190" i="102"/>
  <c r="DA190" i="102" s="1"/>
  <c r="DC190" i="102" s="1"/>
  <c r="CX190" i="102"/>
  <c r="DB190" i="102" s="1"/>
  <c r="CY190" i="102"/>
  <c r="CU191" i="102"/>
  <c r="CV191" i="102"/>
  <c r="CW191" i="102"/>
  <c r="DA191" i="102" s="1"/>
  <c r="CX191" i="102"/>
  <c r="DB191" i="102" s="1"/>
  <c r="CY191" i="102"/>
  <c r="CZ191" i="102"/>
  <c r="CU192" i="102"/>
  <c r="CY192" i="102" s="1"/>
  <c r="CV192" i="102"/>
  <c r="CW192" i="102"/>
  <c r="DA192" i="102" s="1"/>
  <c r="CX192" i="102"/>
  <c r="DB192" i="102" s="1"/>
  <c r="CZ192" i="102"/>
  <c r="DC192" i="102" s="1"/>
  <c r="CU193" i="102"/>
  <c r="CY193" i="102" s="1"/>
  <c r="CV193" i="102"/>
  <c r="CW193" i="102"/>
  <c r="DA193" i="102" s="1"/>
  <c r="CX193" i="102"/>
  <c r="DB193" i="102" s="1"/>
  <c r="CZ193" i="102"/>
  <c r="CU194" i="102"/>
  <c r="CV194" i="102"/>
  <c r="CZ194" i="102" s="1"/>
  <c r="CW194" i="102"/>
  <c r="CX194" i="102"/>
  <c r="DB194" i="102" s="1"/>
  <c r="CY194" i="102"/>
  <c r="DA194" i="102"/>
  <c r="CU195" i="102"/>
  <c r="CV195" i="102"/>
  <c r="CW195" i="102"/>
  <c r="CX195" i="102"/>
  <c r="CY195" i="102"/>
  <c r="CZ195" i="102"/>
  <c r="DA195" i="102"/>
  <c r="DB195" i="102"/>
  <c r="CU196" i="102"/>
  <c r="CY196" i="102" s="1"/>
  <c r="CV196" i="102"/>
  <c r="CZ196" i="102" s="1"/>
  <c r="CW196" i="102"/>
  <c r="CX196" i="102"/>
  <c r="DB196" i="102" s="1"/>
  <c r="DA196" i="102"/>
  <c r="CU197" i="102"/>
  <c r="CV197" i="102"/>
  <c r="CW197" i="102"/>
  <c r="DA197" i="102" s="1"/>
  <c r="CX197" i="102"/>
  <c r="DB197" i="102" s="1"/>
  <c r="CY197" i="102"/>
  <c r="CZ197" i="102"/>
  <c r="CU198" i="102"/>
  <c r="CY198" i="102" s="1"/>
  <c r="CV198" i="102"/>
  <c r="CZ198" i="102" s="1"/>
  <c r="CW198" i="102"/>
  <c r="CX198" i="102"/>
  <c r="DA198" i="102"/>
  <c r="DB198" i="102"/>
  <c r="CU199" i="102"/>
  <c r="CY199" i="102" s="1"/>
  <c r="CV199" i="102"/>
  <c r="CW199" i="102"/>
  <c r="DA199" i="102" s="1"/>
  <c r="CX199" i="102"/>
  <c r="DB199" i="102" s="1"/>
  <c r="CZ199" i="102"/>
  <c r="CU200" i="102"/>
  <c r="CY200" i="102" s="1"/>
  <c r="CV200" i="102"/>
  <c r="CZ200" i="102" s="1"/>
  <c r="CW200" i="102"/>
  <c r="DA200" i="102" s="1"/>
  <c r="CX200" i="102"/>
  <c r="DB200" i="102" s="1"/>
  <c r="CU201" i="102"/>
  <c r="CV201" i="102"/>
  <c r="CW201" i="102"/>
  <c r="CX201" i="102"/>
  <c r="DB201" i="102" s="1"/>
  <c r="CY201" i="102"/>
  <c r="CZ201" i="102"/>
  <c r="DA201" i="102"/>
  <c r="CU202" i="102"/>
  <c r="CY202" i="102" s="1"/>
  <c r="CV202" i="102"/>
  <c r="CZ202" i="102" s="1"/>
  <c r="CW202" i="102"/>
  <c r="DA202" i="102" s="1"/>
  <c r="CX202" i="102"/>
  <c r="DB202" i="102" s="1"/>
  <c r="CU203" i="102"/>
  <c r="CV203" i="102"/>
  <c r="CW203" i="102"/>
  <c r="DA203" i="102" s="1"/>
  <c r="CX203" i="102"/>
  <c r="DB203" i="102" s="1"/>
  <c r="CY203" i="102"/>
  <c r="CZ203" i="102"/>
  <c r="CU204" i="102"/>
  <c r="CY204" i="102" s="1"/>
  <c r="CV204" i="102"/>
  <c r="CZ204" i="102" s="1"/>
  <c r="CW204" i="102"/>
  <c r="DA204" i="102" s="1"/>
  <c r="CX204" i="102"/>
  <c r="DB204" i="102" s="1"/>
  <c r="CU205" i="102"/>
  <c r="CY205" i="102" s="1"/>
  <c r="CV205" i="102"/>
  <c r="CZ205" i="102" s="1"/>
  <c r="CW205" i="102"/>
  <c r="DA205" i="102" s="1"/>
  <c r="CX205" i="102"/>
  <c r="DB205" i="102" s="1"/>
  <c r="CU206" i="102"/>
  <c r="CV206" i="102"/>
  <c r="CW206" i="102"/>
  <c r="DA206" i="102" s="1"/>
  <c r="CX206" i="102"/>
  <c r="DB206" i="102" s="1"/>
  <c r="CY206" i="102"/>
  <c r="CZ206" i="102"/>
  <c r="CU207" i="102"/>
  <c r="CV207" i="102"/>
  <c r="CW207" i="102"/>
  <c r="CX207" i="102"/>
  <c r="CY207" i="102"/>
  <c r="CZ207" i="102"/>
  <c r="DA207" i="102"/>
  <c r="DB207" i="102"/>
  <c r="CU208" i="102"/>
  <c r="CY208" i="102" s="1"/>
  <c r="CV208" i="102"/>
  <c r="CZ208" i="102" s="1"/>
  <c r="DC208" i="102" s="1"/>
  <c r="CW208" i="102"/>
  <c r="CX208" i="102"/>
  <c r="DB208" i="102" s="1"/>
  <c r="DA208" i="102"/>
  <c r="CU209" i="102"/>
  <c r="CV209" i="102"/>
  <c r="CZ209" i="102" s="1"/>
  <c r="CW209" i="102"/>
  <c r="DA209" i="102" s="1"/>
  <c r="CX209" i="102"/>
  <c r="DB209" i="102" s="1"/>
  <c r="CY209" i="102"/>
  <c r="CU210" i="102"/>
  <c r="CY210" i="102" s="1"/>
  <c r="CV210" i="102"/>
  <c r="CZ210" i="102" s="1"/>
  <c r="CW210" i="102"/>
  <c r="DA210" i="102" s="1"/>
  <c r="CX210" i="102"/>
  <c r="DB210" i="102"/>
  <c r="CU211" i="102"/>
  <c r="CY211" i="102" s="1"/>
  <c r="CV211" i="102"/>
  <c r="CW211" i="102"/>
  <c r="DA211" i="102" s="1"/>
  <c r="CX211" i="102"/>
  <c r="DB211" i="102" s="1"/>
  <c r="CZ211" i="102"/>
  <c r="CU212" i="102"/>
  <c r="CY212" i="102" s="1"/>
  <c r="CV212" i="102"/>
  <c r="CZ212" i="102" s="1"/>
  <c r="CW212" i="102"/>
  <c r="DA212" i="102" s="1"/>
  <c r="CX212" i="102"/>
  <c r="DB212" i="102" s="1"/>
  <c r="CU213" i="102"/>
  <c r="CY213" i="102" s="1"/>
  <c r="CV213" i="102"/>
  <c r="CW213" i="102"/>
  <c r="DA213" i="102" s="1"/>
  <c r="CX213" i="102"/>
  <c r="DB213" i="102" s="1"/>
  <c r="CZ213" i="102"/>
  <c r="CU214" i="102"/>
  <c r="CV214" i="102"/>
  <c r="CW214" i="102"/>
  <c r="DA214" i="102" s="1"/>
  <c r="CX214" i="102"/>
  <c r="DB214" i="102" s="1"/>
  <c r="CY214" i="102"/>
  <c r="CZ214" i="102"/>
  <c r="CU215" i="102"/>
  <c r="CY215" i="102" s="1"/>
  <c r="CV215" i="102"/>
  <c r="CZ215" i="102" s="1"/>
  <c r="CW215" i="102"/>
  <c r="CX215" i="102"/>
  <c r="DA215" i="102"/>
  <c r="DB215" i="102"/>
  <c r="DC215" i="102" s="1"/>
  <c r="CU216" i="102"/>
  <c r="CY216" i="102" s="1"/>
  <c r="CV216" i="102"/>
  <c r="CZ216" i="102" s="1"/>
  <c r="CW216" i="102"/>
  <c r="DA216" i="102" s="1"/>
  <c r="CX216" i="102"/>
  <c r="DB216" i="102" s="1"/>
  <c r="CU217" i="102"/>
  <c r="CV217" i="102"/>
  <c r="CZ217" i="102" s="1"/>
  <c r="CW217" i="102"/>
  <c r="DA217" i="102" s="1"/>
  <c r="CX217" i="102"/>
  <c r="DB217" i="102" s="1"/>
  <c r="CY217" i="102"/>
  <c r="CU218" i="102"/>
  <c r="CY218" i="102" s="1"/>
  <c r="CV218" i="102"/>
  <c r="CZ218" i="102" s="1"/>
  <c r="CW218" i="102"/>
  <c r="DA218" i="102" s="1"/>
  <c r="CX218" i="102"/>
  <c r="DB218" i="102"/>
  <c r="CU219" i="102"/>
  <c r="CY219" i="102" s="1"/>
  <c r="CV219" i="102"/>
  <c r="CW219" i="102"/>
  <c r="DA219" i="102" s="1"/>
  <c r="CX219" i="102"/>
  <c r="DB219" i="102" s="1"/>
  <c r="CZ219" i="102"/>
  <c r="CU220" i="102"/>
  <c r="CY220" i="102" s="1"/>
  <c r="CV220" i="102"/>
  <c r="CZ220" i="102" s="1"/>
  <c r="CW220" i="102"/>
  <c r="DA220" i="102" s="1"/>
  <c r="CX220" i="102"/>
  <c r="DB220" i="102" s="1"/>
  <c r="CU221" i="102"/>
  <c r="CV221" i="102"/>
  <c r="CW221" i="102"/>
  <c r="CX221" i="102"/>
  <c r="DB221" i="102" s="1"/>
  <c r="CY221" i="102"/>
  <c r="CZ221" i="102"/>
  <c r="DA221" i="102"/>
  <c r="CU222" i="102"/>
  <c r="CY222" i="102" s="1"/>
  <c r="CV222" i="102"/>
  <c r="CZ222" i="102" s="1"/>
  <c r="CW222" i="102"/>
  <c r="DA222" i="102" s="1"/>
  <c r="CX222" i="102"/>
  <c r="DB222" i="102" s="1"/>
  <c r="CU223" i="102"/>
  <c r="CV223" i="102"/>
  <c r="CW223" i="102"/>
  <c r="DA223" i="102" s="1"/>
  <c r="CX223" i="102"/>
  <c r="DB223" i="102" s="1"/>
  <c r="DC223" i="102" s="1"/>
  <c r="CY223" i="102"/>
  <c r="CZ223" i="102"/>
  <c r="CU224" i="102"/>
  <c r="CY224" i="102" s="1"/>
  <c r="CV224" i="102"/>
  <c r="CZ224" i="102" s="1"/>
  <c r="CW224" i="102"/>
  <c r="CX224" i="102"/>
  <c r="DA224" i="102"/>
  <c r="DB224" i="102"/>
  <c r="DC224" i="102" s="1"/>
  <c r="CU225" i="102"/>
  <c r="CY225" i="102" s="1"/>
  <c r="CV225" i="102"/>
  <c r="CZ225" i="102" s="1"/>
  <c r="CW225" i="102"/>
  <c r="DA225" i="102" s="1"/>
  <c r="CX225" i="102"/>
  <c r="DB225" i="102" s="1"/>
  <c r="CU226" i="102"/>
  <c r="CV226" i="102"/>
  <c r="CW226" i="102"/>
  <c r="DA226" i="102" s="1"/>
  <c r="CX226" i="102"/>
  <c r="DB226" i="102" s="1"/>
  <c r="CY226" i="102"/>
  <c r="CZ226" i="102"/>
  <c r="CU227" i="102"/>
  <c r="CV227" i="102"/>
  <c r="CW227" i="102"/>
  <c r="CX227" i="102"/>
  <c r="CY227" i="102"/>
  <c r="CZ227" i="102"/>
  <c r="DA227" i="102"/>
  <c r="DB227" i="102"/>
  <c r="CU228" i="102"/>
  <c r="CY228" i="102" s="1"/>
  <c r="CV228" i="102"/>
  <c r="CZ228" i="102" s="1"/>
  <c r="CW228" i="102"/>
  <c r="DA228" i="102" s="1"/>
  <c r="CX228" i="102"/>
  <c r="DB228" i="102"/>
  <c r="CU229" i="102"/>
  <c r="CY229" i="102" s="1"/>
  <c r="CV229" i="102"/>
  <c r="CZ229" i="102" s="1"/>
  <c r="DC229" i="102" s="1"/>
  <c r="CW229" i="102"/>
  <c r="DA229" i="102" s="1"/>
  <c r="CX229" i="102"/>
  <c r="DB229" i="102" s="1"/>
  <c r="CU230" i="102"/>
  <c r="CY230" i="102" s="1"/>
  <c r="CV230" i="102"/>
  <c r="CZ230" i="102" s="1"/>
  <c r="CW230" i="102"/>
  <c r="CX230" i="102"/>
  <c r="DA230" i="102"/>
  <c r="DB230" i="102"/>
  <c r="CU231" i="102"/>
  <c r="CY231" i="102" s="1"/>
  <c r="CV231" i="102"/>
  <c r="CW231" i="102"/>
  <c r="DA231" i="102" s="1"/>
  <c r="CX231" i="102"/>
  <c r="DB231" i="102" s="1"/>
  <c r="CZ231" i="102"/>
  <c r="CU232" i="102"/>
  <c r="CY232" i="102" s="1"/>
  <c r="CV232" i="102"/>
  <c r="CZ232" i="102" s="1"/>
  <c r="CW232" i="102"/>
  <c r="DA232" i="102" s="1"/>
  <c r="CX232" i="102"/>
  <c r="DB232" i="102" s="1"/>
  <c r="CU233" i="102"/>
  <c r="CY233" i="102" s="1"/>
  <c r="CV233" i="102"/>
  <c r="CZ233" i="102" s="1"/>
  <c r="CW233" i="102"/>
  <c r="DA233" i="102" s="1"/>
  <c r="CX233" i="102"/>
  <c r="DB233" i="102" s="1"/>
  <c r="CU234" i="102"/>
  <c r="CY234" i="102" s="1"/>
  <c r="CV234" i="102"/>
  <c r="CW234" i="102"/>
  <c r="DA234" i="102" s="1"/>
  <c r="CX234" i="102"/>
  <c r="DB234" i="102" s="1"/>
  <c r="CZ234" i="102"/>
  <c r="CU235" i="102"/>
  <c r="CY235" i="102" s="1"/>
  <c r="CV235" i="102"/>
  <c r="CZ235" i="102" s="1"/>
  <c r="CW235" i="102"/>
  <c r="DA235" i="102" s="1"/>
  <c r="CX235" i="102"/>
  <c r="DB235" i="102" s="1"/>
  <c r="CU236" i="102"/>
  <c r="CY236" i="102" s="1"/>
  <c r="CV236" i="102"/>
  <c r="CZ236" i="102" s="1"/>
  <c r="CW236" i="102"/>
  <c r="DA236" i="102" s="1"/>
  <c r="CX236" i="102"/>
  <c r="DB236" i="102" s="1"/>
  <c r="DC236" i="102"/>
  <c r="CU237" i="102"/>
  <c r="CY237" i="102" s="1"/>
  <c r="CV237" i="102"/>
  <c r="CZ237" i="102" s="1"/>
  <c r="CW237" i="102"/>
  <c r="DA237" i="102" s="1"/>
  <c r="CX237" i="102"/>
  <c r="DB237" i="102" s="1"/>
  <c r="CU238" i="102"/>
  <c r="CV238" i="102"/>
  <c r="CW238" i="102"/>
  <c r="CX238" i="102"/>
  <c r="CY238" i="102"/>
  <c r="CZ238" i="102"/>
  <c r="DA238" i="102"/>
  <c r="DB238" i="102"/>
  <c r="CU239" i="102"/>
  <c r="CV239" i="102"/>
  <c r="CW239" i="102"/>
  <c r="CX239" i="102"/>
  <c r="CY239" i="102"/>
  <c r="CZ239" i="102"/>
  <c r="DA239" i="102"/>
  <c r="DB239" i="102"/>
  <c r="DC239" i="102" s="1"/>
  <c r="CU240" i="102"/>
  <c r="CY240" i="102" s="1"/>
  <c r="CV240" i="102"/>
  <c r="CZ240" i="102" s="1"/>
  <c r="CW240" i="102"/>
  <c r="DA240" i="102" s="1"/>
  <c r="CX240" i="102"/>
  <c r="DB240" i="102" s="1"/>
  <c r="CU241" i="102"/>
  <c r="CV241" i="102"/>
  <c r="CW241" i="102"/>
  <c r="CX241" i="102"/>
  <c r="DB241" i="102" s="1"/>
  <c r="CY241" i="102"/>
  <c r="CZ241" i="102"/>
  <c r="DA241" i="102"/>
  <c r="CU242" i="102"/>
  <c r="CV242" i="102"/>
  <c r="CZ242" i="102" s="1"/>
  <c r="CW242" i="102"/>
  <c r="DA242" i="102" s="1"/>
  <c r="CX242" i="102"/>
  <c r="CY242" i="102"/>
  <c r="DB242" i="102"/>
  <c r="CU243" i="102"/>
  <c r="CY243" i="102" s="1"/>
  <c r="CV243" i="102"/>
  <c r="CW243" i="102"/>
  <c r="DA243" i="102" s="1"/>
  <c r="CX243" i="102"/>
  <c r="DB243" i="102" s="1"/>
  <c r="CZ243" i="102"/>
  <c r="CU244" i="102"/>
  <c r="CY244" i="102" s="1"/>
  <c r="CV244" i="102"/>
  <c r="CW244" i="102"/>
  <c r="CX244" i="102"/>
  <c r="DB244" i="102" s="1"/>
  <c r="CZ244" i="102"/>
  <c r="DA244" i="102"/>
  <c r="CU245" i="102"/>
  <c r="CV245" i="102"/>
  <c r="CW245" i="102"/>
  <c r="CX245" i="102"/>
  <c r="DB245" i="102" s="1"/>
  <c r="CY245" i="102"/>
  <c r="CZ245" i="102"/>
  <c r="DA245" i="102"/>
  <c r="DC245" i="102" s="1"/>
  <c r="CU246" i="102"/>
  <c r="CY246" i="102" s="1"/>
  <c r="CV246" i="102"/>
  <c r="CW246" i="102"/>
  <c r="CX246" i="102"/>
  <c r="DB246" i="102" s="1"/>
  <c r="DC246" i="102" s="1"/>
  <c r="CZ246" i="102"/>
  <c r="DA246" i="102"/>
  <c r="CU247" i="102"/>
  <c r="CV247" i="102"/>
  <c r="CW247" i="102"/>
  <c r="DA247" i="102" s="1"/>
  <c r="CX247" i="102"/>
  <c r="DB247" i="102" s="1"/>
  <c r="CY247" i="102"/>
  <c r="CZ247" i="102"/>
  <c r="DC247" i="102" s="1"/>
  <c r="CU248" i="102"/>
  <c r="CY248" i="102" s="1"/>
  <c r="CV248" i="102"/>
  <c r="CZ248" i="102" s="1"/>
  <c r="CW248" i="102"/>
  <c r="DA248" i="102" s="1"/>
  <c r="CX248" i="102"/>
  <c r="DB248" i="102" s="1"/>
  <c r="CU249" i="102"/>
  <c r="CY249" i="102" s="1"/>
  <c r="CV249" i="102"/>
  <c r="CW249" i="102"/>
  <c r="DA249" i="102" s="1"/>
  <c r="CX249" i="102"/>
  <c r="DB249" i="102" s="1"/>
  <c r="CZ249" i="102"/>
  <c r="CU250" i="102"/>
  <c r="CV250" i="102"/>
  <c r="CW250" i="102"/>
  <c r="DA250" i="102" s="1"/>
  <c r="CX250" i="102"/>
  <c r="DB250" i="102" s="1"/>
  <c r="CY250" i="102"/>
  <c r="CZ250" i="102"/>
  <c r="CU251" i="102"/>
  <c r="CY251" i="102" s="1"/>
  <c r="CV251" i="102"/>
  <c r="CW251" i="102"/>
  <c r="DA251" i="102" s="1"/>
  <c r="CX251" i="102"/>
  <c r="DB251" i="102" s="1"/>
  <c r="CZ251" i="102"/>
  <c r="CU252" i="102"/>
  <c r="CY252" i="102" s="1"/>
  <c r="CV252" i="102"/>
  <c r="CZ252" i="102" s="1"/>
  <c r="CW252" i="102"/>
  <c r="DA252" i="102" s="1"/>
  <c r="CX252" i="102"/>
  <c r="DB252" i="102" s="1"/>
  <c r="CU253" i="102"/>
  <c r="CY253" i="102" s="1"/>
  <c r="CV253" i="102"/>
  <c r="CW253" i="102"/>
  <c r="DA253" i="102" s="1"/>
  <c r="CX253" i="102"/>
  <c r="DB253" i="102" s="1"/>
  <c r="CZ253" i="102"/>
  <c r="CU254" i="102"/>
  <c r="CY254" i="102" s="1"/>
  <c r="CV254" i="102"/>
  <c r="CZ254" i="102" s="1"/>
  <c r="CW254" i="102"/>
  <c r="CX254" i="102"/>
  <c r="DB254" i="102" s="1"/>
  <c r="DA254" i="102"/>
  <c r="CU255" i="102"/>
  <c r="CV255" i="102"/>
  <c r="CW255" i="102"/>
  <c r="CX255" i="102"/>
  <c r="CY255" i="102"/>
  <c r="CZ255" i="102"/>
  <c r="DA255" i="102"/>
  <c r="DB255" i="102"/>
  <c r="CU256" i="102"/>
  <c r="CY256" i="102" s="1"/>
  <c r="CV256" i="102"/>
  <c r="CZ256" i="102" s="1"/>
  <c r="CW256" i="102"/>
  <c r="CX256" i="102"/>
  <c r="DB256" i="102" s="1"/>
  <c r="DA256" i="102"/>
  <c r="CU257" i="102"/>
  <c r="CY257" i="102" s="1"/>
  <c r="CV257" i="102"/>
  <c r="CZ257" i="102" s="1"/>
  <c r="CW257" i="102"/>
  <c r="DA257" i="102" s="1"/>
  <c r="CX257" i="102"/>
  <c r="DB257" i="102" s="1"/>
  <c r="CU258" i="102"/>
  <c r="CV258" i="102"/>
  <c r="CZ258" i="102" s="1"/>
  <c r="CW258" i="102"/>
  <c r="CX258" i="102"/>
  <c r="CY258" i="102"/>
  <c r="DA258" i="102"/>
  <c r="DB258" i="102"/>
  <c r="CU259" i="102"/>
  <c r="CV259" i="102"/>
  <c r="CW259" i="102"/>
  <c r="CX259" i="102"/>
  <c r="CY259" i="102"/>
  <c r="CZ259" i="102"/>
  <c r="DA259" i="102"/>
  <c r="DB259" i="102"/>
  <c r="CU260" i="102"/>
  <c r="CY260" i="102" s="1"/>
  <c r="CV260" i="102"/>
  <c r="CZ260" i="102" s="1"/>
  <c r="CW260" i="102"/>
  <c r="DA260" i="102" s="1"/>
  <c r="CX260" i="102"/>
  <c r="DB260" i="102" s="1"/>
  <c r="CU261" i="102"/>
  <c r="CY261" i="102" s="1"/>
  <c r="CV261" i="102"/>
  <c r="CZ261" i="102" s="1"/>
  <c r="CW261" i="102"/>
  <c r="DA261" i="102" s="1"/>
  <c r="CX261" i="102"/>
  <c r="DB261" i="102" s="1"/>
  <c r="CU262" i="102"/>
  <c r="CV262" i="102"/>
  <c r="CZ262" i="102" s="1"/>
  <c r="CW262" i="102"/>
  <c r="CX262" i="102"/>
  <c r="DB262" i="102" s="1"/>
  <c r="CY262" i="102"/>
  <c r="DC262" i="102" s="1"/>
  <c r="DA262" i="102"/>
  <c r="CU263" i="102"/>
  <c r="CY263" i="102" s="1"/>
  <c r="CV263" i="102"/>
  <c r="CZ263" i="102" s="1"/>
  <c r="CW263" i="102"/>
  <c r="DA263" i="102" s="1"/>
  <c r="CX263" i="102"/>
  <c r="DB263" i="102"/>
  <c r="CU264" i="102"/>
  <c r="CY264" i="102" s="1"/>
  <c r="CV264" i="102"/>
  <c r="CW264" i="102"/>
  <c r="DA264" i="102" s="1"/>
  <c r="CX264" i="102"/>
  <c r="DB264" i="102" s="1"/>
  <c r="CZ264" i="102"/>
  <c r="CU265" i="102"/>
  <c r="CY265" i="102" s="1"/>
  <c r="CV265" i="102"/>
  <c r="CZ265" i="102" s="1"/>
  <c r="CW265" i="102"/>
  <c r="DA265" i="102" s="1"/>
  <c r="CX265" i="102"/>
  <c r="DB265" i="102" s="1"/>
  <c r="CU266" i="102"/>
  <c r="CV266" i="102"/>
  <c r="CZ266" i="102" s="1"/>
  <c r="CW266" i="102"/>
  <c r="DA266" i="102" s="1"/>
  <c r="CX266" i="102"/>
  <c r="DB266" i="102" s="1"/>
  <c r="CY266" i="102"/>
  <c r="CU267" i="102"/>
  <c r="CV267" i="102"/>
  <c r="CW267" i="102"/>
  <c r="CX267" i="102"/>
  <c r="DB267" i="102" s="1"/>
  <c r="CY267" i="102"/>
  <c r="DC267" i="102" s="1"/>
  <c r="CZ267" i="102"/>
  <c r="DA267" i="102"/>
  <c r="CU268" i="102"/>
  <c r="CY268" i="102" s="1"/>
  <c r="CV268" i="102"/>
  <c r="CZ268" i="102" s="1"/>
  <c r="CW268" i="102"/>
  <c r="CX268" i="102"/>
  <c r="DB268" i="102" s="1"/>
  <c r="DA268" i="102"/>
  <c r="CU269" i="102"/>
  <c r="CV269" i="102"/>
  <c r="CZ269" i="102" s="1"/>
  <c r="CW269" i="102"/>
  <c r="DA269" i="102" s="1"/>
  <c r="CX269" i="102"/>
  <c r="DB269" i="102" s="1"/>
  <c r="CY269" i="102"/>
  <c r="DC269" i="102"/>
  <c r="CU270" i="102"/>
  <c r="CY270" i="102" s="1"/>
  <c r="CV270" i="102"/>
  <c r="CW270" i="102"/>
  <c r="DA270" i="102" s="1"/>
  <c r="CX270" i="102"/>
  <c r="DB270" i="102" s="1"/>
  <c r="CZ270" i="102"/>
  <c r="CU271" i="102"/>
  <c r="CY271" i="102" s="1"/>
  <c r="CV271" i="102"/>
  <c r="CZ271" i="102" s="1"/>
  <c r="CW271" i="102"/>
  <c r="DA271" i="102" s="1"/>
  <c r="CX271" i="102"/>
  <c r="DB271" i="102" s="1"/>
  <c r="CU272" i="102"/>
  <c r="CY272" i="102" s="1"/>
  <c r="CV272" i="102"/>
  <c r="CW272" i="102"/>
  <c r="DA272" i="102" s="1"/>
  <c r="CX272" i="102"/>
  <c r="DB272" i="102" s="1"/>
  <c r="CZ272" i="102"/>
  <c r="CU273" i="102"/>
  <c r="CV273" i="102"/>
  <c r="CW273" i="102"/>
  <c r="CX273" i="102"/>
  <c r="DB273" i="102" s="1"/>
  <c r="CY273" i="102"/>
  <c r="CZ273" i="102"/>
  <c r="DA273" i="102"/>
  <c r="CU274" i="102"/>
  <c r="CV274" i="102"/>
  <c r="CZ274" i="102" s="1"/>
  <c r="CW274" i="102"/>
  <c r="DA274" i="102" s="1"/>
  <c r="CX274" i="102"/>
  <c r="DB274" i="102" s="1"/>
  <c r="CY274" i="102"/>
  <c r="DC274" i="102" s="1"/>
  <c r="CU275" i="102"/>
  <c r="CY275" i="102" s="1"/>
  <c r="CV275" i="102"/>
  <c r="CZ275" i="102" s="1"/>
  <c r="CW275" i="102"/>
  <c r="DA275" i="102" s="1"/>
  <c r="CX275" i="102"/>
  <c r="DB275" i="102" s="1"/>
  <c r="CU276" i="102"/>
  <c r="CY276" i="102" s="1"/>
  <c r="CV276" i="102"/>
  <c r="CW276" i="102"/>
  <c r="CX276" i="102"/>
  <c r="DB276" i="102" s="1"/>
  <c r="CZ276" i="102"/>
  <c r="DA276" i="102"/>
  <c r="CU277" i="102"/>
  <c r="CY277" i="102" s="1"/>
  <c r="CV277" i="102"/>
  <c r="CZ277" i="102" s="1"/>
  <c r="CW277" i="102"/>
  <c r="DA277" i="102" s="1"/>
  <c r="CX277" i="102"/>
  <c r="DB277" i="102" s="1"/>
  <c r="CU278" i="102"/>
  <c r="CV278" i="102"/>
  <c r="CZ278" i="102" s="1"/>
  <c r="CW278" i="102"/>
  <c r="DA278" i="102" s="1"/>
  <c r="CX278" i="102"/>
  <c r="DB278" i="102" s="1"/>
  <c r="CY278" i="102"/>
  <c r="CU279" i="102"/>
  <c r="CV279" i="102"/>
  <c r="CW279" i="102"/>
  <c r="CX279" i="102"/>
  <c r="CY279" i="102"/>
  <c r="CZ279" i="102"/>
  <c r="DA279" i="102"/>
  <c r="DB279" i="102"/>
  <c r="CU280" i="102"/>
  <c r="CY280" i="102" s="1"/>
  <c r="CV280" i="102"/>
  <c r="CZ280" i="102" s="1"/>
  <c r="CW280" i="102"/>
  <c r="DA280" i="102" s="1"/>
  <c r="CX280" i="102"/>
  <c r="DB280" i="102" s="1"/>
  <c r="CU281" i="102"/>
  <c r="CY281" i="102" s="1"/>
  <c r="CV281" i="102"/>
  <c r="CZ281" i="102" s="1"/>
  <c r="CW281" i="102"/>
  <c r="DA281" i="102" s="1"/>
  <c r="CX281" i="102"/>
  <c r="DB281" i="102" s="1"/>
  <c r="CU282" i="102"/>
  <c r="CV282" i="102"/>
  <c r="CW282" i="102"/>
  <c r="CX282" i="102"/>
  <c r="CY282" i="102"/>
  <c r="CZ282" i="102"/>
  <c r="DA282" i="102"/>
  <c r="DB282" i="102"/>
  <c r="CU283" i="102"/>
  <c r="CY283" i="102" s="1"/>
  <c r="CV283" i="102"/>
  <c r="CW283" i="102"/>
  <c r="DA283" i="102" s="1"/>
  <c r="CX283" i="102"/>
  <c r="CZ283" i="102"/>
  <c r="DB283" i="102"/>
  <c r="CU284" i="102"/>
  <c r="CY284" i="102" s="1"/>
  <c r="CV284" i="102"/>
  <c r="CZ284" i="102" s="1"/>
  <c r="CW284" i="102"/>
  <c r="DA284" i="102" s="1"/>
  <c r="CX284" i="102"/>
  <c r="DB284" i="102" s="1"/>
  <c r="CU285" i="102"/>
  <c r="CY285" i="102" s="1"/>
  <c r="CV285" i="102"/>
  <c r="CZ285" i="102" s="1"/>
  <c r="CW285" i="102"/>
  <c r="DA285" i="102" s="1"/>
  <c r="CX285" i="102"/>
  <c r="DB285" i="102" s="1"/>
  <c r="CU286" i="102"/>
  <c r="CY286" i="102" s="1"/>
  <c r="CV286" i="102"/>
  <c r="CZ286" i="102" s="1"/>
  <c r="CW286" i="102"/>
  <c r="DA286" i="102" s="1"/>
  <c r="CX286" i="102"/>
  <c r="DB286" i="102"/>
  <c r="CU287" i="102"/>
  <c r="CV287" i="102"/>
  <c r="CW287" i="102"/>
  <c r="DA287" i="102" s="1"/>
  <c r="CX287" i="102"/>
  <c r="DB287" i="102" s="1"/>
  <c r="DC287" i="102" s="1"/>
  <c r="CY287" i="102"/>
  <c r="CZ287" i="102"/>
  <c r="CU288" i="102"/>
  <c r="CY288" i="102" s="1"/>
  <c r="CV288" i="102"/>
  <c r="CZ288" i="102" s="1"/>
  <c r="CW288" i="102"/>
  <c r="DA288" i="102" s="1"/>
  <c r="CX288" i="102"/>
  <c r="DB288" i="102" s="1"/>
  <c r="CU289" i="102"/>
  <c r="CV289" i="102"/>
  <c r="CZ289" i="102" s="1"/>
  <c r="CW289" i="102"/>
  <c r="DA289" i="102" s="1"/>
  <c r="CX289" i="102"/>
  <c r="DB289" i="102" s="1"/>
  <c r="CY289" i="102"/>
  <c r="DC289" i="102" s="1"/>
  <c r="CU290" i="102"/>
  <c r="CV290" i="102"/>
  <c r="CZ290" i="102" s="1"/>
  <c r="CW290" i="102"/>
  <c r="DA290" i="102" s="1"/>
  <c r="CX290" i="102"/>
  <c r="CY290" i="102"/>
  <c r="DB290" i="102"/>
  <c r="CU291" i="102"/>
  <c r="CV291" i="102"/>
  <c r="CW291" i="102"/>
  <c r="DA291" i="102" s="1"/>
  <c r="CX291" i="102"/>
  <c r="DB291" i="102" s="1"/>
  <c r="CY291" i="102"/>
  <c r="DC291" i="102" s="1"/>
  <c r="CZ291" i="102"/>
  <c r="CU292" i="102"/>
  <c r="CY292" i="102" s="1"/>
  <c r="CV292" i="102"/>
  <c r="CZ292" i="102" s="1"/>
  <c r="CW292" i="102"/>
  <c r="CX292" i="102"/>
  <c r="DB292" i="102" s="1"/>
  <c r="DA292" i="102"/>
  <c r="DC292" i="102" s="1"/>
  <c r="CU293" i="102"/>
  <c r="CY293" i="102" s="1"/>
  <c r="CV293" i="102"/>
  <c r="CZ293" i="102" s="1"/>
  <c r="CW293" i="102"/>
  <c r="DA293" i="102" s="1"/>
  <c r="CX293" i="102"/>
  <c r="DB293" i="102" s="1"/>
  <c r="CU294" i="102"/>
  <c r="CV294" i="102"/>
  <c r="CW294" i="102"/>
  <c r="CX294" i="102"/>
  <c r="DB294" i="102" s="1"/>
  <c r="CY294" i="102"/>
  <c r="CZ294" i="102"/>
  <c r="DA294" i="102"/>
  <c r="CU295" i="102"/>
  <c r="CV295" i="102"/>
  <c r="CW295" i="102"/>
  <c r="CX295" i="102"/>
  <c r="CY295" i="102"/>
  <c r="CZ295" i="102"/>
  <c r="DA295" i="102"/>
  <c r="DB295" i="102"/>
  <c r="CU296" i="102"/>
  <c r="CY296" i="102" s="1"/>
  <c r="CV296" i="102"/>
  <c r="CZ296" i="102" s="1"/>
  <c r="CW296" i="102"/>
  <c r="DA296" i="102" s="1"/>
  <c r="CX296" i="102"/>
  <c r="DB296" i="102" s="1"/>
  <c r="CU297" i="102"/>
  <c r="CV297" i="102"/>
  <c r="CW297" i="102"/>
  <c r="CX297" i="102"/>
  <c r="DB297" i="102" s="1"/>
  <c r="CY297" i="102"/>
  <c r="CZ297" i="102"/>
  <c r="DA297" i="102"/>
  <c r="CU298" i="102"/>
  <c r="CY298" i="102" s="1"/>
  <c r="CV298" i="102"/>
  <c r="CZ298" i="102" s="1"/>
  <c r="CW298" i="102"/>
  <c r="DA298" i="102" s="1"/>
  <c r="CX298" i="102"/>
  <c r="DB298" i="102"/>
  <c r="CU299" i="102"/>
  <c r="CY299" i="102" s="1"/>
  <c r="CV299" i="102"/>
  <c r="CW299" i="102"/>
  <c r="DA299" i="102" s="1"/>
  <c r="CX299" i="102"/>
  <c r="DB299" i="102" s="1"/>
  <c r="CZ299" i="102"/>
  <c r="CU300" i="102"/>
  <c r="CY300" i="102" s="1"/>
  <c r="CV300" i="102"/>
  <c r="CZ300" i="102" s="1"/>
  <c r="CW300" i="102"/>
  <c r="DA300" i="102" s="1"/>
  <c r="CX300" i="102"/>
  <c r="DB300" i="102" s="1"/>
  <c r="CU301" i="102"/>
  <c r="CY301" i="102" s="1"/>
  <c r="CV301" i="102"/>
  <c r="CZ301" i="102" s="1"/>
  <c r="CW301" i="102"/>
  <c r="CX301" i="102"/>
  <c r="DB301" i="102" s="1"/>
  <c r="DA301" i="102"/>
  <c r="CU302" i="102"/>
  <c r="CV302" i="102"/>
  <c r="CW302" i="102"/>
  <c r="DA302" i="102" s="1"/>
  <c r="CX302" i="102"/>
  <c r="DB302" i="102" s="1"/>
  <c r="CY302" i="102"/>
  <c r="CZ302" i="102"/>
  <c r="CU303" i="102"/>
  <c r="CY303" i="102" s="1"/>
  <c r="CV303" i="102"/>
  <c r="CZ303" i="102" s="1"/>
  <c r="CW303" i="102"/>
  <c r="CX303" i="102"/>
  <c r="DB303" i="102" s="1"/>
  <c r="DA303" i="102"/>
  <c r="CU304" i="102"/>
  <c r="CY304" i="102" s="1"/>
  <c r="CV304" i="102"/>
  <c r="CZ304" i="102" s="1"/>
  <c r="DC304" i="102" s="1"/>
  <c r="CW304" i="102"/>
  <c r="DA304" i="102" s="1"/>
  <c r="CX304" i="102"/>
  <c r="DB304" i="102" s="1"/>
  <c r="CU305" i="102"/>
  <c r="CY305" i="102" s="1"/>
  <c r="CV305" i="102"/>
  <c r="CZ305" i="102" s="1"/>
  <c r="CW305" i="102"/>
  <c r="DA305" i="102" s="1"/>
  <c r="CX305" i="102"/>
  <c r="DB305" i="102" s="1"/>
  <c r="CU306" i="102"/>
  <c r="CY306" i="102" s="1"/>
  <c r="CV306" i="102"/>
  <c r="CZ306" i="102" s="1"/>
  <c r="CW306" i="102"/>
  <c r="DA306" i="102" s="1"/>
  <c r="CX306" i="102"/>
  <c r="DB306" i="102" s="1"/>
  <c r="CU307" i="102"/>
  <c r="CV307" i="102"/>
  <c r="CW307" i="102"/>
  <c r="CX307" i="102"/>
  <c r="CY307" i="102"/>
  <c r="CZ307" i="102"/>
  <c r="DA307" i="102"/>
  <c r="DB307" i="102"/>
  <c r="CU308" i="102"/>
  <c r="CY308" i="102" s="1"/>
  <c r="CV308" i="102"/>
  <c r="CZ308" i="102" s="1"/>
  <c r="CW308" i="102"/>
  <c r="CX308" i="102"/>
  <c r="DB308" i="102" s="1"/>
  <c r="DA308" i="102"/>
  <c r="CU309" i="102"/>
  <c r="CV309" i="102"/>
  <c r="CZ309" i="102" s="1"/>
  <c r="CW309" i="102"/>
  <c r="DA309" i="102" s="1"/>
  <c r="CX309" i="102"/>
  <c r="DB309" i="102" s="1"/>
  <c r="CY309" i="102"/>
  <c r="CU310" i="102"/>
  <c r="CV310" i="102"/>
  <c r="CW310" i="102"/>
  <c r="CX310" i="102"/>
  <c r="CY310" i="102"/>
  <c r="CZ310" i="102"/>
  <c r="DA310" i="102"/>
  <c r="DB310" i="102"/>
  <c r="CU311" i="102"/>
  <c r="CY311" i="102" s="1"/>
  <c r="CV311" i="102"/>
  <c r="CZ311" i="102" s="1"/>
  <c r="CW311" i="102"/>
  <c r="DA311" i="102" s="1"/>
  <c r="CX311" i="102"/>
  <c r="DB311" i="102"/>
  <c r="CU312" i="102"/>
  <c r="CY312" i="102" s="1"/>
  <c r="CV312" i="102"/>
  <c r="CZ312" i="102" s="1"/>
  <c r="CW312" i="102"/>
  <c r="DA312" i="102" s="1"/>
  <c r="CX312" i="102"/>
  <c r="DB312" i="102" s="1"/>
  <c r="CU313" i="102"/>
  <c r="CV313" i="102"/>
  <c r="CW313" i="102"/>
  <c r="CX313" i="102"/>
  <c r="DB313" i="102" s="1"/>
  <c r="CY313" i="102"/>
  <c r="CZ313" i="102"/>
  <c r="DA313" i="102"/>
  <c r="CU314" i="102"/>
  <c r="CY314" i="102" s="1"/>
  <c r="CV314" i="102"/>
  <c r="CW314" i="102"/>
  <c r="DA314" i="102" s="1"/>
  <c r="CX314" i="102"/>
  <c r="DB314" i="102" s="1"/>
  <c r="CZ314" i="102"/>
  <c r="CU315" i="102"/>
  <c r="CY315" i="102" s="1"/>
  <c r="CV315" i="102"/>
  <c r="CZ315" i="102" s="1"/>
  <c r="CW315" i="102"/>
  <c r="DA315" i="102" s="1"/>
  <c r="CX315" i="102"/>
  <c r="DB315" i="102" s="1"/>
  <c r="CU316" i="102"/>
  <c r="CY316" i="102" s="1"/>
  <c r="CV316" i="102"/>
  <c r="CZ316" i="102" s="1"/>
  <c r="CW316" i="102"/>
  <c r="DA316" i="102" s="1"/>
  <c r="CX316" i="102"/>
  <c r="DB316" i="102"/>
  <c r="CU317" i="102"/>
  <c r="CV317" i="102"/>
  <c r="CZ317" i="102" s="1"/>
  <c r="CW317" i="102"/>
  <c r="DA317" i="102" s="1"/>
  <c r="CX317" i="102"/>
  <c r="DB317" i="102" s="1"/>
  <c r="CY317" i="102"/>
  <c r="CU318" i="102"/>
  <c r="CV318" i="102"/>
  <c r="CW318" i="102"/>
  <c r="DA318" i="102" s="1"/>
  <c r="CX318" i="102"/>
  <c r="CY318" i="102"/>
  <c r="CZ318" i="102"/>
  <c r="DB318" i="102"/>
  <c r="CU319" i="102"/>
  <c r="CY319" i="102" s="1"/>
  <c r="CV319" i="102"/>
  <c r="CZ319" i="102" s="1"/>
  <c r="CW319" i="102"/>
  <c r="DA319" i="102" s="1"/>
  <c r="CX319" i="102"/>
  <c r="DB319" i="102" s="1"/>
  <c r="CU320" i="102"/>
  <c r="CY320" i="102" s="1"/>
  <c r="CV320" i="102"/>
  <c r="CZ320" i="102" s="1"/>
  <c r="DC320" i="102" s="1"/>
  <c r="CW320" i="102"/>
  <c r="DA320" i="102" s="1"/>
  <c r="CX320" i="102"/>
  <c r="DB320" i="102" s="1"/>
  <c r="CU321" i="102"/>
  <c r="CY321" i="102" s="1"/>
  <c r="CV321" i="102"/>
  <c r="CW321" i="102"/>
  <c r="DA321" i="102" s="1"/>
  <c r="DC321" i="102" s="1"/>
  <c r="CX321" i="102"/>
  <c r="DB321" i="102" s="1"/>
  <c r="CZ321" i="102"/>
  <c r="CU322" i="102"/>
  <c r="CY322" i="102" s="1"/>
  <c r="CV322" i="102"/>
  <c r="CZ322" i="102" s="1"/>
  <c r="CW322" i="102"/>
  <c r="DA322" i="102" s="1"/>
  <c r="CX322" i="102"/>
  <c r="DB322" i="102" s="1"/>
  <c r="CU323" i="102"/>
  <c r="CV323" i="102"/>
  <c r="CW323" i="102"/>
  <c r="CX323" i="102"/>
  <c r="DB323" i="102" s="1"/>
  <c r="CY323" i="102"/>
  <c r="CZ323" i="102"/>
  <c r="DA323" i="102"/>
  <c r="CU324" i="102"/>
  <c r="CY324" i="102" s="1"/>
  <c r="CV324" i="102"/>
  <c r="CZ324" i="102" s="1"/>
  <c r="CW324" i="102"/>
  <c r="DA324" i="102" s="1"/>
  <c r="DC324" i="102" s="1"/>
  <c r="CX324" i="102"/>
  <c r="DB324" i="102"/>
  <c r="CU325" i="102"/>
  <c r="CY325" i="102" s="1"/>
  <c r="CV325" i="102"/>
  <c r="CZ325" i="102" s="1"/>
  <c r="CW325" i="102"/>
  <c r="DA325" i="102" s="1"/>
  <c r="CX325" i="102"/>
  <c r="DB325" i="102" s="1"/>
  <c r="CU326" i="102"/>
  <c r="CV326" i="102"/>
  <c r="CW326" i="102"/>
  <c r="CX326" i="102"/>
  <c r="DB326" i="102" s="1"/>
  <c r="CY326" i="102"/>
  <c r="CZ326" i="102"/>
  <c r="DA326" i="102"/>
  <c r="CU327" i="102"/>
  <c r="CY327" i="102" s="1"/>
  <c r="CV327" i="102"/>
  <c r="CW327" i="102"/>
  <c r="DA327" i="102" s="1"/>
  <c r="CX327" i="102"/>
  <c r="DB327" i="102" s="1"/>
  <c r="CZ327" i="102"/>
  <c r="CU328" i="102"/>
  <c r="CY328" i="102" s="1"/>
  <c r="CV328" i="102"/>
  <c r="CZ328" i="102" s="1"/>
  <c r="CW328" i="102"/>
  <c r="DA328" i="102" s="1"/>
  <c r="CX328" i="102"/>
  <c r="DB328" i="102" s="1"/>
  <c r="CU329" i="102"/>
  <c r="CV329" i="102"/>
  <c r="CZ329" i="102" s="1"/>
  <c r="CW329" i="102"/>
  <c r="CX329" i="102"/>
  <c r="DB329" i="102" s="1"/>
  <c r="CY329" i="102"/>
  <c r="DC329" i="102" s="1"/>
  <c r="DA329" i="102"/>
  <c r="CU330" i="102"/>
  <c r="CV330" i="102"/>
  <c r="CZ330" i="102" s="1"/>
  <c r="CW330" i="102"/>
  <c r="DA330" i="102" s="1"/>
  <c r="CX330" i="102"/>
  <c r="CY330" i="102"/>
  <c r="DB330" i="102"/>
  <c r="CU331" i="102"/>
  <c r="CV331" i="102"/>
  <c r="CW331" i="102"/>
  <c r="DA331" i="102" s="1"/>
  <c r="CX331" i="102"/>
  <c r="DB331" i="102" s="1"/>
  <c r="CY331" i="102"/>
  <c r="CZ331" i="102"/>
  <c r="CU332" i="102"/>
  <c r="CY332" i="102" s="1"/>
  <c r="CV332" i="102"/>
  <c r="CZ332" i="102" s="1"/>
  <c r="CW332" i="102"/>
  <c r="CX332" i="102"/>
  <c r="DB332" i="102" s="1"/>
  <c r="DA332" i="102"/>
  <c r="CU333" i="102"/>
  <c r="CY333" i="102" s="1"/>
  <c r="CV333" i="102"/>
  <c r="CZ333" i="102" s="1"/>
  <c r="CW333" i="102"/>
  <c r="DA333" i="102" s="1"/>
  <c r="CX333" i="102"/>
  <c r="DB333" i="102" s="1"/>
  <c r="CU334" i="102"/>
  <c r="CV334" i="102"/>
  <c r="CZ334" i="102" s="1"/>
  <c r="CW334" i="102"/>
  <c r="CX334" i="102"/>
  <c r="DB334" i="102" s="1"/>
  <c r="CY334" i="102"/>
  <c r="DC334" i="102" s="1"/>
  <c r="DA334" i="102"/>
  <c r="CU335" i="102"/>
  <c r="CV335" i="102"/>
  <c r="CW335" i="102"/>
  <c r="CX335" i="102"/>
  <c r="CY335" i="102"/>
  <c r="CZ335" i="102"/>
  <c r="DA335" i="102"/>
  <c r="DB335" i="102"/>
  <c r="CU336" i="102"/>
  <c r="CY336" i="102" s="1"/>
  <c r="CV336" i="102"/>
  <c r="CZ336" i="102" s="1"/>
  <c r="DC336" i="102" s="1"/>
  <c r="CW336" i="102"/>
  <c r="DA336" i="102" s="1"/>
  <c r="CX336" i="102"/>
  <c r="DB336" i="102" s="1"/>
  <c r="CU337" i="102"/>
  <c r="CV337" i="102"/>
  <c r="CZ337" i="102" s="1"/>
  <c r="CW337" i="102"/>
  <c r="DA337" i="102" s="1"/>
  <c r="CX337" i="102"/>
  <c r="DB337" i="102" s="1"/>
  <c r="CY337" i="102"/>
  <c r="CU338" i="102"/>
  <c r="CY338" i="102" s="1"/>
  <c r="CV338" i="102"/>
  <c r="CZ338" i="102" s="1"/>
  <c r="CW338" i="102"/>
  <c r="DA338" i="102" s="1"/>
  <c r="CX338" i="102"/>
  <c r="DB338" i="102"/>
  <c r="CU339" i="102"/>
  <c r="CY339" i="102" s="1"/>
  <c r="CV339" i="102"/>
  <c r="CW339" i="102"/>
  <c r="DA339" i="102" s="1"/>
  <c r="CX339" i="102"/>
  <c r="DB339" i="102" s="1"/>
  <c r="CZ339" i="102"/>
  <c r="CU340" i="102"/>
  <c r="CY340" i="102" s="1"/>
  <c r="CV340" i="102"/>
  <c r="CZ340" i="102" s="1"/>
  <c r="CW340" i="102"/>
  <c r="DA340" i="102" s="1"/>
  <c r="CX340" i="102"/>
  <c r="DB340" i="102" s="1"/>
  <c r="CU341" i="102"/>
  <c r="CV341" i="102"/>
  <c r="CW341" i="102"/>
  <c r="CX341" i="102"/>
  <c r="DB341" i="102" s="1"/>
  <c r="CY341" i="102"/>
  <c r="CZ341" i="102"/>
  <c r="DA341" i="102"/>
  <c r="DC341" i="102" s="1"/>
  <c r="CU342" i="102"/>
  <c r="CY342" i="102" s="1"/>
  <c r="CV342" i="102"/>
  <c r="CZ342" i="102" s="1"/>
  <c r="CW342" i="102"/>
  <c r="DA342" i="102" s="1"/>
  <c r="CX342" i="102"/>
  <c r="DB342" i="102" s="1"/>
  <c r="CU343" i="102"/>
  <c r="CV343" i="102"/>
  <c r="CW343" i="102"/>
  <c r="DA343" i="102" s="1"/>
  <c r="CX343" i="102"/>
  <c r="DB343" i="102" s="1"/>
  <c r="CY343" i="102"/>
  <c r="CZ343" i="102"/>
  <c r="CU344" i="102"/>
  <c r="CY344" i="102" s="1"/>
  <c r="CV344" i="102"/>
  <c r="CW344" i="102"/>
  <c r="DA344" i="102" s="1"/>
  <c r="CX344" i="102"/>
  <c r="DB344" i="102" s="1"/>
  <c r="CZ344" i="102"/>
  <c r="CU345" i="102"/>
  <c r="CY345" i="102" s="1"/>
  <c r="CV345" i="102"/>
  <c r="CW345" i="102"/>
  <c r="DA345" i="102" s="1"/>
  <c r="CX345" i="102"/>
  <c r="DB345" i="102" s="1"/>
  <c r="CZ345" i="102"/>
  <c r="CU346" i="102"/>
  <c r="CV346" i="102"/>
  <c r="CZ346" i="102" s="1"/>
  <c r="CW346" i="102"/>
  <c r="DA346" i="102" s="1"/>
  <c r="CX346" i="102"/>
  <c r="DB346" i="102" s="1"/>
  <c r="CY346" i="102"/>
  <c r="CU347" i="102"/>
  <c r="CY347" i="102" s="1"/>
  <c r="CV347" i="102"/>
  <c r="CZ347" i="102" s="1"/>
  <c r="CW347" i="102"/>
  <c r="DA347" i="102" s="1"/>
  <c r="CX347" i="102"/>
  <c r="DB347" i="102"/>
  <c r="CU348" i="102"/>
  <c r="CY348" i="102" s="1"/>
  <c r="CV348" i="102"/>
  <c r="CZ348" i="102" s="1"/>
  <c r="CW348" i="102"/>
  <c r="DA348" i="102" s="1"/>
  <c r="CX348" i="102"/>
  <c r="DB348" i="102" s="1"/>
  <c r="CU349" i="102"/>
  <c r="CV349" i="102"/>
  <c r="CW349" i="102"/>
  <c r="DA349" i="102" s="1"/>
  <c r="CX349" i="102"/>
  <c r="DB349" i="102" s="1"/>
  <c r="CY349" i="102"/>
  <c r="CZ349" i="102"/>
  <c r="CU350" i="102"/>
  <c r="CY350" i="102" s="1"/>
  <c r="CV350" i="102"/>
  <c r="CZ350" i="102" s="1"/>
  <c r="CW350" i="102"/>
  <c r="CX350" i="102"/>
  <c r="DB350" i="102" s="1"/>
  <c r="DA350" i="102"/>
  <c r="CU351" i="102"/>
  <c r="CV351" i="102"/>
  <c r="CW351" i="102"/>
  <c r="DA351" i="102" s="1"/>
  <c r="CX351" i="102"/>
  <c r="DB351" i="102" s="1"/>
  <c r="CY351" i="102"/>
  <c r="CZ351" i="102"/>
  <c r="CU352" i="102"/>
  <c r="CY352" i="102" s="1"/>
  <c r="CV352" i="102"/>
  <c r="CZ352" i="102" s="1"/>
  <c r="CW352" i="102"/>
  <c r="CX352" i="102"/>
  <c r="DA352" i="102"/>
  <c r="DB352" i="102"/>
  <c r="CU353" i="102"/>
  <c r="CY353" i="102" s="1"/>
  <c r="CV353" i="102"/>
  <c r="CZ353" i="102" s="1"/>
  <c r="CW353" i="102"/>
  <c r="DA353" i="102" s="1"/>
  <c r="CX353" i="102"/>
  <c r="DB353" i="102" s="1"/>
  <c r="CU354" i="102"/>
  <c r="CV354" i="102"/>
  <c r="CW354" i="102"/>
  <c r="DA354" i="102" s="1"/>
  <c r="CX354" i="102"/>
  <c r="DB354" i="102" s="1"/>
  <c r="CY354" i="102"/>
  <c r="CZ354" i="102"/>
  <c r="CU355" i="102"/>
  <c r="CV355" i="102"/>
  <c r="CW355" i="102"/>
  <c r="CX355" i="102"/>
  <c r="CY355" i="102"/>
  <c r="CZ355" i="102"/>
  <c r="DC355" i="102" s="1"/>
  <c r="DA355" i="102"/>
  <c r="DB355" i="102"/>
  <c r="CU356" i="102"/>
  <c r="CY356" i="102" s="1"/>
  <c r="CV356" i="102"/>
  <c r="CZ356" i="102" s="1"/>
  <c r="CW356" i="102"/>
  <c r="CX356" i="102"/>
  <c r="DB356" i="102" s="1"/>
  <c r="DA356" i="102"/>
  <c r="CU357" i="102"/>
  <c r="CV357" i="102"/>
  <c r="CZ357" i="102" s="1"/>
  <c r="CW357" i="102"/>
  <c r="DA357" i="102" s="1"/>
  <c r="CX357" i="102"/>
  <c r="DB357" i="102" s="1"/>
  <c r="CY357" i="102"/>
  <c r="CU358" i="102"/>
  <c r="CV358" i="102"/>
  <c r="CW358" i="102"/>
  <c r="CX358" i="102"/>
  <c r="CY358" i="102"/>
  <c r="CZ358" i="102"/>
  <c r="DA358" i="102"/>
  <c r="DB358" i="102"/>
  <c r="CU359" i="102"/>
  <c r="CY359" i="102" s="1"/>
  <c r="CV359" i="102"/>
  <c r="CZ359" i="102" s="1"/>
  <c r="CW359" i="102"/>
  <c r="CX359" i="102"/>
  <c r="DA359" i="102"/>
  <c r="DB359" i="102"/>
  <c r="CU360" i="102"/>
  <c r="CY360" i="102" s="1"/>
  <c r="CV360" i="102"/>
  <c r="CZ360" i="102" s="1"/>
  <c r="CW360" i="102"/>
  <c r="DA360" i="102" s="1"/>
  <c r="CX360" i="102"/>
  <c r="DB360" i="102" s="1"/>
  <c r="CU361" i="102"/>
  <c r="CV361" i="102"/>
  <c r="CW361" i="102"/>
  <c r="CX361" i="102"/>
  <c r="DB361" i="102" s="1"/>
  <c r="CY361" i="102"/>
  <c r="CZ361" i="102"/>
  <c r="DA361" i="102"/>
  <c r="CU362" i="102"/>
  <c r="CY362" i="102" s="1"/>
  <c r="CV362" i="102"/>
  <c r="CZ362" i="102" s="1"/>
  <c r="CW362" i="102"/>
  <c r="DA362" i="102" s="1"/>
  <c r="CX362" i="102"/>
  <c r="DB362" i="102" s="1"/>
  <c r="CU363" i="102"/>
  <c r="CY363" i="102" s="1"/>
  <c r="CV363" i="102"/>
  <c r="CZ363" i="102" s="1"/>
  <c r="CW363" i="102"/>
  <c r="DA363" i="102" s="1"/>
  <c r="CX363" i="102"/>
  <c r="DB363" i="102" s="1"/>
  <c r="CU364" i="102"/>
  <c r="CY364" i="102" s="1"/>
  <c r="CV364" i="102"/>
  <c r="CZ364" i="102" s="1"/>
  <c r="CW364" i="102"/>
  <c r="CX364" i="102"/>
  <c r="DB364" i="102" s="1"/>
  <c r="DA364" i="102"/>
  <c r="CU365" i="102"/>
  <c r="CV365" i="102"/>
  <c r="CW365" i="102"/>
  <c r="CX365" i="102"/>
  <c r="DB365" i="102" s="1"/>
  <c r="CY365" i="102"/>
  <c r="CZ365" i="102"/>
  <c r="DA365" i="102"/>
  <c r="CU366" i="102"/>
  <c r="CY366" i="102" s="1"/>
  <c r="CV366" i="102"/>
  <c r="CZ366" i="102" s="1"/>
  <c r="CW366" i="102"/>
  <c r="DA366" i="102" s="1"/>
  <c r="CX366" i="102"/>
  <c r="DB366" i="102"/>
  <c r="CU367" i="102"/>
  <c r="CV367" i="102"/>
  <c r="CW367" i="102"/>
  <c r="DA367" i="102" s="1"/>
  <c r="CX367" i="102"/>
  <c r="DB367" i="102" s="1"/>
  <c r="CY367" i="102"/>
  <c r="DC367" i="102" s="1"/>
  <c r="CZ367" i="102"/>
  <c r="CU368" i="102"/>
  <c r="CY368" i="102" s="1"/>
  <c r="CV368" i="102"/>
  <c r="CZ368" i="102" s="1"/>
  <c r="CW368" i="102"/>
  <c r="DA368" i="102" s="1"/>
  <c r="CX368" i="102"/>
  <c r="DB368" i="102"/>
  <c r="CU369" i="102"/>
  <c r="CY369" i="102" s="1"/>
  <c r="CV369" i="102"/>
  <c r="CZ369" i="102" s="1"/>
  <c r="CW369" i="102"/>
  <c r="CX369" i="102"/>
  <c r="DB369" i="102" s="1"/>
  <c r="DA369" i="102"/>
  <c r="CU370" i="102"/>
  <c r="CY370" i="102" s="1"/>
  <c r="CV370" i="102"/>
  <c r="CZ370" i="102" s="1"/>
  <c r="CW370" i="102"/>
  <c r="DA370" i="102" s="1"/>
  <c r="CX370" i="102"/>
  <c r="DB370" i="102" s="1"/>
  <c r="CU371" i="102"/>
  <c r="CV371" i="102"/>
  <c r="CW371" i="102"/>
  <c r="CX371" i="102"/>
  <c r="DB371" i="102" s="1"/>
  <c r="CY371" i="102"/>
  <c r="CZ371" i="102"/>
  <c r="DA371" i="102"/>
  <c r="CU372" i="102"/>
  <c r="CY372" i="102" s="1"/>
  <c r="CV372" i="102"/>
  <c r="CW372" i="102"/>
  <c r="CX372" i="102"/>
  <c r="DB372" i="102" s="1"/>
  <c r="CZ372" i="102"/>
  <c r="DA372" i="102"/>
  <c r="CU373" i="102"/>
  <c r="CY373" i="102" s="1"/>
  <c r="CV373" i="102"/>
  <c r="CZ373" i="102" s="1"/>
  <c r="CW373" i="102"/>
  <c r="DA373" i="102" s="1"/>
  <c r="CX373" i="102"/>
  <c r="DB373" i="102"/>
  <c r="CU374" i="102"/>
  <c r="CV374" i="102"/>
  <c r="CZ374" i="102" s="1"/>
  <c r="CW374" i="102"/>
  <c r="DA374" i="102" s="1"/>
  <c r="CX374" i="102"/>
  <c r="DB374" i="102" s="1"/>
  <c r="CY374" i="102"/>
  <c r="CU375" i="102"/>
  <c r="CV375" i="102"/>
  <c r="CW375" i="102"/>
  <c r="CX375" i="102"/>
  <c r="CY375" i="102"/>
  <c r="DC375" i="102" s="1"/>
  <c r="CZ375" i="102"/>
  <c r="DA375" i="102"/>
  <c r="DB375" i="102"/>
  <c r="CU376" i="102"/>
  <c r="CV376" i="102"/>
  <c r="CW376" i="102"/>
  <c r="CX376" i="102"/>
  <c r="CY376" i="102"/>
  <c r="CZ376" i="102"/>
  <c r="DA376" i="102"/>
  <c r="DB376" i="102"/>
  <c r="CU377" i="102"/>
  <c r="CY377" i="102" s="1"/>
  <c r="CV377" i="102"/>
  <c r="CZ377" i="102" s="1"/>
  <c r="CW377" i="102"/>
  <c r="DA377" i="102" s="1"/>
  <c r="CX377" i="102"/>
  <c r="DB377" i="102"/>
  <c r="CU378" i="102"/>
  <c r="CV378" i="102"/>
  <c r="CZ378" i="102" s="1"/>
  <c r="CW378" i="102"/>
  <c r="DA378" i="102" s="1"/>
  <c r="CX378" i="102"/>
  <c r="DB378" i="102" s="1"/>
  <c r="CY378" i="102"/>
  <c r="CU379" i="102"/>
  <c r="CV379" i="102"/>
  <c r="CW379" i="102"/>
  <c r="CX379" i="102"/>
  <c r="CY379" i="102"/>
  <c r="CZ379" i="102"/>
  <c r="DA379" i="102"/>
  <c r="DB379" i="102"/>
  <c r="CU380" i="102"/>
  <c r="CV380" i="102"/>
  <c r="CW380" i="102"/>
  <c r="CX380" i="102"/>
  <c r="CY380" i="102"/>
  <c r="CZ380" i="102"/>
  <c r="DA380" i="102"/>
  <c r="DB380" i="102"/>
  <c r="CU381" i="102"/>
  <c r="CY381" i="102" s="1"/>
  <c r="CV381" i="102"/>
  <c r="CZ381" i="102" s="1"/>
  <c r="CW381" i="102"/>
  <c r="DA381" i="102" s="1"/>
  <c r="CX381" i="102"/>
  <c r="DB381" i="102"/>
  <c r="CU382" i="102"/>
  <c r="CV382" i="102"/>
  <c r="CZ382" i="102" s="1"/>
  <c r="CW382" i="102"/>
  <c r="DA382" i="102" s="1"/>
  <c r="CX382" i="102"/>
  <c r="DB382" i="102" s="1"/>
  <c r="CY382" i="102"/>
  <c r="CU383" i="102"/>
  <c r="CV383" i="102"/>
  <c r="CW383" i="102"/>
  <c r="CX383" i="102"/>
  <c r="CY383" i="102"/>
  <c r="CZ383" i="102"/>
  <c r="DA383" i="102"/>
  <c r="DB383" i="102"/>
  <c r="CU384" i="102"/>
  <c r="CV384" i="102"/>
  <c r="CW384" i="102"/>
  <c r="CX384" i="102"/>
  <c r="CY384" i="102"/>
  <c r="CZ384" i="102"/>
  <c r="DA384" i="102"/>
  <c r="DB384" i="102"/>
  <c r="CU385" i="102"/>
  <c r="CY385" i="102" s="1"/>
  <c r="CV385" i="102"/>
  <c r="CZ385" i="102" s="1"/>
  <c r="CW385" i="102"/>
  <c r="DA385" i="102" s="1"/>
  <c r="CX385" i="102"/>
  <c r="DB385" i="102"/>
  <c r="CU386" i="102"/>
  <c r="CV386" i="102"/>
  <c r="CZ386" i="102" s="1"/>
  <c r="CW386" i="102"/>
  <c r="DA386" i="102" s="1"/>
  <c r="CX386" i="102"/>
  <c r="DB386" i="102" s="1"/>
  <c r="CY386" i="102"/>
  <c r="CU387" i="102"/>
  <c r="CV387" i="102"/>
  <c r="CW387" i="102"/>
  <c r="CX387" i="102"/>
  <c r="CY387" i="102"/>
  <c r="CZ387" i="102"/>
  <c r="DA387" i="102"/>
  <c r="DB387" i="102"/>
  <c r="CU388" i="102"/>
  <c r="CV388" i="102"/>
  <c r="CW388" i="102"/>
  <c r="CX388" i="102"/>
  <c r="CY388" i="102"/>
  <c r="CZ388" i="102"/>
  <c r="DA388" i="102"/>
  <c r="DB388" i="102"/>
  <c r="CU389" i="102"/>
  <c r="CY389" i="102" s="1"/>
  <c r="CV389" i="102"/>
  <c r="CZ389" i="102" s="1"/>
  <c r="CW389" i="102"/>
  <c r="DA389" i="102" s="1"/>
  <c r="CX389" i="102"/>
  <c r="DB389" i="102"/>
  <c r="CU390" i="102"/>
  <c r="CV390" i="102"/>
  <c r="CZ390" i="102" s="1"/>
  <c r="CW390" i="102"/>
  <c r="DA390" i="102" s="1"/>
  <c r="CX390" i="102"/>
  <c r="DB390" i="102" s="1"/>
  <c r="CY390" i="102"/>
  <c r="CU391" i="102"/>
  <c r="CV391" i="102"/>
  <c r="CW391" i="102"/>
  <c r="CX391" i="102"/>
  <c r="CY391" i="102"/>
  <c r="CZ391" i="102"/>
  <c r="DA391" i="102"/>
  <c r="DB391" i="102"/>
  <c r="CU392" i="102"/>
  <c r="CV392" i="102"/>
  <c r="CW392" i="102"/>
  <c r="CX392" i="102"/>
  <c r="CY392" i="102"/>
  <c r="CZ392" i="102"/>
  <c r="DA392" i="102"/>
  <c r="DB392" i="102"/>
  <c r="CU393" i="102"/>
  <c r="CY393" i="102" s="1"/>
  <c r="CV393" i="102"/>
  <c r="CZ393" i="102" s="1"/>
  <c r="CW393" i="102"/>
  <c r="DA393" i="102" s="1"/>
  <c r="CX393" i="102"/>
  <c r="DB393" i="102"/>
  <c r="CU394" i="102"/>
  <c r="CV394" i="102"/>
  <c r="CZ394" i="102" s="1"/>
  <c r="CW394" i="102"/>
  <c r="DA394" i="102" s="1"/>
  <c r="CX394" i="102"/>
  <c r="DB394" i="102" s="1"/>
  <c r="CY394" i="102"/>
  <c r="CU395" i="102"/>
  <c r="CV395" i="102"/>
  <c r="CW395" i="102"/>
  <c r="CX395" i="102"/>
  <c r="CY395" i="102"/>
  <c r="DC395" i="102" s="1"/>
  <c r="CZ395" i="102"/>
  <c r="DA395" i="102"/>
  <c r="DB395" i="102"/>
  <c r="CU396" i="102"/>
  <c r="CV396" i="102"/>
  <c r="CW396" i="102"/>
  <c r="CX396" i="102"/>
  <c r="CY396" i="102"/>
  <c r="CZ396" i="102"/>
  <c r="DA396" i="102"/>
  <c r="DB396" i="102"/>
  <c r="DC396" i="102"/>
  <c r="CU397" i="102"/>
  <c r="CY397" i="102" s="1"/>
  <c r="CV397" i="102"/>
  <c r="CZ397" i="102" s="1"/>
  <c r="CW397" i="102"/>
  <c r="DA397" i="102" s="1"/>
  <c r="CX397" i="102"/>
  <c r="DB397" i="102" s="1"/>
  <c r="CU398" i="102"/>
  <c r="CV398" i="102"/>
  <c r="CW398" i="102"/>
  <c r="DA398" i="102" s="1"/>
  <c r="CX398" i="102"/>
  <c r="DB398" i="102" s="1"/>
  <c r="CY398" i="102"/>
  <c r="CZ398" i="102"/>
  <c r="CU399" i="102"/>
  <c r="CV399" i="102"/>
  <c r="CW399" i="102"/>
  <c r="CX399" i="102"/>
  <c r="CY399" i="102"/>
  <c r="CZ399" i="102"/>
  <c r="DA399" i="102"/>
  <c r="DB399" i="102"/>
  <c r="CU400" i="102"/>
  <c r="CV400" i="102"/>
  <c r="CW400" i="102"/>
  <c r="CX400" i="102"/>
  <c r="CY400" i="102"/>
  <c r="CZ400" i="102"/>
  <c r="DA400" i="102"/>
  <c r="DB400" i="102"/>
  <c r="DC400" i="102" s="1"/>
  <c r="CU401" i="102"/>
  <c r="CY401" i="102" s="1"/>
  <c r="CV401" i="102"/>
  <c r="CZ401" i="102" s="1"/>
  <c r="CW401" i="102"/>
  <c r="DA401" i="102" s="1"/>
  <c r="CX401" i="102"/>
  <c r="DB401" i="102" s="1"/>
  <c r="CU402" i="102"/>
  <c r="CV402" i="102"/>
  <c r="CZ402" i="102" s="1"/>
  <c r="CW402" i="102"/>
  <c r="DA402" i="102" s="1"/>
  <c r="CX402" i="102"/>
  <c r="DB402" i="102" s="1"/>
  <c r="CY402" i="102"/>
  <c r="CU403" i="102"/>
  <c r="CV403" i="102"/>
  <c r="CW403" i="102"/>
  <c r="CX403" i="102"/>
  <c r="CY403" i="102"/>
  <c r="CZ403" i="102"/>
  <c r="DA403" i="102"/>
  <c r="DB403" i="102"/>
  <c r="CU404" i="102"/>
  <c r="CV404" i="102"/>
  <c r="CW404" i="102"/>
  <c r="CX404" i="102"/>
  <c r="CY404" i="102"/>
  <c r="CZ404" i="102"/>
  <c r="DA404" i="102"/>
  <c r="DB404" i="102"/>
  <c r="CU405" i="102"/>
  <c r="CY405" i="102" s="1"/>
  <c r="CV405" i="102"/>
  <c r="CZ405" i="102" s="1"/>
  <c r="CW405" i="102"/>
  <c r="DA405" i="102" s="1"/>
  <c r="CX405" i="102"/>
  <c r="DB405" i="102"/>
  <c r="CU406" i="102"/>
  <c r="CV406" i="102"/>
  <c r="CW406" i="102"/>
  <c r="DA406" i="102" s="1"/>
  <c r="CX406" i="102"/>
  <c r="DB406" i="102" s="1"/>
  <c r="CY406" i="102"/>
  <c r="CZ406" i="102"/>
  <c r="CU407" i="102"/>
  <c r="CV407" i="102"/>
  <c r="CW407" i="102"/>
  <c r="CX407" i="102"/>
  <c r="CY407" i="102"/>
  <c r="CZ407" i="102"/>
  <c r="DA407" i="102"/>
  <c r="DB407" i="102"/>
  <c r="CU408" i="102"/>
  <c r="CV408" i="102"/>
  <c r="CW408" i="102"/>
  <c r="CX408" i="102"/>
  <c r="CY408" i="102"/>
  <c r="CZ408" i="102"/>
  <c r="DA408" i="102"/>
  <c r="DB408" i="102"/>
  <c r="CU409" i="102"/>
  <c r="CY409" i="102" s="1"/>
  <c r="CV409" i="102"/>
  <c r="CZ409" i="102" s="1"/>
  <c r="CW409" i="102"/>
  <c r="DA409" i="102" s="1"/>
  <c r="CX409" i="102"/>
  <c r="DB409" i="102"/>
  <c r="CU410" i="102"/>
  <c r="CV410" i="102"/>
  <c r="CW410" i="102"/>
  <c r="DA410" i="102" s="1"/>
  <c r="CX410" i="102"/>
  <c r="DB410" i="102" s="1"/>
  <c r="CY410" i="102"/>
  <c r="CZ410" i="102"/>
  <c r="CU411" i="102"/>
  <c r="CV411" i="102"/>
  <c r="CW411" i="102"/>
  <c r="CX411" i="102"/>
  <c r="CY411" i="102"/>
  <c r="CZ411" i="102"/>
  <c r="DA411" i="102"/>
  <c r="DB411" i="102"/>
  <c r="CU412" i="102"/>
  <c r="CV412" i="102"/>
  <c r="CW412" i="102"/>
  <c r="CX412" i="102"/>
  <c r="CY412" i="102"/>
  <c r="CZ412" i="102"/>
  <c r="DA412" i="102"/>
  <c r="DB412" i="102"/>
  <c r="CU413" i="102"/>
  <c r="CY413" i="102" s="1"/>
  <c r="CV413" i="102"/>
  <c r="CZ413" i="102" s="1"/>
  <c r="CW413" i="102"/>
  <c r="DA413" i="102" s="1"/>
  <c r="CX413" i="102"/>
  <c r="DB413" i="102"/>
  <c r="CU414" i="102"/>
  <c r="CV414" i="102"/>
  <c r="CW414" i="102"/>
  <c r="DA414" i="102" s="1"/>
  <c r="CX414" i="102"/>
  <c r="DB414" i="102" s="1"/>
  <c r="CY414" i="102"/>
  <c r="CZ414" i="102"/>
  <c r="CU415" i="102"/>
  <c r="CV415" i="102"/>
  <c r="CW415" i="102"/>
  <c r="CX415" i="102"/>
  <c r="CY415" i="102"/>
  <c r="CZ415" i="102"/>
  <c r="DA415" i="102"/>
  <c r="DB415" i="102"/>
  <c r="CU416" i="102"/>
  <c r="CV416" i="102"/>
  <c r="CW416" i="102"/>
  <c r="CX416" i="102"/>
  <c r="CY416" i="102"/>
  <c r="CZ416" i="102"/>
  <c r="DA416" i="102"/>
  <c r="DB416" i="102"/>
  <c r="DC416" i="102" s="1"/>
  <c r="CU417" i="102"/>
  <c r="CY417" i="102" s="1"/>
  <c r="CV417" i="102"/>
  <c r="CZ417" i="102" s="1"/>
  <c r="CW417" i="102"/>
  <c r="DA417" i="102" s="1"/>
  <c r="CX417" i="102"/>
  <c r="DB417" i="102" s="1"/>
  <c r="CU418" i="102"/>
  <c r="CV418" i="102"/>
  <c r="CW418" i="102"/>
  <c r="DA418" i="102" s="1"/>
  <c r="CX418" i="102"/>
  <c r="DB418" i="102" s="1"/>
  <c r="CY418" i="102"/>
  <c r="CZ418" i="102"/>
  <c r="CU419" i="102"/>
  <c r="CV419" i="102"/>
  <c r="CW419" i="102"/>
  <c r="CX419" i="102"/>
  <c r="CY419" i="102"/>
  <c r="CZ419" i="102"/>
  <c r="DA419" i="102"/>
  <c r="DC419" i="102" s="1"/>
  <c r="DB419" i="102"/>
  <c r="CU420" i="102"/>
  <c r="CV420" i="102"/>
  <c r="CW420" i="102"/>
  <c r="CX420" i="102"/>
  <c r="CY420" i="102"/>
  <c r="CZ420" i="102"/>
  <c r="DC420" i="102" s="1"/>
  <c r="DA420" i="102"/>
  <c r="DB420" i="102"/>
  <c r="CU421" i="102"/>
  <c r="CY421" i="102" s="1"/>
  <c r="CV421" i="102"/>
  <c r="CZ421" i="102" s="1"/>
  <c r="CW421" i="102"/>
  <c r="DA421" i="102" s="1"/>
  <c r="CX421" i="102"/>
  <c r="DB421" i="102"/>
  <c r="DC421" i="102"/>
  <c r="CU422" i="102"/>
  <c r="CV422" i="102"/>
  <c r="CZ422" i="102" s="1"/>
  <c r="CW422" i="102"/>
  <c r="DA422" i="102" s="1"/>
  <c r="CX422" i="102"/>
  <c r="DB422" i="102" s="1"/>
  <c r="CY422" i="102"/>
  <c r="CU423" i="102"/>
  <c r="CV423" i="102"/>
  <c r="CW423" i="102"/>
  <c r="CX423" i="102"/>
  <c r="CY423" i="102"/>
  <c r="CZ423" i="102"/>
  <c r="DA423" i="102"/>
  <c r="DB423" i="102"/>
  <c r="CU424" i="102"/>
  <c r="CV424" i="102"/>
  <c r="CW424" i="102"/>
  <c r="CX424" i="102"/>
  <c r="CY424" i="102"/>
  <c r="CZ424" i="102"/>
  <c r="DA424" i="102"/>
  <c r="DB424" i="102"/>
  <c r="CU425" i="102"/>
  <c r="CY425" i="102" s="1"/>
  <c r="CV425" i="102"/>
  <c r="CZ425" i="102" s="1"/>
  <c r="CW425" i="102"/>
  <c r="DA425" i="102" s="1"/>
  <c r="CX425" i="102"/>
  <c r="DB425" i="102"/>
  <c r="CU426" i="102"/>
  <c r="CV426" i="102"/>
  <c r="CW426" i="102"/>
  <c r="DA426" i="102" s="1"/>
  <c r="CX426" i="102"/>
  <c r="DB426" i="102" s="1"/>
  <c r="CY426" i="102"/>
  <c r="CZ426" i="102"/>
  <c r="CU427" i="102"/>
  <c r="CV427" i="102"/>
  <c r="CW427" i="102"/>
  <c r="CX427" i="102"/>
  <c r="CY427" i="102"/>
  <c r="CZ427" i="102"/>
  <c r="DA427" i="102"/>
  <c r="DB427" i="102"/>
  <c r="CU428" i="102"/>
  <c r="CV428" i="102"/>
  <c r="CW428" i="102"/>
  <c r="CX428" i="102"/>
  <c r="CY428" i="102"/>
  <c r="CZ428" i="102"/>
  <c r="DC428" i="102" s="1"/>
  <c r="DA428" i="102"/>
  <c r="DB428" i="102"/>
  <c r="CU429" i="102"/>
  <c r="CY429" i="102" s="1"/>
  <c r="CV429" i="102"/>
  <c r="CZ429" i="102" s="1"/>
  <c r="CW429" i="102"/>
  <c r="DA429" i="102" s="1"/>
  <c r="CX429" i="102"/>
  <c r="DB429" i="102"/>
  <c r="DC429" i="102"/>
  <c r="CU430" i="102"/>
  <c r="CY430" i="102" s="1"/>
  <c r="CV430" i="102"/>
  <c r="CZ430" i="102" s="1"/>
  <c r="CW430" i="102"/>
  <c r="DA430" i="102" s="1"/>
  <c r="CX430" i="102"/>
  <c r="DB430" i="102" s="1"/>
  <c r="CU431" i="102"/>
  <c r="CV431" i="102"/>
  <c r="CW431" i="102"/>
  <c r="CX431" i="102"/>
  <c r="CY431" i="102"/>
  <c r="CZ431" i="102"/>
  <c r="DA431" i="102"/>
  <c r="DB431" i="102"/>
  <c r="CU432" i="102"/>
  <c r="CV432" i="102"/>
  <c r="CW432" i="102"/>
  <c r="CX432" i="102"/>
  <c r="CY432" i="102"/>
  <c r="CZ432" i="102"/>
  <c r="DA432" i="102"/>
  <c r="DB432" i="102"/>
  <c r="CU433" i="102"/>
  <c r="CY433" i="102" s="1"/>
  <c r="CV433" i="102"/>
  <c r="CZ433" i="102" s="1"/>
  <c r="CW433" i="102"/>
  <c r="DA433" i="102" s="1"/>
  <c r="CX433" i="102"/>
  <c r="DB433" i="102"/>
  <c r="CU434" i="102"/>
  <c r="CV434" i="102"/>
  <c r="CW434" i="102"/>
  <c r="DA434" i="102" s="1"/>
  <c r="CX434" i="102"/>
  <c r="DB434" i="102" s="1"/>
  <c r="CY434" i="102"/>
  <c r="CZ434" i="102"/>
  <c r="CU435" i="102"/>
  <c r="CV435" i="102"/>
  <c r="CW435" i="102"/>
  <c r="CX435" i="102"/>
  <c r="CY435" i="102"/>
  <c r="CZ435" i="102"/>
  <c r="DC435" i="102" s="1"/>
  <c r="DA435" i="102"/>
  <c r="DB435" i="102"/>
  <c r="CU436" i="102"/>
  <c r="CV436" i="102"/>
  <c r="CW436" i="102"/>
  <c r="CX436" i="102"/>
  <c r="CY436" i="102"/>
  <c r="CZ436" i="102"/>
  <c r="DC436" i="102" s="1"/>
  <c r="DA436" i="102"/>
  <c r="DB436" i="102"/>
  <c r="CU437" i="102"/>
  <c r="CY437" i="102" s="1"/>
  <c r="DC437" i="102" s="1"/>
  <c r="CV437" i="102"/>
  <c r="CZ437" i="102" s="1"/>
  <c r="CW437" i="102"/>
  <c r="DA437" i="102" s="1"/>
  <c r="CX437" i="102"/>
  <c r="DB437" i="102"/>
  <c r="CU438" i="102"/>
  <c r="CY438" i="102" s="1"/>
  <c r="CV438" i="102"/>
  <c r="CZ438" i="102" s="1"/>
  <c r="CW438" i="102"/>
  <c r="DA438" i="102" s="1"/>
  <c r="CX438" i="102"/>
  <c r="DB438" i="102" s="1"/>
  <c r="CU439" i="102"/>
  <c r="CV439" i="102"/>
  <c r="CW439" i="102"/>
  <c r="CX439" i="102"/>
  <c r="CY439" i="102"/>
  <c r="CZ439" i="102"/>
  <c r="DA439" i="102"/>
  <c r="DB439" i="102"/>
  <c r="CU440" i="102"/>
  <c r="CV440" i="102"/>
  <c r="CW440" i="102"/>
  <c r="CX440" i="102"/>
  <c r="CY440" i="102"/>
  <c r="CZ440" i="102"/>
  <c r="DA440" i="102"/>
  <c r="DB440" i="102"/>
  <c r="CU441" i="102"/>
  <c r="CY441" i="102" s="1"/>
  <c r="CV441" i="102"/>
  <c r="CZ441" i="102" s="1"/>
  <c r="CW441" i="102"/>
  <c r="DA441" i="102" s="1"/>
  <c r="CX441" i="102"/>
  <c r="DB441" i="102"/>
  <c r="CU442" i="102"/>
  <c r="CV442" i="102"/>
  <c r="CW442" i="102"/>
  <c r="DA442" i="102" s="1"/>
  <c r="CX442" i="102"/>
  <c r="DB442" i="102" s="1"/>
  <c r="CY442" i="102"/>
  <c r="CZ442" i="102"/>
  <c r="CU443" i="102"/>
  <c r="CV443" i="102"/>
  <c r="CW443" i="102"/>
  <c r="CX443" i="102"/>
  <c r="CY443" i="102"/>
  <c r="CZ443" i="102"/>
  <c r="DA443" i="102"/>
  <c r="DB443" i="102"/>
  <c r="CU444" i="102"/>
  <c r="CV444" i="102"/>
  <c r="CW444" i="102"/>
  <c r="DA444" i="102" s="1"/>
  <c r="CX444" i="102"/>
  <c r="CY444" i="102"/>
  <c r="CZ444" i="102"/>
  <c r="DB444" i="102"/>
  <c r="CU445" i="102"/>
  <c r="CY445" i="102" s="1"/>
  <c r="CV445" i="102"/>
  <c r="CZ445" i="102" s="1"/>
  <c r="CW445" i="102"/>
  <c r="DA445" i="102" s="1"/>
  <c r="CX445" i="102"/>
  <c r="DB445" i="102"/>
  <c r="CU446" i="102"/>
  <c r="CY446" i="102" s="1"/>
  <c r="CV446" i="102"/>
  <c r="CZ446" i="102" s="1"/>
  <c r="CW446" i="102"/>
  <c r="DA446" i="102" s="1"/>
  <c r="CX446" i="102"/>
  <c r="DB446" i="102" s="1"/>
  <c r="CU447" i="102"/>
  <c r="CV447" i="102"/>
  <c r="CW447" i="102"/>
  <c r="DA447" i="102" s="1"/>
  <c r="CX447" i="102"/>
  <c r="DB447" i="102" s="1"/>
  <c r="CY447" i="102"/>
  <c r="CZ447" i="102"/>
  <c r="CU448" i="102"/>
  <c r="CV448" i="102"/>
  <c r="CW448" i="102"/>
  <c r="CX448" i="102"/>
  <c r="CY448" i="102"/>
  <c r="CZ448" i="102"/>
  <c r="DA448" i="102"/>
  <c r="DB448" i="102"/>
  <c r="CU449" i="102"/>
  <c r="CY449" i="102" s="1"/>
  <c r="DC449" i="102" s="1"/>
  <c r="CV449" i="102"/>
  <c r="CW449" i="102"/>
  <c r="DA449" i="102" s="1"/>
  <c r="CX449" i="102"/>
  <c r="CZ449" i="102"/>
  <c r="DB449" i="102"/>
  <c r="CU450" i="102"/>
  <c r="CV450" i="102"/>
  <c r="CZ450" i="102" s="1"/>
  <c r="CW450" i="102"/>
  <c r="DA450" i="102" s="1"/>
  <c r="CX450" i="102"/>
  <c r="DB450" i="102" s="1"/>
  <c r="CY450" i="102"/>
  <c r="CU451" i="102"/>
  <c r="CV451" i="102"/>
  <c r="CW451" i="102"/>
  <c r="CX451" i="102"/>
  <c r="CY451" i="102"/>
  <c r="CZ451" i="102"/>
  <c r="DA451" i="102"/>
  <c r="DB451" i="102"/>
  <c r="CU452" i="102"/>
  <c r="CV452" i="102"/>
  <c r="CW452" i="102"/>
  <c r="CX452" i="102"/>
  <c r="CY452" i="102"/>
  <c r="CZ452" i="102"/>
  <c r="DA452" i="102"/>
  <c r="DB452" i="102"/>
  <c r="CU453" i="102"/>
  <c r="CY453" i="102" s="1"/>
  <c r="CV453" i="102"/>
  <c r="CZ453" i="102" s="1"/>
  <c r="CW453" i="102"/>
  <c r="DA453" i="102" s="1"/>
  <c r="CX453" i="102"/>
  <c r="DB453" i="102"/>
  <c r="CU454" i="102"/>
  <c r="CV454" i="102"/>
  <c r="CW454" i="102"/>
  <c r="DA454" i="102" s="1"/>
  <c r="CX454" i="102"/>
  <c r="DB454" i="102" s="1"/>
  <c r="CY454" i="102"/>
  <c r="CZ454" i="102"/>
  <c r="CU455" i="102"/>
  <c r="CV455" i="102"/>
  <c r="CZ455" i="102" s="1"/>
  <c r="CW455" i="102"/>
  <c r="CX455" i="102"/>
  <c r="CY455" i="102"/>
  <c r="DA455" i="102"/>
  <c r="DB455" i="102"/>
  <c r="CU456" i="102"/>
  <c r="CV456" i="102"/>
  <c r="CW456" i="102"/>
  <c r="DA456" i="102" s="1"/>
  <c r="CX456" i="102"/>
  <c r="CY456" i="102"/>
  <c r="CZ456" i="102"/>
  <c r="DB456" i="102"/>
  <c r="CU457" i="102"/>
  <c r="CY457" i="102" s="1"/>
  <c r="CV457" i="102"/>
  <c r="CW457" i="102"/>
  <c r="DA457" i="102" s="1"/>
  <c r="CX457" i="102"/>
  <c r="DB457" i="102" s="1"/>
  <c r="CZ457" i="102"/>
  <c r="CU458" i="102"/>
  <c r="CY458" i="102" s="1"/>
  <c r="CV458" i="102"/>
  <c r="CZ458" i="102" s="1"/>
  <c r="CW458" i="102"/>
  <c r="DA458" i="102" s="1"/>
  <c r="CX458" i="102"/>
  <c r="DB458" i="102" s="1"/>
  <c r="CU459" i="102"/>
  <c r="CV459" i="102"/>
  <c r="CW459" i="102"/>
  <c r="DA459" i="102" s="1"/>
  <c r="CX459" i="102"/>
  <c r="DB459" i="102" s="1"/>
  <c r="CY459" i="102"/>
  <c r="CZ459" i="102"/>
  <c r="CU460" i="102"/>
  <c r="CV460" i="102"/>
  <c r="CW460" i="102"/>
  <c r="CX460" i="102"/>
  <c r="CY460" i="102"/>
  <c r="CZ460" i="102"/>
  <c r="DA460" i="102"/>
  <c r="DB460" i="102"/>
  <c r="CU461" i="102"/>
  <c r="CY461" i="102" s="1"/>
  <c r="CV461" i="102"/>
  <c r="CZ461" i="102" s="1"/>
  <c r="CW461" i="102"/>
  <c r="DA461" i="102" s="1"/>
  <c r="DC461" i="102" s="1"/>
  <c r="CX461" i="102"/>
  <c r="DB461" i="102" s="1"/>
  <c r="CU462" i="102"/>
  <c r="CV462" i="102"/>
  <c r="CZ462" i="102" s="1"/>
  <c r="CW462" i="102"/>
  <c r="DA462" i="102" s="1"/>
  <c r="CX462" i="102"/>
  <c r="DB462" i="102" s="1"/>
  <c r="CY462" i="102"/>
  <c r="DC462" i="102" s="1"/>
  <c r="CU463" i="102"/>
  <c r="CV463" i="102"/>
  <c r="CW463" i="102"/>
  <c r="CX463" i="102"/>
  <c r="CY463" i="102"/>
  <c r="CZ463" i="102"/>
  <c r="DA463" i="102"/>
  <c r="DB463" i="102"/>
  <c r="CU464" i="102"/>
  <c r="CV464" i="102"/>
  <c r="CW464" i="102"/>
  <c r="CX464" i="102"/>
  <c r="CY464" i="102"/>
  <c r="CZ464" i="102"/>
  <c r="DA464" i="102"/>
  <c r="DB464" i="102"/>
  <c r="DC464" i="102" s="1"/>
  <c r="CU465" i="102"/>
  <c r="CY465" i="102" s="1"/>
  <c r="CV465" i="102"/>
  <c r="CZ465" i="102" s="1"/>
  <c r="CW465" i="102"/>
  <c r="DA465" i="102" s="1"/>
  <c r="CX465" i="102"/>
  <c r="DB465" i="102" s="1"/>
  <c r="CU466" i="102"/>
  <c r="CV466" i="102"/>
  <c r="CW466" i="102"/>
  <c r="DA466" i="102" s="1"/>
  <c r="CX466" i="102"/>
  <c r="DB466" i="102" s="1"/>
  <c r="CY466" i="102"/>
  <c r="DC466" i="102" s="1"/>
  <c r="CZ466" i="102"/>
  <c r="CU467" i="102"/>
  <c r="CV467" i="102"/>
  <c r="CZ467" i="102" s="1"/>
  <c r="CW467" i="102"/>
  <c r="CX467" i="102"/>
  <c r="DB467" i="102" s="1"/>
  <c r="CY467" i="102"/>
  <c r="DA467" i="102"/>
  <c r="H477" i="102"/>
  <c r="J477" i="102"/>
  <c r="K477" i="102"/>
  <c r="V477" i="102"/>
  <c r="W477" i="102"/>
  <c r="X477" i="102"/>
  <c r="Y477" i="102"/>
  <c r="Z477" i="102"/>
  <c r="AA477" i="102"/>
  <c r="AB477" i="102"/>
  <c r="AC477" i="102"/>
  <c r="AI477" i="102"/>
  <c r="AJ477" i="102"/>
  <c r="AU477" i="102"/>
  <c r="AV477" i="102"/>
  <c r="AW477" i="102"/>
  <c r="AX477" i="102"/>
  <c r="AY477" i="102"/>
  <c r="AZ477" i="102"/>
  <c r="BA477" i="102"/>
  <c r="BB477" i="102"/>
  <c r="BE477" i="102"/>
  <c r="BF477" i="102"/>
  <c r="BG477" i="102"/>
  <c r="BH477" i="102"/>
  <c r="BN477" i="102"/>
  <c r="BO477" i="102"/>
  <c r="BV477" i="102"/>
  <c r="BW477" i="102"/>
  <c r="CD477" i="102"/>
  <c r="CE477" i="102"/>
  <c r="CP477" i="102"/>
  <c r="CQ477" i="102"/>
  <c r="CR477" i="102"/>
  <c r="CS477" i="102"/>
  <c r="CU477" i="102"/>
  <c r="H478" i="102"/>
  <c r="J478" i="102"/>
  <c r="K478" i="102"/>
  <c r="V478" i="102"/>
  <c r="W478" i="102"/>
  <c r="X478" i="102"/>
  <c r="Y478" i="102"/>
  <c r="Z478" i="102"/>
  <c r="AA478" i="102"/>
  <c r="AB478" i="102"/>
  <c r="AC478" i="102"/>
  <c r="AI478" i="102"/>
  <c r="AJ478" i="102"/>
  <c r="AU478" i="102"/>
  <c r="AV478" i="102"/>
  <c r="AW478" i="102"/>
  <c r="AX478" i="102"/>
  <c r="AY478" i="102"/>
  <c r="AZ478" i="102"/>
  <c r="BA478" i="102"/>
  <c r="BB478" i="102"/>
  <c r="BE478" i="102"/>
  <c r="BF478" i="102"/>
  <c r="BG478" i="102"/>
  <c r="BH478" i="102"/>
  <c r="BN478" i="102"/>
  <c r="BO478" i="102"/>
  <c r="BV478" i="102"/>
  <c r="BW478" i="102"/>
  <c r="CD478" i="102"/>
  <c r="CE478" i="102"/>
  <c r="CP478" i="102"/>
  <c r="CQ478" i="102"/>
  <c r="CR478" i="102"/>
  <c r="CS478" i="102"/>
  <c r="CU478" i="102"/>
  <c r="H479" i="102"/>
  <c r="J479" i="102"/>
  <c r="K479" i="102"/>
  <c r="V479" i="102"/>
  <c r="W479" i="102"/>
  <c r="X479" i="102"/>
  <c r="Y479" i="102"/>
  <c r="Z479" i="102"/>
  <c r="AA479" i="102"/>
  <c r="AB479" i="102"/>
  <c r="AC479" i="102"/>
  <c r="AI479" i="102"/>
  <c r="AJ479" i="102"/>
  <c r="AU479" i="102"/>
  <c r="AV479" i="102"/>
  <c r="AW479" i="102"/>
  <c r="AX479" i="102"/>
  <c r="AY479" i="102"/>
  <c r="AZ479" i="102"/>
  <c r="BA479" i="102"/>
  <c r="BB479" i="102"/>
  <c r="BE479" i="102"/>
  <c r="BF479" i="102"/>
  <c r="BG479" i="102"/>
  <c r="BH479" i="102"/>
  <c r="BN479" i="102"/>
  <c r="BO479" i="102"/>
  <c r="BV479" i="102"/>
  <c r="BW479" i="102"/>
  <c r="CD479" i="102"/>
  <c r="CE479" i="102"/>
  <c r="CP479" i="102"/>
  <c r="CQ479" i="102"/>
  <c r="CR479" i="102"/>
  <c r="CS479" i="102"/>
  <c r="CU479" i="102"/>
  <c r="H480" i="102"/>
  <c r="J480" i="102"/>
  <c r="K480" i="102"/>
  <c r="V480" i="102"/>
  <c r="W480" i="102"/>
  <c r="X480" i="102"/>
  <c r="Y480" i="102"/>
  <c r="Z480" i="102"/>
  <c r="AA480" i="102"/>
  <c r="AB480" i="102"/>
  <c r="AC480" i="102"/>
  <c r="AI480" i="102"/>
  <c r="AJ480" i="102"/>
  <c r="AU480" i="102"/>
  <c r="AV480" i="102"/>
  <c r="AW480" i="102"/>
  <c r="AX480" i="102"/>
  <c r="AY480" i="102"/>
  <c r="AZ480" i="102"/>
  <c r="BA480" i="102"/>
  <c r="BB480" i="102"/>
  <c r="BE480" i="102"/>
  <c r="BF480" i="102"/>
  <c r="BG480" i="102"/>
  <c r="BH480" i="102"/>
  <c r="BN480" i="102"/>
  <c r="BO480" i="102"/>
  <c r="BV480" i="102"/>
  <c r="BW480" i="102"/>
  <c r="CD480" i="102"/>
  <c r="CE480" i="102"/>
  <c r="CP480" i="102"/>
  <c r="CQ480" i="102"/>
  <c r="CR480" i="102"/>
  <c r="CS480" i="102"/>
  <c r="CU480" i="102"/>
  <c r="H481" i="102"/>
  <c r="J481" i="102"/>
  <c r="K481" i="102"/>
  <c r="V481" i="102"/>
  <c r="W481" i="102"/>
  <c r="X481" i="102"/>
  <c r="Y481" i="102"/>
  <c r="Z481" i="102"/>
  <c r="AA481" i="102"/>
  <c r="AB481" i="102"/>
  <c r="AC481" i="102"/>
  <c r="AI481" i="102"/>
  <c r="AJ481" i="102"/>
  <c r="AU481" i="102"/>
  <c r="AV481" i="102"/>
  <c r="AW481" i="102"/>
  <c r="AX481" i="102"/>
  <c r="AY481" i="102"/>
  <c r="AZ481" i="102"/>
  <c r="AZ490" i="102" s="1"/>
  <c r="BA481" i="102"/>
  <c r="BB481" i="102"/>
  <c r="BE481" i="102"/>
  <c r="BF481" i="102"/>
  <c r="BG481" i="102"/>
  <c r="BH481" i="102"/>
  <c r="BN481" i="102"/>
  <c r="BO481" i="102"/>
  <c r="BO490" i="102" s="1"/>
  <c r="BV481" i="102"/>
  <c r="BW481" i="102"/>
  <c r="CD481" i="102"/>
  <c r="CE481" i="102"/>
  <c r="CP481" i="102"/>
  <c r="CQ481" i="102"/>
  <c r="CR481" i="102"/>
  <c r="CS481" i="102"/>
  <c r="CS490" i="102" s="1"/>
  <c r="CU481" i="102"/>
  <c r="H482" i="102"/>
  <c r="J482" i="102"/>
  <c r="K482" i="102"/>
  <c r="K491" i="102" s="1"/>
  <c r="V482" i="102"/>
  <c r="W482" i="102"/>
  <c r="X482" i="102"/>
  <c r="Y482" i="102"/>
  <c r="Y491" i="102" s="1"/>
  <c r="Z482" i="102"/>
  <c r="AA482" i="102"/>
  <c r="AB482" i="102"/>
  <c r="AC482" i="102"/>
  <c r="AC491" i="102" s="1"/>
  <c r="AI482" i="102"/>
  <c r="AJ482" i="102"/>
  <c r="AU482" i="102"/>
  <c r="AV482" i="102"/>
  <c r="AV491" i="102" s="1"/>
  <c r="AW482" i="102"/>
  <c r="AX482" i="102"/>
  <c r="AY482" i="102"/>
  <c r="AZ482" i="102"/>
  <c r="AZ491" i="102" s="1"/>
  <c r="BA482" i="102"/>
  <c r="BB482" i="102"/>
  <c r="BE482" i="102"/>
  <c r="BF482" i="102"/>
  <c r="BF491" i="102" s="1"/>
  <c r="BG482" i="102"/>
  <c r="BH482" i="102"/>
  <c r="BN482" i="102"/>
  <c r="BO482" i="102"/>
  <c r="BO491" i="102" s="1"/>
  <c r="BV482" i="102"/>
  <c r="BW482" i="102"/>
  <c r="CD482" i="102"/>
  <c r="CE482" i="102"/>
  <c r="CE491" i="102" s="1"/>
  <c r="CP482" i="102"/>
  <c r="CQ482" i="102"/>
  <c r="CR482" i="102"/>
  <c r="CS482" i="102"/>
  <c r="CS491" i="102" s="1"/>
  <c r="CU482" i="102"/>
  <c r="H483" i="102"/>
  <c r="J483" i="102"/>
  <c r="K483" i="102"/>
  <c r="V483" i="102"/>
  <c r="W483" i="102"/>
  <c r="X483" i="102"/>
  <c r="Y483" i="102"/>
  <c r="Y492" i="102" s="1"/>
  <c r="Z483" i="102"/>
  <c r="AA483" i="102"/>
  <c r="AB483" i="102"/>
  <c r="AC483" i="102"/>
  <c r="AI483" i="102"/>
  <c r="AJ483" i="102"/>
  <c r="AU483" i="102"/>
  <c r="AV483" i="102"/>
  <c r="AV492" i="102" s="1"/>
  <c r="AW483" i="102"/>
  <c r="AX483" i="102"/>
  <c r="AY483" i="102"/>
  <c r="AZ483" i="102"/>
  <c r="BA483" i="102"/>
  <c r="BB483" i="102"/>
  <c r="BE483" i="102"/>
  <c r="BF483" i="102"/>
  <c r="BF492" i="102" s="1"/>
  <c r="BG483" i="102"/>
  <c r="BH483" i="102"/>
  <c r="BN483" i="102"/>
  <c r="BO483" i="102"/>
  <c r="BV483" i="102"/>
  <c r="BW483" i="102"/>
  <c r="CD483" i="102"/>
  <c r="CE483" i="102"/>
  <c r="CE492" i="102" s="1"/>
  <c r="CP483" i="102"/>
  <c r="CQ483" i="102"/>
  <c r="CR483" i="102"/>
  <c r="CS483" i="102"/>
  <c r="CU483" i="102"/>
  <c r="H484" i="102"/>
  <c r="J484" i="102"/>
  <c r="K484" i="102"/>
  <c r="K493" i="102" s="1"/>
  <c r="V484" i="102"/>
  <c r="W484" i="102"/>
  <c r="X484" i="102"/>
  <c r="Y484" i="102"/>
  <c r="Y493" i="102" s="1"/>
  <c r="Z484" i="102"/>
  <c r="AA484" i="102"/>
  <c r="AB484" i="102"/>
  <c r="AC484" i="102"/>
  <c r="AC493" i="102" s="1"/>
  <c r="AI484" i="102"/>
  <c r="AJ484" i="102"/>
  <c r="AU484" i="102"/>
  <c r="AV484" i="102"/>
  <c r="AV493" i="102" s="1"/>
  <c r="AW484" i="102"/>
  <c r="AX484" i="102"/>
  <c r="AY484" i="102"/>
  <c r="AZ484" i="102"/>
  <c r="AZ493" i="102" s="1"/>
  <c r="BA484" i="102"/>
  <c r="BB484" i="102"/>
  <c r="BE484" i="102"/>
  <c r="BF484" i="102"/>
  <c r="BF493" i="102" s="1"/>
  <c r="BG484" i="102"/>
  <c r="BH484" i="102"/>
  <c r="BN484" i="102"/>
  <c r="BO484" i="102"/>
  <c r="BO493" i="102" s="1"/>
  <c r="BV484" i="102"/>
  <c r="BW484" i="102"/>
  <c r="BW493" i="102" s="1"/>
  <c r="CD484" i="102"/>
  <c r="CE484" i="102"/>
  <c r="CE493" i="102" s="1"/>
  <c r="CP484" i="102"/>
  <c r="CQ484" i="102"/>
  <c r="CQ493" i="102" s="1"/>
  <c r="CR484" i="102"/>
  <c r="CS484" i="102"/>
  <c r="CS493" i="102" s="1"/>
  <c r="CU484" i="102"/>
  <c r="K486" i="102"/>
  <c r="W486" i="102"/>
  <c r="Y486" i="102"/>
  <c r="AA486" i="102"/>
  <c r="AC486" i="102"/>
  <c r="AJ486" i="102"/>
  <c r="AV486" i="102"/>
  <c r="AX486" i="102"/>
  <c r="AZ486" i="102"/>
  <c r="BB486" i="102"/>
  <c r="BF486" i="102"/>
  <c r="BH486" i="102"/>
  <c r="BO486" i="102"/>
  <c r="BW486" i="102"/>
  <c r="CE486" i="102"/>
  <c r="CQ486" i="102"/>
  <c r="CS486" i="102"/>
  <c r="K487" i="102"/>
  <c r="W487" i="102"/>
  <c r="Y487" i="102"/>
  <c r="AA487" i="102"/>
  <c r="AC487" i="102"/>
  <c r="AJ487" i="102"/>
  <c r="AV487" i="102"/>
  <c r="AX487" i="102"/>
  <c r="AZ487" i="102"/>
  <c r="BB487" i="102"/>
  <c r="BF487" i="102"/>
  <c r="BH487" i="102"/>
  <c r="BO487" i="102"/>
  <c r="BW487" i="102"/>
  <c r="CE487" i="102"/>
  <c r="CQ487" i="102"/>
  <c r="CS487" i="102"/>
  <c r="K488" i="102"/>
  <c r="W488" i="102"/>
  <c r="Y488" i="102"/>
  <c r="AA488" i="102"/>
  <c r="AC488" i="102"/>
  <c r="AJ488" i="102"/>
  <c r="AV488" i="102"/>
  <c r="AX488" i="102"/>
  <c r="AZ488" i="102"/>
  <c r="BB488" i="102"/>
  <c r="BF488" i="102"/>
  <c r="BH488" i="102"/>
  <c r="BO488" i="102"/>
  <c r="BW488" i="102"/>
  <c r="CE488" i="102"/>
  <c r="CQ488" i="102"/>
  <c r="CS488" i="102"/>
  <c r="K489" i="102"/>
  <c r="W489" i="102"/>
  <c r="Y489" i="102"/>
  <c r="AA489" i="102"/>
  <c r="AC489" i="102"/>
  <c r="AJ489" i="102"/>
  <c r="AV489" i="102"/>
  <c r="AX489" i="102"/>
  <c r="AZ489" i="102"/>
  <c r="BB489" i="102"/>
  <c r="BF489" i="102"/>
  <c r="BH489" i="102"/>
  <c r="BO489" i="102"/>
  <c r="BW489" i="102"/>
  <c r="CE489" i="102"/>
  <c r="CQ489" i="102"/>
  <c r="CS489" i="102"/>
  <c r="K490" i="102"/>
  <c r="W490" i="102"/>
  <c r="Y490" i="102"/>
  <c r="AA490" i="102"/>
  <c r="AC490" i="102"/>
  <c r="AJ490" i="102"/>
  <c r="AV490" i="102"/>
  <c r="AX490" i="102"/>
  <c r="BB490" i="102"/>
  <c r="BF490" i="102"/>
  <c r="BH490" i="102"/>
  <c r="BW490" i="102"/>
  <c r="CE490" i="102"/>
  <c r="CQ490" i="102"/>
  <c r="W491" i="102"/>
  <c r="AA491" i="102"/>
  <c r="AJ491" i="102"/>
  <c r="AX491" i="102"/>
  <c r="BB491" i="102"/>
  <c r="BH491" i="102"/>
  <c r="BW491" i="102"/>
  <c r="CQ491" i="102"/>
  <c r="K492" i="102"/>
  <c r="W492" i="102"/>
  <c r="AA492" i="102"/>
  <c r="AC492" i="102"/>
  <c r="AJ492" i="102"/>
  <c r="AX492" i="102"/>
  <c r="AZ492" i="102"/>
  <c r="BB492" i="102"/>
  <c r="BH492" i="102"/>
  <c r="BO492" i="102"/>
  <c r="BW492" i="102"/>
  <c r="CQ492" i="102"/>
  <c r="CS492" i="102"/>
  <c r="W493" i="102"/>
  <c r="AA493" i="102"/>
  <c r="AJ493" i="102"/>
  <c r="AX493" i="102"/>
  <c r="BB493" i="102"/>
  <c r="BH493" i="102"/>
  <c r="J468" i="101"/>
  <c r="K468" i="101"/>
  <c r="N468" i="101"/>
  <c r="O468" i="101"/>
  <c r="R468" i="101"/>
  <c r="S468" i="101"/>
  <c r="V468" i="101"/>
  <c r="W468" i="101"/>
  <c r="Y468" i="101"/>
  <c r="Z468" i="101"/>
  <c r="AC468" i="101"/>
  <c r="AD468" i="101"/>
  <c r="AG468" i="101"/>
  <c r="AH468" i="101"/>
  <c r="AK468" i="101"/>
  <c r="AL468" i="101"/>
  <c r="J469" i="101"/>
  <c r="K469" i="101"/>
  <c r="N469" i="101"/>
  <c r="O469" i="101"/>
  <c r="R469" i="101"/>
  <c r="S469" i="101"/>
  <c r="V469" i="101"/>
  <c r="W469" i="101"/>
  <c r="Y469" i="101"/>
  <c r="Z469" i="101"/>
  <c r="AC469" i="101"/>
  <c r="AD469" i="101"/>
  <c r="AG469" i="101"/>
  <c r="AH469" i="101"/>
  <c r="AK469" i="101"/>
  <c r="AL469" i="101"/>
  <c r="DC362" i="102" l="1"/>
  <c r="DC467" i="102"/>
  <c r="DC455" i="102"/>
  <c r="DC433" i="102"/>
  <c r="DC377" i="102"/>
  <c r="DC359" i="102"/>
  <c r="DC308" i="102"/>
  <c r="DC299" i="102"/>
  <c r="DC283" i="102"/>
  <c r="DC276" i="102"/>
  <c r="DC140" i="102"/>
  <c r="DC460" i="102"/>
  <c r="DC444" i="102"/>
  <c r="DC440" i="102"/>
  <c r="DC424" i="102"/>
  <c r="DC388" i="102"/>
  <c r="DC384" i="102"/>
  <c r="DC382" i="102"/>
  <c r="DC376" i="102"/>
  <c r="DC374" i="102"/>
  <c r="DC372" i="102"/>
  <c r="DC327" i="102"/>
  <c r="DC318" i="102"/>
  <c r="DC272" i="102"/>
  <c r="DC254" i="102"/>
  <c r="DC233" i="102"/>
  <c r="DC207" i="102"/>
  <c r="DC131" i="102"/>
  <c r="DC87" i="102"/>
  <c r="DC84" i="102"/>
  <c r="DC63" i="102"/>
  <c r="DC463" i="102"/>
  <c r="DC458" i="102"/>
  <c r="DC451" i="102"/>
  <c r="DC447" i="102"/>
  <c r="DC443" i="102"/>
  <c r="DC441" i="102"/>
  <c r="DC427" i="102"/>
  <c r="DC425" i="102"/>
  <c r="DC414" i="102"/>
  <c r="DC411" i="102"/>
  <c r="DC368" i="102"/>
  <c r="DC344" i="102"/>
  <c r="DC313" i="102"/>
  <c r="DC301" i="102"/>
  <c r="DC285" i="102"/>
  <c r="DC277" i="102"/>
  <c r="DC273" i="102"/>
  <c r="DC265" i="102"/>
  <c r="DC253" i="102"/>
  <c r="DC203" i="102"/>
  <c r="DC183" i="102"/>
  <c r="DC179" i="102"/>
  <c r="DC158" i="102"/>
  <c r="DC106" i="102"/>
  <c r="DC55" i="102"/>
  <c r="DC457" i="102"/>
  <c r="DC454" i="102"/>
  <c r="DC448" i="102"/>
  <c r="DC446" i="102"/>
  <c r="DC445" i="102"/>
  <c r="DC432" i="102"/>
  <c r="DC394" i="102"/>
  <c r="DC392" i="102"/>
  <c r="DC371" i="102"/>
  <c r="DC358" i="102"/>
  <c r="DC352" i="102"/>
  <c r="DC339" i="102"/>
  <c r="DC338" i="102"/>
  <c r="DC303" i="102"/>
  <c r="DC294" i="102"/>
  <c r="DC290" i="102"/>
  <c r="DC280" i="102"/>
  <c r="DC251" i="102"/>
  <c r="DC242" i="102"/>
  <c r="DC218" i="102"/>
  <c r="DC211" i="102"/>
  <c r="DC187" i="102"/>
  <c r="DC185" i="102"/>
  <c r="DC155" i="102"/>
  <c r="DC113" i="102"/>
  <c r="DC78" i="102"/>
  <c r="DC74" i="102"/>
  <c r="DC58" i="102"/>
  <c r="DC35" i="102"/>
  <c r="DC407" i="102"/>
  <c r="DC404" i="102"/>
  <c r="DC381" i="102"/>
  <c r="DC379" i="102"/>
  <c r="DC369" i="102"/>
  <c r="DC365" i="102"/>
  <c r="DC364" i="102"/>
  <c r="DC360" i="102"/>
  <c r="DC349" i="102"/>
  <c r="DC347" i="102"/>
  <c r="DC332" i="102"/>
  <c r="DC330" i="102"/>
  <c r="DC311" i="102"/>
  <c r="DC279" i="102"/>
  <c r="DC264" i="102"/>
  <c r="DC263" i="102"/>
  <c r="DC256" i="102"/>
  <c r="DC250" i="102"/>
  <c r="DC243" i="102"/>
  <c r="DC212" i="102"/>
  <c r="DC205" i="102"/>
  <c r="DC196" i="102"/>
  <c r="DC180" i="102"/>
  <c r="DC178" i="102"/>
  <c r="DC172" i="102"/>
  <c r="DC166" i="102"/>
  <c r="DC160" i="102"/>
  <c r="DC137" i="102"/>
  <c r="DC132" i="102"/>
  <c r="DC127" i="102"/>
  <c r="DC99" i="102"/>
  <c r="DC92" i="102"/>
  <c r="DC85" i="102"/>
  <c r="DC82" i="102"/>
  <c r="DC73" i="102"/>
  <c r="DC69" i="102"/>
  <c r="DC50" i="102"/>
  <c r="DC47" i="102"/>
  <c r="DC45" i="102"/>
  <c r="DC456" i="102"/>
  <c r="DC452" i="102"/>
  <c r="DC439" i="102"/>
  <c r="DC431" i="102"/>
  <c r="DC430" i="102"/>
  <c r="DC423" i="102"/>
  <c r="DC417" i="102"/>
  <c r="DC415" i="102"/>
  <c r="DC412" i="102"/>
  <c r="DC408" i="102"/>
  <c r="DC403" i="102"/>
  <c r="DC399" i="102"/>
  <c r="DC380" i="102"/>
  <c r="DC378" i="102"/>
  <c r="DC357" i="102"/>
  <c r="DC354" i="102"/>
  <c r="DC348" i="102"/>
  <c r="DC335" i="102"/>
  <c r="DC333" i="102"/>
  <c r="DC326" i="102"/>
  <c r="DC325" i="102"/>
  <c r="DC319" i="102"/>
  <c r="DC310" i="102"/>
  <c r="DC307" i="102"/>
  <c r="DC295" i="102"/>
  <c r="DC271" i="102"/>
  <c r="DC268" i="102"/>
  <c r="DC231" i="102"/>
  <c r="DC226" i="102"/>
  <c r="DC221" i="102"/>
  <c r="DC210" i="102"/>
  <c r="DC204" i="102"/>
  <c r="DC198" i="102"/>
  <c r="DC175" i="102"/>
  <c r="DC168" i="102"/>
  <c r="DC152" i="102"/>
  <c r="DC151" i="102"/>
  <c r="DC146" i="102"/>
  <c r="DC144" i="102"/>
  <c r="DC121" i="102"/>
  <c r="DC120" i="102"/>
  <c r="DC117" i="102"/>
  <c r="DC104" i="102"/>
  <c r="DC68" i="102"/>
  <c r="DC64" i="102"/>
  <c r="DC36" i="102"/>
  <c r="DU35" i="102"/>
  <c r="DU34" i="102"/>
  <c r="DC34" i="102"/>
  <c r="DC27" i="102"/>
  <c r="EA26" i="102"/>
  <c r="DO26" i="102"/>
  <c r="DJ27" i="102"/>
  <c r="DP27" i="102"/>
  <c r="DV27" i="102"/>
  <c r="EB27" i="102"/>
  <c r="DJ24" i="102"/>
  <c r="DP24" i="102"/>
  <c r="DV24" i="102"/>
  <c r="EB24" i="102"/>
  <c r="DC259" i="102"/>
  <c r="DC248" i="102"/>
  <c r="DC241" i="102"/>
  <c r="DC238" i="102"/>
  <c r="DC235" i="102"/>
  <c r="DC227" i="102"/>
  <c r="DC209" i="102"/>
  <c r="DC201" i="102"/>
  <c r="DC200" i="102"/>
  <c r="DC195" i="102"/>
  <c r="DC173" i="102"/>
  <c r="DC167" i="102"/>
  <c r="DC156" i="102"/>
  <c r="DC154" i="102"/>
  <c r="DC149" i="102"/>
  <c r="DC147" i="102"/>
  <c r="DC135" i="102"/>
  <c r="DC128" i="102"/>
  <c r="DC111" i="102"/>
  <c r="DC103" i="102"/>
  <c r="DC102" i="102"/>
  <c r="DC70" i="102"/>
  <c r="DC42" i="102"/>
  <c r="DU38" i="102"/>
  <c r="DI38" i="102"/>
  <c r="EA36" i="102"/>
  <c r="DI36" i="102"/>
  <c r="DO35" i="102"/>
  <c r="DP35" i="102"/>
  <c r="DJ35" i="102"/>
  <c r="DV35" i="102"/>
  <c r="EC35" i="102"/>
  <c r="DO34" i="102"/>
  <c r="DK27" i="102"/>
  <c r="DK24" i="102"/>
  <c r="DU25" i="102"/>
  <c r="EA22" i="102"/>
  <c r="DI22" i="102"/>
  <c r="DC125" i="102"/>
  <c r="DC108" i="102"/>
  <c r="DC107" i="102"/>
  <c r="DC98" i="102"/>
  <c r="DC91" i="102"/>
  <c r="DC81" i="102"/>
  <c r="DC62" i="102"/>
  <c r="EA39" i="102"/>
  <c r="DU39" i="102"/>
  <c r="DO39" i="102"/>
  <c r="DI39" i="102"/>
  <c r="EA34" i="102"/>
  <c r="DI33" i="102"/>
  <c r="DU28" i="102"/>
  <c r="EA27" i="102"/>
  <c r="DO27" i="102"/>
  <c r="DI27" i="102"/>
  <c r="DI25" i="102"/>
  <c r="EA23" i="102"/>
  <c r="DU23" i="102"/>
  <c r="DO22" i="102"/>
  <c r="EB21" i="102"/>
  <c r="DV21" i="102"/>
  <c r="DP21" i="102"/>
  <c r="DC21" i="102"/>
  <c r="EA17" i="102"/>
  <c r="DI16" i="102"/>
  <c r="EB14" i="102"/>
  <c r="EC13" i="102"/>
  <c r="DW13" i="102"/>
  <c r="DQ13" i="102"/>
  <c r="DW12" i="102"/>
  <c r="DK12" i="102"/>
  <c r="EA11" i="102"/>
  <c r="DU11" i="102"/>
  <c r="DI10" i="102"/>
  <c r="DC9" i="102"/>
  <c r="DC20" i="102"/>
  <c r="DP14" i="102"/>
  <c r="DI9" i="102"/>
  <c r="DC24" i="102"/>
  <c r="DU22" i="102"/>
  <c r="DO17" i="102"/>
  <c r="EA14" i="102"/>
  <c r="DI14" i="102"/>
  <c r="EA13" i="102"/>
  <c r="DU13" i="102"/>
  <c r="DO13" i="102"/>
  <c r="DC13" i="102"/>
  <c r="DC7" i="102"/>
  <c r="DC459" i="102"/>
  <c r="DC453" i="102"/>
  <c r="DC465" i="102"/>
  <c r="DC450" i="102"/>
  <c r="DC438" i="102"/>
  <c r="DC410" i="102"/>
  <c r="DC397" i="102"/>
  <c r="DC386" i="102"/>
  <c r="DC288" i="102"/>
  <c r="DC442" i="102"/>
  <c r="DC434" i="102"/>
  <c r="DC426" i="102"/>
  <c r="DC418" i="102"/>
  <c r="DC405" i="102"/>
  <c r="DC356" i="102"/>
  <c r="DC350" i="102"/>
  <c r="DC342" i="102"/>
  <c r="DC286" i="102"/>
  <c r="DC398" i="102"/>
  <c r="DC393" i="102"/>
  <c r="DC373" i="102"/>
  <c r="DC361" i="102"/>
  <c r="DC413" i="102"/>
  <c r="DC391" i="102"/>
  <c r="DC363" i="102"/>
  <c r="DC298" i="102"/>
  <c r="DC406" i="102"/>
  <c r="DC351" i="102"/>
  <c r="DC343" i="102"/>
  <c r="DC337" i="102"/>
  <c r="DC312" i="102"/>
  <c r="DC389" i="102"/>
  <c r="DC328" i="102"/>
  <c r="DC314" i="102"/>
  <c r="DC306" i="102"/>
  <c r="DC401" i="102"/>
  <c r="DC387" i="102"/>
  <c r="DC422" i="102"/>
  <c r="DC345" i="102"/>
  <c r="DC322" i="102"/>
  <c r="DC261" i="102"/>
  <c r="DC409" i="102"/>
  <c r="DC390" i="102"/>
  <c r="DC385" i="102"/>
  <c r="DC383" i="102"/>
  <c r="DC370" i="102"/>
  <c r="DC353" i="102"/>
  <c r="DC331" i="102"/>
  <c r="DC402" i="102"/>
  <c r="DC366" i="102"/>
  <c r="DC317" i="102"/>
  <c r="DC293" i="102"/>
  <c r="DC316" i="102"/>
  <c r="DC237" i="102"/>
  <c r="DC222" i="102"/>
  <c r="DC194" i="102"/>
  <c r="DC118" i="102"/>
  <c r="DC309" i="102"/>
  <c r="DC296" i="102"/>
  <c r="DC240" i="102"/>
  <c r="DC214" i="102"/>
  <c r="DC174" i="102"/>
  <c r="DC165" i="102"/>
  <c r="DC94" i="102"/>
  <c r="DC281" i="102"/>
  <c r="DC266" i="102"/>
  <c r="DC220" i="102"/>
  <c r="DC216" i="102"/>
  <c r="DC110" i="102"/>
  <c r="DC96" i="102"/>
  <c r="DC77" i="102"/>
  <c r="DC346" i="102"/>
  <c r="DC323" i="102"/>
  <c r="DC302" i="102"/>
  <c r="DC297" i="102"/>
  <c r="DC232" i="102"/>
  <c r="DC197" i="102"/>
  <c r="DC170" i="102"/>
  <c r="DC153" i="102"/>
  <c r="DC138" i="102"/>
  <c r="DC133" i="102"/>
  <c r="DR39" i="102"/>
  <c r="CZ61" i="102"/>
  <c r="DC61" i="102" s="1"/>
  <c r="DC57" i="102"/>
  <c r="DC52" i="102"/>
  <c r="DC46" i="102"/>
  <c r="DC340" i="102"/>
  <c r="DC282" i="102"/>
  <c r="DC275" i="102"/>
  <c r="DC244" i="102"/>
  <c r="DC225" i="102"/>
  <c r="DC217" i="102"/>
  <c r="DC186" i="102"/>
  <c r="DC159" i="102"/>
  <c r="DC145" i="102"/>
  <c r="DC116" i="102"/>
  <c r="DC112" i="102"/>
  <c r="DC101" i="102"/>
  <c r="DC88" i="102"/>
  <c r="DC83" i="102"/>
  <c r="DC72" i="102"/>
  <c r="DC56" i="102"/>
  <c r="DC44" i="102"/>
  <c r="DX34" i="102"/>
  <c r="DX36" i="102"/>
  <c r="DC315" i="102"/>
  <c r="DC284" i="102"/>
  <c r="DC257" i="102"/>
  <c r="DC255" i="102"/>
  <c r="DC234" i="102"/>
  <c r="DC206" i="102"/>
  <c r="DC199" i="102"/>
  <c r="DC171" i="102"/>
  <c r="DC119" i="102"/>
  <c r="DC93" i="102"/>
  <c r="DC86" i="102"/>
  <c r="DC40" i="102"/>
  <c r="DC278" i="102"/>
  <c r="DC228" i="102"/>
  <c r="DC219" i="102"/>
  <c r="DC191" i="102"/>
  <c r="DC161" i="102"/>
  <c r="DC48" i="102"/>
  <c r="DC260" i="102"/>
  <c r="DC189" i="102"/>
  <c r="DC136" i="102"/>
  <c r="DC66" i="102"/>
  <c r="DC60" i="102"/>
  <c r="DC305" i="102"/>
  <c r="DC258" i="102"/>
  <c r="DC230" i="102"/>
  <c r="DC193" i="102"/>
  <c r="DC182" i="102"/>
  <c r="DC164" i="102"/>
  <c r="DC148" i="102"/>
  <c r="DC139" i="102"/>
  <c r="DC130" i="102"/>
  <c r="DC76" i="102"/>
  <c r="DC54" i="102"/>
  <c r="DC300" i="102"/>
  <c r="DC270" i="102"/>
  <c r="DC213" i="102"/>
  <c r="DC202" i="102"/>
  <c r="DC150" i="102"/>
  <c r="DC122" i="102"/>
  <c r="DC105" i="102"/>
  <c r="DC43" i="102"/>
  <c r="DC252" i="102"/>
  <c r="DC249" i="102"/>
  <c r="DC176" i="102"/>
  <c r="DC129" i="102"/>
  <c r="DC124" i="102"/>
  <c r="DC89" i="102"/>
  <c r="DC80" i="102"/>
  <c r="DC71" i="102"/>
  <c r="DC67" i="102"/>
  <c r="DC109" i="102"/>
  <c r="DK38" i="102"/>
  <c r="ED38" i="102"/>
  <c r="DJ38" i="102"/>
  <c r="DV38" i="102"/>
  <c r="EB38" i="102"/>
  <c r="DQ38" i="102"/>
  <c r="DX38" i="102"/>
  <c r="DL38" i="102"/>
  <c r="DC59" i="102"/>
  <c r="ED39" i="102"/>
  <c r="DW38" i="102"/>
  <c r="DR33" i="102"/>
  <c r="DC134" i="102"/>
  <c r="DC95" i="102"/>
  <c r="DC65" i="102"/>
  <c r="DC53" i="102"/>
  <c r="DC49" i="102"/>
  <c r="DC41" i="102"/>
  <c r="ED34" i="102"/>
  <c r="DC97" i="102"/>
  <c r="DR38" i="102"/>
  <c r="DC100" i="102"/>
  <c r="DC51" i="102"/>
  <c r="DP38" i="102"/>
  <c r="ED35" i="102"/>
  <c r="CY38" i="102"/>
  <c r="DC38" i="102" s="1"/>
  <c r="DL34" i="102"/>
  <c r="DK37" i="102"/>
  <c r="DW37" i="102"/>
  <c r="DV37" i="102"/>
  <c r="DR37" i="102"/>
  <c r="DR35" i="102"/>
  <c r="DK28" i="102"/>
  <c r="DW28" i="102"/>
  <c r="DQ28" i="102"/>
  <c r="EC28" i="102"/>
  <c r="DJ28" i="102"/>
  <c r="DL28" i="102"/>
  <c r="EB28" i="102"/>
  <c r="DR28" i="102"/>
  <c r="DV28" i="102"/>
  <c r="ED28" i="102"/>
  <c r="DP28" i="102"/>
  <c r="ED37" i="102"/>
  <c r="DP37" i="102"/>
  <c r="DC37" i="102"/>
  <c r="EC37" i="102"/>
  <c r="EB37" i="102"/>
  <c r="DX28" i="102"/>
  <c r="DB33" i="102"/>
  <c r="DC33" i="102" s="1"/>
  <c r="ED33" i="102"/>
  <c r="DL37" i="102"/>
  <c r="DJ37" i="102"/>
  <c r="DX37" i="102"/>
  <c r="DC31" i="102"/>
  <c r="ED26" i="102"/>
  <c r="ED22" i="102"/>
  <c r="DX35" i="102"/>
  <c r="DX22" i="102"/>
  <c r="DX23" i="102"/>
  <c r="DC32" i="102"/>
  <c r="DR27" i="102"/>
  <c r="DK33" i="102"/>
  <c r="DW33" i="102"/>
  <c r="DQ33" i="102"/>
  <c r="EC33" i="102"/>
  <c r="DX33" i="102"/>
  <c r="DJ33" i="102"/>
  <c r="DL33" i="102"/>
  <c r="CY29" i="102"/>
  <c r="DC29" i="102" s="1"/>
  <c r="DL35" i="102"/>
  <c r="DX25" i="102"/>
  <c r="DL36" i="102"/>
  <c r="DV33" i="102"/>
  <c r="ED15" i="102"/>
  <c r="DP33" i="102"/>
  <c r="DB28" i="102"/>
  <c r="DC28" i="102" s="1"/>
  <c r="DL25" i="102"/>
  <c r="DU27" i="102"/>
  <c r="DC18" i="102"/>
  <c r="DL27" i="102"/>
  <c r="DP26" i="102"/>
  <c r="EB26" i="102"/>
  <c r="DJ26" i="102"/>
  <c r="DV26" i="102"/>
  <c r="DK26" i="102"/>
  <c r="DW26" i="102"/>
  <c r="DL26" i="102"/>
  <c r="DX26" i="102"/>
  <c r="DI21" i="102"/>
  <c r="DC19" i="102"/>
  <c r="DL16" i="102"/>
  <c r="DQ25" i="102"/>
  <c r="EC25" i="102"/>
  <c r="DJ25" i="102"/>
  <c r="DV25" i="102"/>
  <c r="DK25" i="102"/>
  <c r="DW25" i="102"/>
  <c r="DR15" i="102"/>
  <c r="ED10" i="102"/>
  <c r="DX13" i="102"/>
  <c r="DL21" i="102"/>
  <c r="DP20" i="102"/>
  <c r="EB20" i="102"/>
  <c r="DJ20" i="102"/>
  <c r="DV20" i="102"/>
  <c r="DK20" i="102"/>
  <c r="DW20" i="102"/>
  <c r="DL20" i="102"/>
  <c r="DX20" i="102"/>
  <c r="DR10" i="102"/>
  <c r="DC8" i="102"/>
  <c r="DK22" i="102"/>
  <c r="DW22" i="102"/>
  <c r="DP22" i="102"/>
  <c r="EB22" i="102"/>
  <c r="DQ22" i="102"/>
  <c r="EC22" i="102"/>
  <c r="DX24" i="102"/>
  <c r="DX12" i="102"/>
  <c r="DX17" i="102"/>
  <c r="DA16" i="102"/>
  <c r="DC16" i="102" s="1"/>
  <c r="DL24" i="102"/>
  <c r="DL12" i="102"/>
  <c r="DL17" i="102"/>
  <c r="CY15" i="102"/>
  <c r="DC15" i="102" s="1"/>
  <c r="DR16" i="102"/>
  <c r="DR26" i="102"/>
  <c r="DC25" i="102"/>
  <c r="DU21" i="102"/>
  <c r="DL13" i="102"/>
  <c r="DP34" i="102"/>
  <c r="EB34" i="102"/>
  <c r="DQ26" i="102"/>
  <c r="DR25" i="102"/>
  <c r="DC22" i="102"/>
  <c r="DR36" i="102"/>
  <c r="CZ17" i="102"/>
  <c r="DC17" i="102" s="1"/>
  <c r="DR17" i="102"/>
  <c r="DL39" i="102"/>
  <c r="DX39" i="102"/>
  <c r="DR34" i="102"/>
  <c r="ED27" i="102"/>
  <c r="DP25" i="102"/>
  <c r="DR20" i="102"/>
  <c r="DO24" i="102"/>
  <c r="DR22" i="102"/>
  <c r="DQ20" i="102"/>
  <c r="DU14" i="102"/>
  <c r="DP15" i="102"/>
  <c r="EB15" i="102"/>
  <c r="DQ15" i="102"/>
  <c r="EC15" i="102"/>
  <c r="DJ15" i="102"/>
  <c r="DV15" i="102"/>
  <c r="DK15" i="102"/>
  <c r="DW15" i="102"/>
  <c r="DL15" i="102"/>
  <c r="DX15" i="102"/>
  <c r="ED16" i="102"/>
  <c r="EC26" i="102"/>
  <c r="ED25" i="102"/>
  <c r="DL23" i="102"/>
  <c r="DC23" i="102"/>
  <c r="DL22" i="102"/>
  <c r="ED20" i="102"/>
  <c r="DL10" i="102"/>
  <c r="ED17" i="102"/>
  <c r="DX14" i="102"/>
  <c r="DL14" i="102"/>
  <c r="ED11" i="102"/>
  <c r="DR11" i="102"/>
  <c r="EC17" i="102"/>
  <c r="DQ17" i="102"/>
  <c r="DW14" i="102"/>
  <c r="DK14" i="102"/>
  <c r="EC11" i="102"/>
  <c r="DQ11" i="102"/>
  <c r="DA10" i="102"/>
  <c r="ED23" i="102"/>
  <c r="DR23" i="102"/>
  <c r="EB17" i="102"/>
  <c r="DP17" i="102"/>
  <c r="DV14" i="102"/>
  <c r="DJ14" i="102"/>
  <c r="ED12" i="102"/>
  <c r="DR12" i="102"/>
  <c r="EB11" i="102"/>
  <c r="DP11" i="102"/>
  <c r="DB11" i="102"/>
  <c r="CZ10" i="102"/>
  <c r="DC10" i="102" s="1"/>
  <c r="DX9" i="102"/>
  <c r="DL9" i="102"/>
  <c r="EC23" i="102"/>
  <c r="DQ23" i="102"/>
  <c r="EC12" i="102"/>
  <c r="DQ12" i="102"/>
  <c r="DW9" i="102"/>
  <c r="DK9" i="102"/>
  <c r="DX27" i="102"/>
  <c r="ED24" i="102"/>
  <c r="DR24" i="102"/>
  <c r="EB23" i="102"/>
  <c r="DX21" i="102"/>
  <c r="DX16" i="102"/>
  <c r="ED13" i="102"/>
  <c r="DR13" i="102"/>
  <c r="EB12" i="102"/>
  <c r="DB12" i="102"/>
  <c r="DC12" i="102" s="1"/>
  <c r="CZ11" i="102"/>
  <c r="DC11" i="102" s="1"/>
  <c r="DX10" i="102"/>
  <c r="DV9" i="102"/>
  <c r="DJ9" i="102"/>
  <c r="ED14" i="102"/>
  <c r="DR14" i="102"/>
  <c r="DX11" i="102"/>
  <c r="DL11" i="102"/>
  <c r="ED36" i="102"/>
  <c r="EB35" i="102"/>
  <c r="DW17" i="102"/>
  <c r="EC14" i="102"/>
  <c r="DW11" i="102"/>
  <c r="ED9" i="102"/>
  <c r="DR9" i="102"/>
  <c r="EC9" i="102"/>
  <c r="DQ9" i="102"/>
  <c r="ED21" i="102"/>
  <c r="DR21" i="102"/>
  <c r="EB9" i="102"/>
  <c r="P482" i="100" l="1"/>
  <c r="P481" i="100"/>
  <c r="P480" i="100"/>
  <c r="P479" i="100"/>
  <c r="P478" i="100"/>
  <c r="P477" i="100"/>
  <c r="P476" i="100"/>
  <c r="P475" i="100"/>
  <c r="P474" i="100"/>
  <c r="P473" i="100"/>
  <c r="P472" i="100"/>
  <c r="P471" i="100"/>
  <c r="P470" i="100"/>
  <c r="P469" i="100"/>
  <c r="P468" i="100"/>
  <c r="P467" i="100"/>
  <c r="P466" i="100"/>
  <c r="P465" i="100"/>
  <c r="P464" i="100"/>
  <c r="P463" i="100"/>
  <c r="P462" i="100"/>
  <c r="P461" i="100"/>
  <c r="P460" i="100"/>
  <c r="P459" i="100"/>
  <c r="P458" i="100"/>
  <c r="P457" i="100"/>
  <c r="P456" i="100"/>
  <c r="P455" i="100"/>
  <c r="P454" i="100"/>
  <c r="P453" i="100"/>
  <c r="P452" i="100"/>
  <c r="P451" i="100"/>
  <c r="P450" i="100"/>
  <c r="P449" i="100"/>
  <c r="P448" i="100"/>
  <c r="P447" i="100"/>
  <c r="P446" i="100"/>
  <c r="P445" i="100"/>
  <c r="P444" i="100"/>
  <c r="P443" i="100"/>
  <c r="P442" i="100"/>
  <c r="P441" i="100"/>
  <c r="P440" i="100"/>
  <c r="P439" i="100"/>
  <c r="P438" i="100"/>
  <c r="P437" i="100"/>
  <c r="P436" i="100"/>
  <c r="P435" i="100"/>
  <c r="P434" i="100"/>
  <c r="P433" i="100"/>
  <c r="P432" i="100"/>
  <c r="P431" i="100"/>
  <c r="P430" i="100"/>
  <c r="P429" i="100"/>
  <c r="P428" i="100"/>
  <c r="P427" i="100"/>
  <c r="P426" i="100"/>
  <c r="P425" i="100"/>
  <c r="P424" i="100"/>
  <c r="P423" i="100"/>
  <c r="P422" i="100"/>
  <c r="P421" i="100"/>
  <c r="P420" i="100"/>
  <c r="P419" i="100"/>
  <c r="P418" i="100"/>
  <c r="P417" i="100"/>
  <c r="P416" i="100"/>
  <c r="P415" i="100"/>
  <c r="P414" i="100"/>
  <c r="P413" i="100"/>
  <c r="P412" i="100"/>
  <c r="P411" i="100"/>
  <c r="P410" i="100"/>
  <c r="P409" i="100"/>
  <c r="P408" i="100"/>
  <c r="P407" i="100"/>
  <c r="P406" i="100"/>
  <c r="P405" i="100"/>
  <c r="P404" i="100"/>
  <c r="P403" i="100"/>
  <c r="P402" i="100"/>
  <c r="P401" i="100"/>
  <c r="P400" i="100"/>
  <c r="P399" i="100"/>
  <c r="P398" i="100"/>
  <c r="P397" i="100"/>
  <c r="P396" i="100"/>
  <c r="P395" i="100"/>
  <c r="P394" i="100"/>
  <c r="P393" i="100"/>
  <c r="P392" i="100"/>
  <c r="P391" i="100"/>
  <c r="P390" i="100"/>
  <c r="P389" i="100"/>
  <c r="P388" i="100"/>
  <c r="P387" i="100"/>
  <c r="P386" i="100"/>
  <c r="P385" i="100"/>
  <c r="P384" i="100"/>
  <c r="P383" i="100"/>
  <c r="Z378" i="100"/>
  <c r="Z377" i="100"/>
  <c r="Z376" i="100"/>
  <c r="Z375" i="100"/>
  <c r="Z374" i="100"/>
  <c r="Z373" i="100"/>
  <c r="Z372" i="100"/>
  <c r="Z371" i="100"/>
  <c r="Z370" i="100"/>
  <c r="Z369" i="100"/>
  <c r="Z368" i="100"/>
  <c r="Z367" i="100"/>
  <c r="Z366" i="100"/>
  <c r="Z365" i="100"/>
  <c r="Z364" i="100"/>
  <c r="Z363" i="100"/>
  <c r="Z362" i="100"/>
  <c r="Z361" i="100"/>
  <c r="Z360" i="100"/>
  <c r="Z359" i="100"/>
  <c r="Z358" i="100"/>
  <c r="Z357" i="100"/>
  <c r="Z356" i="100"/>
  <c r="Z355" i="100"/>
  <c r="Z354" i="100"/>
  <c r="Z353" i="100"/>
  <c r="Z352" i="100"/>
  <c r="Z351" i="100"/>
  <c r="Z350" i="100"/>
  <c r="Z349" i="100"/>
  <c r="Z348" i="100"/>
  <c r="Z347" i="100"/>
  <c r="Z346" i="100"/>
  <c r="Z345" i="100"/>
  <c r="Z344" i="100"/>
  <c r="Z343" i="100"/>
  <c r="Z342" i="100"/>
  <c r="Z341" i="100"/>
  <c r="Z340" i="100"/>
  <c r="Z339" i="100"/>
  <c r="Z338" i="100"/>
  <c r="Z337" i="100"/>
  <c r="Z336" i="100"/>
  <c r="Z335" i="100"/>
  <c r="Z334" i="100"/>
  <c r="Z333" i="100"/>
  <c r="Z332" i="100"/>
  <c r="Z331" i="100"/>
  <c r="Z330" i="100"/>
  <c r="Z329" i="100"/>
  <c r="Z328" i="100"/>
  <c r="Z327" i="100"/>
  <c r="Z326" i="100"/>
  <c r="Z325" i="100"/>
  <c r="Z324" i="100"/>
  <c r="Z323" i="100"/>
  <c r="Z322" i="100"/>
  <c r="Z321" i="100"/>
  <c r="Z320" i="100"/>
  <c r="Z319" i="100"/>
  <c r="Z318" i="100"/>
  <c r="Z317" i="100"/>
  <c r="Z316" i="100"/>
  <c r="Z315" i="100"/>
  <c r="Z314" i="100"/>
  <c r="Z313" i="100"/>
  <c r="Z312" i="100"/>
  <c r="Z311" i="100"/>
  <c r="Z310" i="100"/>
  <c r="Z309" i="100"/>
  <c r="Z308" i="100"/>
  <c r="Z307" i="100"/>
  <c r="Z306" i="100"/>
  <c r="Z305" i="100"/>
  <c r="Z304" i="100"/>
  <c r="Z303" i="100"/>
  <c r="Z302" i="100"/>
  <c r="Z301" i="100"/>
  <c r="Z300" i="100"/>
  <c r="Z299" i="100"/>
  <c r="Z298" i="100"/>
  <c r="Z297" i="100"/>
  <c r="Z296" i="100"/>
  <c r="Z295" i="100"/>
  <c r="Z294" i="100"/>
  <c r="Z293" i="100"/>
  <c r="Z292" i="100"/>
  <c r="Z291" i="100"/>
  <c r="Z290" i="100"/>
  <c r="Z289" i="100"/>
  <c r="Z288" i="100"/>
  <c r="Z287" i="100"/>
  <c r="Z286" i="100"/>
  <c r="Z285" i="100"/>
  <c r="Z284" i="100"/>
  <c r="Z283" i="100"/>
  <c r="Z282" i="100"/>
  <c r="Z281" i="100"/>
  <c r="Z280" i="100"/>
  <c r="Z279" i="100"/>
  <c r="Z278" i="100"/>
  <c r="Z277" i="100"/>
  <c r="Z276" i="100"/>
  <c r="Z275" i="100"/>
  <c r="Z274" i="100"/>
  <c r="Z273" i="100"/>
  <c r="Z272" i="100"/>
  <c r="Z271" i="100"/>
  <c r="Z270" i="100"/>
  <c r="Z269" i="100"/>
  <c r="Z268" i="100"/>
  <c r="Z267" i="100"/>
  <c r="Z266" i="100"/>
  <c r="Z265" i="100"/>
  <c r="Z264" i="100"/>
  <c r="Z263" i="100"/>
  <c r="Z262" i="100"/>
  <c r="Z261" i="100"/>
  <c r="Z260" i="100"/>
  <c r="Z259" i="100"/>
  <c r="Z258" i="100"/>
  <c r="Z257" i="100"/>
  <c r="Z256" i="100"/>
  <c r="Z255" i="100"/>
  <c r="Z254" i="100"/>
  <c r="Z253" i="100"/>
  <c r="Z252" i="100"/>
  <c r="Z251" i="100"/>
  <c r="Z250" i="100"/>
  <c r="Z249" i="100"/>
  <c r="Z248" i="100"/>
  <c r="Z247" i="100"/>
  <c r="Z246" i="100"/>
  <c r="Z245" i="100"/>
  <c r="Z244" i="100"/>
  <c r="Z243" i="100"/>
  <c r="Z242" i="100"/>
  <c r="Z241" i="100"/>
  <c r="Z240" i="100"/>
  <c r="Z239" i="100"/>
  <c r="Z238" i="100"/>
  <c r="Z237" i="100"/>
  <c r="Z236" i="100"/>
  <c r="Z235" i="100"/>
  <c r="Z234" i="100"/>
  <c r="Z233" i="100"/>
  <c r="Z232" i="100"/>
  <c r="Z231" i="100"/>
  <c r="Z230" i="100"/>
  <c r="Z229" i="100"/>
  <c r="Z228" i="100"/>
  <c r="Z227" i="100"/>
  <c r="Z226" i="100"/>
  <c r="Z225" i="100"/>
  <c r="Z224" i="100"/>
  <c r="Z223" i="100"/>
  <c r="Z222" i="100"/>
  <c r="Z221" i="100"/>
  <c r="Z220" i="100"/>
  <c r="Z219" i="100"/>
  <c r="Z218" i="100"/>
  <c r="Z217" i="100"/>
  <c r="Z216" i="100"/>
  <c r="Z215" i="100"/>
  <c r="Z214" i="100"/>
  <c r="Z213" i="100"/>
  <c r="Z212" i="100"/>
  <c r="Z211" i="100"/>
  <c r="Z210" i="100"/>
  <c r="Z209" i="100"/>
  <c r="Z208" i="100"/>
  <c r="Z207" i="100"/>
  <c r="Z206" i="100"/>
  <c r="Z205" i="100"/>
  <c r="Z203" i="100"/>
  <c r="Z202" i="100"/>
  <c r="Z201" i="100"/>
  <c r="Z200" i="100"/>
  <c r="Z199" i="100"/>
  <c r="Z198" i="100"/>
  <c r="Z197" i="100"/>
  <c r="Z196" i="100"/>
  <c r="Z195" i="100"/>
  <c r="Z194" i="100"/>
  <c r="Z193" i="100"/>
  <c r="Z192" i="100"/>
  <c r="Z191" i="100"/>
  <c r="Z190" i="100"/>
  <c r="Z189" i="100"/>
  <c r="Z188" i="100"/>
  <c r="Z187" i="100"/>
  <c r="Z186" i="100"/>
  <c r="Z185" i="100"/>
  <c r="Z184" i="100"/>
  <c r="Z183" i="100"/>
  <c r="Z182" i="100"/>
  <c r="Z181" i="100"/>
  <c r="Z180" i="100"/>
  <c r="Z179" i="100"/>
  <c r="Z178" i="100"/>
  <c r="Z177" i="100"/>
  <c r="Z176" i="100"/>
  <c r="Z175" i="100"/>
  <c r="Z174" i="100"/>
  <c r="Z173" i="100"/>
  <c r="Z172" i="100"/>
  <c r="Z171" i="100"/>
  <c r="Z170" i="100"/>
  <c r="Z169" i="100"/>
  <c r="Z168" i="100"/>
  <c r="Z167" i="100"/>
  <c r="Z166" i="100"/>
  <c r="Z165" i="100"/>
  <c r="Z164" i="100"/>
  <c r="Z163" i="100"/>
  <c r="Z162" i="100"/>
  <c r="Z161" i="100"/>
  <c r="Z160" i="100"/>
  <c r="Z159" i="100"/>
  <c r="Z158" i="100"/>
  <c r="Z157" i="100"/>
  <c r="Z156" i="100"/>
  <c r="Z155" i="100"/>
  <c r="Z154" i="100"/>
  <c r="Z153" i="100"/>
  <c r="Z152" i="100"/>
  <c r="Z151" i="100"/>
  <c r="Z150" i="100"/>
  <c r="Z149" i="100"/>
  <c r="Z148" i="100"/>
  <c r="Z147" i="100"/>
  <c r="Z146" i="100"/>
  <c r="Z145" i="100"/>
  <c r="Z144" i="100"/>
  <c r="Z143" i="100"/>
  <c r="Z142" i="100"/>
  <c r="Z141" i="100"/>
  <c r="Z140" i="100"/>
  <c r="Z139" i="100"/>
  <c r="Z138" i="100"/>
  <c r="Z137" i="100"/>
  <c r="Z136" i="100"/>
  <c r="Z135" i="100"/>
  <c r="Z134" i="100"/>
  <c r="Z133" i="100"/>
  <c r="Z132" i="100"/>
  <c r="Z131" i="100"/>
  <c r="Z130" i="100"/>
  <c r="Z129" i="100"/>
  <c r="Z128" i="100"/>
  <c r="Z127" i="100"/>
  <c r="Z126" i="100"/>
  <c r="Z125" i="100"/>
  <c r="Z124" i="100"/>
  <c r="Z123" i="100"/>
  <c r="Z122" i="100"/>
  <c r="Z121" i="100"/>
  <c r="Z120" i="100"/>
  <c r="Z119" i="100"/>
  <c r="Z118" i="100"/>
  <c r="Z117" i="100"/>
  <c r="Z116" i="100"/>
  <c r="Z115" i="100"/>
  <c r="Z114" i="100"/>
  <c r="Z113" i="100"/>
  <c r="Z112" i="100"/>
  <c r="Z111" i="100"/>
  <c r="Z110" i="100"/>
  <c r="Z109" i="100"/>
  <c r="Z108" i="100"/>
  <c r="Z107" i="100"/>
  <c r="Z106" i="100"/>
  <c r="Z105" i="100"/>
  <c r="Z104" i="100"/>
  <c r="Z103" i="100"/>
  <c r="Z102" i="100"/>
  <c r="Z101" i="100"/>
  <c r="Z100" i="100"/>
  <c r="Z99" i="100"/>
  <c r="Z98" i="100"/>
  <c r="Z97" i="100"/>
  <c r="Z96" i="100"/>
  <c r="Z95" i="100"/>
  <c r="Z94" i="100"/>
  <c r="Z93" i="100"/>
  <c r="Z92" i="100"/>
  <c r="Z91" i="100"/>
  <c r="Z90" i="100"/>
  <c r="Z89" i="100"/>
  <c r="Z88" i="100"/>
  <c r="Z87" i="100"/>
  <c r="Z86" i="100"/>
  <c r="Z85" i="100"/>
  <c r="Z84" i="100"/>
  <c r="Z83" i="100"/>
  <c r="Z82" i="100"/>
  <c r="Z81" i="100"/>
  <c r="Z80" i="100"/>
  <c r="Z79" i="100"/>
  <c r="Z78" i="100"/>
  <c r="Z77" i="100"/>
  <c r="Z76" i="100"/>
  <c r="Z75" i="100"/>
  <c r="Z74" i="100"/>
  <c r="Z73" i="100"/>
  <c r="Z72" i="100"/>
  <c r="Z71" i="100"/>
  <c r="Z70" i="100"/>
  <c r="Z69" i="100"/>
  <c r="Z68" i="100"/>
  <c r="Z67" i="100"/>
  <c r="Z66" i="100"/>
  <c r="Z65" i="100"/>
  <c r="Z64" i="100"/>
  <c r="Z63" i="100"/>
  <c r="Z62" i="100"/>
  <c r="Z61" i="100"/>
  <c r="Z60" i="100"/>
  <c r="Z59" i="100"/>
  <c r="Z58" i="100"/>
  <c r="Z57" i="100"/>
  <c r="Z56" i="100"/>
  <c r="Z55" i="100"/>
  <c r="Z54" i="100"/>
  <c r="Z53" i="100"/>
  <c r="Z52" i="100"/>
  <c r="Z51" i="100"/>
  <c r="Z50" i="100"/>
  <c r="Z49" i="100"/>
  <c r="Z48" i="100"/>
  <c r="Z47" i="100"/>
  <c r="Z46" i="100"/>
  <c r="Z45" i="100"/>
  <c r="Z44" i="100"/>
  <c r="Z43" i="100"/>
  <c r="Z42" i="100"/>
  <c r="Z41" i="100"/>
  <c r="Z40" i="100"/>
  <c r="Z39" i="100"/>
  <c r="Z38" i="100"/>
  <c r="Z37" i="100"/>
  <c r="Z36" i="100"/>
  <c r="Z35" i="100"/>
  <c r="Z34" i="100"/>
  <c r="Z33" i="100"/>
  <c r="Z32" i="100"/>
  <c r="Z31" i="100"/>
  <c r="Z30" i="100"/>
  <c r="Z29" i="100"/>
  <c r="Z28" i="100"/>
  <c r="Z27" i="100"/>
  <c r="Z26" i="100"/>
  <c r="Z25" i="100"/>
  <c r="Z24" i="100"/>
  <c r="Z23" i="100"/>
  <c r="Z22" i="100"/>
  <c r="Z21" i="100"/>
  <c r="Z20" i="100"/>
  <c r="Z19" i="100"/>
  <c r="Z18" i="100"/>
  <c r="Z17" i="100"/>
  <c r="Z16" i="100"/>
  <c r="Z15" i="100"/>
  <c r="Z14" i="100"/>
  <c r="Z13" i="100"/>
  <c r="Z12" i="100"/>
  <c r="Z11" i="100"/>
  <c r="Z10" i="100"/>
  <c r="Z9" i="100"/>
  <c r="Z8" i="100"/>
  <c r="Z7" i="100"/>
  <c r="Z6" i="100"/>
  <c r="Z5" i="100"/>
</calcChain>
</file>

<file path=xl/sharedStrings.xml><?xml version="1.0" encoding="utf-8"?>
<sst xmlns="http://schemas.openxmlformats.org/spreadsheetml/2006/main" count="14429" uniqueCount="1283">
  <si>
    <t>IAV - H1N1</t>
  </si>
  <si>
    <t>IAV - H3N2</t>
  </si>
  <si>
    <t>IBV - Yamagata</t>
  </si>
  <si>
    <t>IBV - Victoria</t>
  </si>
  <si>
    <t>Vaccine Strain (* B/Yam not in HD vaccine)</t>
  </si>
  <si>
    <r>
      <t>Seroprotected (</t>
    </r>
    <r>
      <rPr>
        <u/>
        <sz val="11"/>
        <color theme="1"/>
        <rFont val="Calibri (Body)_x0000_"/>
      </rPr>
      <t>&gt;</t>
    </r>
    <r>
      <rPr>
        <sz val="11"/>
        <color theme="1"/>
        <rFont val="Calibri"/>
        <family val="2"/>
        <scheme val="minor"/>
      </rPr>
      <t>1:40)</t>
    </r>
  </si>
  <si>
    <t>Seroconvert (+4-fold)</t>
  </si>
  <si>
    <t xml:space="preserve">Age Key: </t>
  </si>
  <si>
    <t>18-34</t>
  </si>
  <si>
    <t>35-49</t>
  </si>
  <si>
    <t>50-64</t>
  </si>
  <si>
    <t>65+ (SD)</t>
  </si>
  <si>
    <t>65+ (HD)</t>
  </si>
  <si>
    <t>B/Lee/1940</t>
  </si>
  <si>
    <t>B/Colorado/6/2017</t>
  </si>
  <si>
    <t>ID</t>
  </si>
  <si>
    <t>Date Vaccinated</t>
  </si>
  <si>
    <t>Age</t>
  </si>
  <si>
    <t>Gender</t>
  </si>
  <si>
    <t>Race/Ethnicity</t>
  </si>
  <si>
    <t>Vaccine</t>
  </si>
  <si>
    <t>D0 - Chile/83</t>
  </si>
  <si>
    <t>D0 - Sing/86</t>
  </si>
  <si>
    <t>D0 - TX/91</t>
  </si>
  <si>
    <t>D0 - Bei/95</t>
  </si>
  <si>
    <t>D0 - NC/99</t>
  </si>
  <si>
    <t>D0 - SI/06</t>
  </si>
  <si>
    <t>D0 - Bris/07</t>
  </si>
  <si>
    <t>D0 - CA/09</t>
  </si>
  <si>
    <t>D0 - Mich/15</t>
  </si>
  <si>
    <t>ID# (2)</t>
  </si>
  <si>
    <t>D0 - Pan/99</t>
  </si>
  <si>
    <t>D0 - NY/04</t>
  </si>
  <si>
    <t>D0 - Wisc/05</t>
  </si>
  <si>
    <t>D0 - UR/07</t>
  </si>
  <si>
    <t>D0 - Perth/09</t>
  </si>
  <si>
    <t>D0 - Vic/11</t>
  </si>
  <si>
    <t>D0 - TX/12</t>
  </si>
  <si>
    <t>D0 - Switz/13</t>
  </si>
  <si>
    <t>D0 - HK/14</t>
  </si>
  <si>
    <t>D0 - Sing/16</t>
  </si>
  <si>
    <t>ID# (3)</t>
  </si>
  <si>
    <t>D0 - Lee/40</t>
  </si>
  <si>
    <t>D0 - YM/88</t>
  </si>
  <si>
    <t>D0 - Harbin/94</t>
  </si>
  <si>
    <t>D0 - Sich/99</t>
  </si>
  <si>
    <t>D0 - FL/06</t>
  </si>
  <si>
    <t>D0 - Wis/10</t>
  </si>
  <si>
    <t>D0 - TX/11</t>
  </si>
  <si>
    <t>D0 - Mass/12</t>
  </si>
  <si>
    <t>D0 - Phu/13</t>
  </si>
  <si>
    <t>D0 - Vic/87</t>
  </si>
  <si>
    <t>D0 - HK/01</t>
  </si>
  <si>
    <t>D0 - Mal/04</t>
  </si>
  <si>
    <t>D0 - Vic/06</t>
  </si>
  <si>
    <t>D0 - BR/08</t>
  </si>
  <si>
    <t>D0 - CO/17</t>
  </si>
  <si>
    <t>ID# (4)</t>
  </si>
  <si>
    <t>M</t>
  </si>
  <si>
    <t>Standard Dose</t>
  </si>
  <si>
    <t>Y</t>
  </si>
  <si>
    <t>F</t>
  </si>
  <si>
    <t>N</t>
  </si>
  <si>
    <t>Asian</t>
  </si>
  <si>
    <t>High Dose</t>
  </si>
  <si>
    <t>n-value</t>
  </si>
  <si>
    <t>65+</t>
  </si>
  <si>
    <t>65+ SD</t>
  </si>
  <si>
    <t>65+ HD</t>
  </si>
  <si>
    <t>DOB</t>
  </si>
  <si>
    <t>BMI</t>
  </si>
  <si>
    <t>11-14</t>
  </si>
  <si>
    <t>15-17</t>
  </si>
  <si>
    <t>D28 - Chile/83</t>
  </si>
  <si>
    <t>D28 - Sing/86</t>
  </si>
  <si>
    <t>D28 - TX/91</t>
  </si>
  <si>
    <t>D28 - Bei/95</t>
  </si>
  <si>
    <t>D28 - NC/99</t>
  </si>
  <si>
    <t>D28 - SI/06</t>
  </si>
  <si>
    <t>D28 - Bris/07</t>
  </si>
  <si>
    <t>D28 - CA/09</t>
  </si>
  <si>
    <t>D28 - Mich/15</t>
  </si>
  <si>
    <t>D28 - Pan/99</t>
  </si>
  <si>
    <t>D28 - NY/04</t>
  </si>
  <si>
    <t>D28 - Wisc/05</t>
  </si>
  <si>
    <t>D28 - UR/07</t>
  </si>
  <si>
    <t>D28 - Perth/09</t>
  </si>
  <si>
    <t>D28 - Vic/11</t>
  </si>
  <si>
    <t>D28 - TX/12</t>
  </si>
  <si>
    <t>D28 - Switz/13</t>
  </si>
  <si>
    <t>D28 - HK/14</t>
  </si>
  <si>
    <t>D28 - Sing/16</t>
  </si>
  <si>
    <t>D28 - Lee/40</t>
  </si>
  <si>
    <t>D28 - YM/88</t>
  </si>
  <si>
    <t>D28 - Harbin/94</t>
  </si>
  <si>
    <t>D28 - Sich/99</t>
  </si>
  <si>
    <t>D28 - FL/06</t>
  </si>
  <si>
    <t>D28 - Wis/10</t>
  </si>
  <si>
    <t>D28 - TX/11</t>
  </si>
  <si>
    <t>D28 - Mass/12</t>
  </si>
  <si>
    <t>D28 - Phu/13</t>
  </si>
  <si>
    <t>D28 - Vic/87</t>
  </si>
  <si>
    <t>D28 - HK/01</t>
  </si>
  <si>
    <t>D28 - Mal/04</t>
  </si>
  <si>
    <t>D28 - Vic/06</t>
  </si>
  <si>
    <t>D28 - BR/08</t>
  </si>
  <si>
    <t>D28 - CO/17</t>
  </si>
  <si>
    <t>IBV</t>
  </si>
  <si>
    <t>B/Washington/2/2019</t>
  </si>
  <si>
    <t>Repeater?</t>
  </si>
  <si>
    <t>D0 - BR/18</t>
  </si>
  <si>
    <t>D28 - BR/18</t>
  </si>
  <si>
    <t>D0 - KS/17</t>
  </si>
  <si>
    <t>D28 - KS/17</t>
  </si>
  <si>
    <t>D0 - WA/19</t>
  </si>
  <si>
    <t>D28 - WA/19</t>
  </si>
  <si>
    <t>White/Caucasian</t>
  </si>
  <si>
    <t>Black/African American</t>
  </si>
  <si>
    <t>Hispanic</t>
  </si>
  <si>
    <t>Hispanic, Black, White</t>
  </si>
  <si>
    <t>American Indian</t>
  </si>
  <si>
    <t>Black, White</t>
  </si>
  <si>
    <t>Hispanic, Asian</t>
  </si>
  <si>
    <t xml:space="preserve">White/Caucasian </t>
  </si>
  <si>
    <t>White/Caucasain</t>
  </si>
  <si>
    <t>Other: semitic</t>
  </si>
  <si>
    <t>White/Cauasian</t>
  </si>
  <si>
    <t>Hispanic/Latino</t>
  </si>
  <si>
    <t xml:space="preserve">White/ Caucasian </t>
  </si>
  <si>
    <t xml:space="preserve">White/Caucaian </t>
  </si>
  <si>
    <t>004C</t>
  </si>
  <si>
    <t>006C</t>
  </si>
  <si>
    <t>007C</t>
  </si>
  <si>
    <t>008C</t>
  </si>
  <si>
    <t>009C</t>
  </si>
  <si>
    <t>017C</t>
  </si>
  <si>
    <t>018C</t>
  </si>
  <si>
    <t>020C</t>
  </si>
  <si>
    <t>021C</t>
  </si>
  <si>
    <t>023C</t>
  </si>
  <si>
    <t>028C</t>
  </si>
  <si>
    <t>029C</t>
  </si>
  <si>
    <t>030C</t>
  </si>
  <si>
    <t>034C</t>
  </si>
  <si>
    <t>035C</t>
  </si>
  <si>
    <t>036C</t>
  </si>
  <si>
    <t>White/Caucasian, American Indian/Alaska Native</t>
  </si>
  <si>
    <t>037C</t>
  </si>
  <si>
    <t>038C</t>
  </si>
  <si>
    <t>039C</t>
  </si>
  <si>
    <t>White/Caucasian, Black/African American</t>
  </si>
  <si>
    <t>040C</t>
  </si>
  <si>
    <t>041C</t>
  </si>
  <si>
    <t>042C</t>
  </si>
  <si>
    <t>045C</t>
  </si>
  <si>
    <t>046C</t>
  </si>
  <si>
    <t>049C</t>
  </si>
  <si>
    <t>050C</t>
  </si>
  <si>
    <t>052C</t>
  </si>
  <si>
    <t>053C</t>
  </si>
  <si>
    <t>054C</t>
  </si>
  <si>
    <t>056C</t>
  </si>
  <si>
    <t>061C</t>
  </si>
  <si>
    <t>069C</t>
  </si>
  <si>
    <t>070C</t>
  </si>
  <si>
    <t>071C</t>
  </si>
  <si>
    <t>072C</t>
  </si>
  <si>
    <t>074C</t>
  </si>
  <si>
    <t>083C</t>
  </si>
  <si>
    <t>084C</t>
  </si>
  <si>
    <t>086C</t>
  </si>
  <si>
    <t>090C</t>
  </si>
  <si>
    <t>093C</t>
  </si>
  <si>
    <t>097C</t>
  </si>
  <si>
    <t>099C</t>
  </si>
  <si>
    <t>102C</t>
  </si>
  <si>
    <t>103C</t>
  </si>
  <si>
    <t>105C</t>
  </si>
  <si>
    <t>110C</t>
  </si>
  <si>
    <t>112C</t>
  </si>
  <si>
    <t>113C</t>
  </si>
  <si>
    <t>White/Caucasian; Black/African American</t>
  </si>
  <si>
    <t>115C</t>
  </si>
  <si>
    <t>116C</t>
  </si>
  <si>
    <t>118C</t>
  </si>
  <si>
    <t>119C</t>
  </si>
  <si>
    <t>120C</t>
  </si>
  <si>
    <t>121C</t>
  </si>
  <si>
    <t>125C</t>
  </si>
  <si>
    <t>126C</t>
  </si>
  <si>
    <t>127C</t>
  </si>
  <si>
    <t>129C</t>
  </si>
  <si>
    <t>130C</t>
  </si>
  <si>
    <t>133C</t>
  </si>
  <si>
    <t>134C</t>
  </si>
  <si>
    <t>137C</t>
  </si>
  <si>
    <t>141C</t>
  </si>
  <si>
    <t>142C</t>
  </si>
  <si>
    <t>143C</t>
  </si>
  <si>
    <t>150C</t>
  </si>
  <si>
    <t>151C</t>
  </si>
  <si>
    <t>152C</t>
  </si>
  <si>
    <t>153C</t>
  </si>
  <si>
    <t>155C</t>
  </si>
  <si>
    <t>White/Caucasian,Asian</t>
  </si>
  <si>
    <t>156C</t>
  </si>
  <si>
    <t>157C</t>
  </si>
  <si>
    <t>159C</t>
  </si>
  <si>
    <t>160C</t>
  </si>
  <si>
    <t>161C</t>
  </si>
  <si>
    <t>163C</t>
  </si>
  <si>
    <t>165C</t>
  </si>
  <si>
    <t>167C</t>
  </si>
  <si>
    <t>168C</t>
  </si>
  <si>
    <t>170C</t>
  </si>
  <si>
    <t>173C</t>
  </si>
  <si>
    <t>174C</t>
  </si>
  <si>
    <t>175C</t>
  </si>
  <si>
    <t>178C</t>
  </si>
  <si>
    <t>180C</t>
  </si>
  <si>
    <t>182C</t>
  </si>
  <si>
    <t>185C</t>
  </si>
  <si>
    <t>188C</t>
  </si>
  <si>
    <t>Native Hawaiian/Pacific Islander</t>
  </si>
  <si>
    <t>195C</t>
  </si>
  <si>
    <t>197C</t>
  </si>
  <si>
    <t>198C</t>
  </si>
  <si>
    <t>199C</t>
  </si>
  <si>
    <t>200C</t>
  </si>
  <si>
    <t>202C</t>
  </si>
  <si>
    <t>204C</t>
  </si>
  <si>
    <t>207C</t>
  </si>
  <si>
    <t>208C</t>
  </si>
  <si>
    <t>210C</t>
  </si>
  <si>
    <t>A/Singapore/-0019/2016</t>
  </si>
  <si>
    <t>B/Brisbane/60/2008</t>
  </si>
  <si>
    <t>B/Phuket/3073/2013</t>
  </si>
  <si>
    <t>D0-SG/16 IgG</t>
  </si>
  <si>
    <t>D0-BR/08 IgG</t>
  </si>
  <si>
    <t>D0-CO/17 IgG</t>
  </si>
  <si>
    <t>D0-PH/13 IgG</t>
  </si>
  <si>
    <t>ID (2)</t>
  </si>
  <si>
    <t>D0-SG/16 IgA</t>
  </si>
  <si>
    <t>D0-BR/08 IgA</t>
  </si>
  <si>
    <t>D0-CO/17 IgA</t>
  </si>
  <si>
    <t>D0-PH/13 IgA</t>
  </si>
  <si>
    <t>ID (3)</t>
  </si>
  <si>
    <t>D28-SG/16 IgG</t>
  </si>
  <si>
    <t>D28-BR/08 IgG</t>
  </si>
  <si>
    <t>D28-CO/17 IgG</t>
  </si>
  <si>
    <t>D28-PH/13 IgG</t>
  </si>
  <si>
    <t>D28-SG/16 IgA</t>
  </si>
  <si>
    <t>D28-BR/08 IgA</t>
  </si>
  <si>
    <t>D28-CO/17 IgA</t>
  </si>
  <si>
    <t>D28-PH/13 IgA</t>
  </si>
  <si>
    <t>A/Brisbane/2/2018</t>
  </si>
  <si>
    <t>A/Kansas/14/2017</t>
  </si>
  <si>
    <t>D0-BR/18 IgG</t>
  </si>
  <si>
    <t>D28-BR/18 IgG</t>
  </si>
  <si>
    <t>D0-KA/17 IgG</t>
  </si>
  <si>
    <t>D28-KA/17 IgG</t>
  </si>
  <si>
    <t>D0-BR/18 IgA</t>
  </si>
  <si>
    <t>D28-BR/18 IgA</t>
  </si>
  <si>
    <t>D0-KA/17 IgA</t>
  </si>
  <si>
    <t>D28-KA/17 IgA</t>
  </si>
  <si>
    <t xml:space="preserve">Subtype  </t>
  </si>
  <si>
    <t xml:space="preserve">Virus Stock  </t>
  </si>
  <si>
    <t>UGA-ABris18-20200121EP</t>
  </si>
  <si>
    <t>UGA-AKan17-20200121EP</t>
  </si>
  <si>
    <t xml:space="preserve">Date Assayed  </t>
  </si>
  <si>
    <t xml:space="preserve">Virus  </t>
  </si>
  <si>
    <t>UGA4/FLU3 Cohort</t>
  </si>
  <si>
    <t>A/Brisbane/2/2018 (H1N1)</t>
  </si>
  <si>
    <t>A/Kansas/14/2017 (H3N2)</t>
  </si>
  <si>
    <t>B/Colorado/06/2017 (Vic)</t>
  </si>
  <si>
    <t>D0</t>
  </si>
  <si>
    <t>D28</t>
  </si>
  <si>
    <t>Log2 Fold</t>
  </si>
  <si>
    <t>ALL</t>
  </si>
  <si>
    <t>Fold</t>
  </si>
  <si>
    <t>-</t>
  </si>
  <si>
    <t>Average HAI Titers of UGA4 (2019-20) Samples, by age</t>
  </si>
  <si>
    <t xml:space="preserve">Viral rHA:   </t>
  </si>
  <si>
    <t xml:space="preserve">Protein Stock:   </t>
  </si>
  <si>
    <t>% SC</t>
  </si>
  <si>
    <t>% SP - D0</t>
  </si>
  <si>
    <t>% SP - D28</t>
  </si>
  <si>
    <t>BR/18 Fold</t>
  </si>
  <si>
    <t>CO/17 Fold</t>
  </si>
  <si>
    <t xml:space="preserve">  Abbeviations: SD = standard dose; HD = high dose; SP = seroprotective (HAI &gt;= 40); SC = seroconversion (D28 HAI &gt;=40 + &gt;= 4-fold increase)</t>
  </si>
  <si>
    <t>B/Phuket/3073/2013 (Yam)  **Excluded in HD</t>
  </si>
  <si>
    <t>65+ HD**</t>
  </si>
  <si>
    <t>2019-2020 Flu Season Participants at UGA - detailed information collected by the CTRU -- Table 1 = Adults (UGA4), Table 2 = Teens (FLU3)</t>
  </si>
  <si>
    <t xml:space="preserve"> Table 1: UGA4 (2019-20) Adults Detailed Information</t>
  </si>
  <si>
    <t>Study ID</t>
  </si>
  <si>
    <t>Date of D0</t>
  </si>
  <si>
    <t>Contact Next Season?</t>
  </si>
  <si>
    <t>Race/ Ethnicity</t>
  </si>
  <si>
    <t>Smoking History: Current Use</t>
  </si>
  <si>
    <t>Smoking History: Qty per day</t>
  </si>
  <si>
    <t>Smoking History: Ever  Use</t>
  </si>
  <si>
    <t>Smoking History: Past  Use</t>
  </si>
  <si>
    <t>Shift work?</t>
  </si>
  <si>
    <t>Shift work: years</t>
  </si>
  <si>
    <t>Sleep apnea?</t>
  </si>
  <si>
    <t>Sleep apnea: Appropriately treated?</t>
  </si>
  <si>
    <t>Comorbidity 1</t>
  </si>
  <si>
    <t>Comorbidity 2</t>
  </si>
  <si>
    <t>Comorbidity 3</t>
  </si>
  <si>
    <t>Additional Comorbidities</t>
  </si>
  <si>
    <t>Vaccine last season (fall 2018-spring 2019)</t>
  </si>
  <si>
    <t>Vaccine 2 seasons ago (fall 2017-spring 2018)</t>
  </si>
  <si>
    <t>Vaccine 3 seasons ago (fall 2016-spring 2017)</t>
  </si>
  <si>
    <t>Height (cm)</t>
  </si>
  <si>
    <t>Weight (kg)</t>
  </si>
  <si>
    <t>Standard or high-dose vaccine? (S/H)</t>
  </si>
  <si>
    <t>D0 visit complete?</t>
  </si>
  <si>
    <t>D3 visit complete?</t>
  </si>
  <si>
    <t>D7 visit complete?</t>
  </si>
  <si>
    <t>D28 visit complete?</t>
  </si>
  <si>
    <t>D90 visit complete?</t>
  </si>
  <si>
    <t>Notes</t>
  </si>
  <si>
    <t>UGA4-001</t>
  </si>
  <si>
    <t>FM-004</t>
  </si>
  <si>
    <t>N/A</t>
  </si>
  <si>
    <t>S</t>
  </si>
  <si>
    <t>UGA4-005</t>
  </si>
  <si>
    <t>Chronic back pain</t>
  </si>
  <si>
    <t>Migraines</t>
  </si>
  <si>
    <t>UGA4-008</t>
  </si>
  <si>
    <t>UGA4-011</t>
  </si>
  <si>
    <t>UGA4-014</t>
  </si>
  <si>
    <t>UGA4-016</t>
  </si>
  <si>
    <t>Hispanic/Latin(a)</t>
  </si>
  <si>
    <t>UGA4-017</t>
  </si>
  <si>
    <t>NTA</t>
  </si>
  <si>
    <t>UGA4-022</t>
  </si>
  <si>
    <t>less than 1 ppd for 15 yrs</t>
  </si>
  <si>
    <t>UGA4-029</t>
  </si>
  <si>
    <t>UGA4-030</t>
  </si>
  <si>
    <t xml:space="preserve">Hispanic </t>
  </si>
  <si>
    <t>n</t>
  </si>
  <si>
    <t>UGA4-034</t>
  </si>
  <si>
    <t>Smoked 1/2 pack a day x4 years. Quit 7 years ago</t>
  </si>
  <si>
    <t>UGA4-037</t>
  </si>
  <si>
    <t>Social smoker. 1 pack every 3 days. Smoked cigarettes for 1 year</t>
  </si>
  <si>
    <t>UGA4-038</t>
  </si>
  <si>
    <t>Dip use every other day</t>
  </si>
  <si>
    <t>Hypertension</t>
  </si>
  <si>
    <t>UGA4-039</t>
  </si>
  <si>
    <t>UGA4-046</t>
  </si>
  <si>
    <t>Latino</t>
  </si>
  <si>
    <t>Social smoker (sporadic); stopped in 2015</t>
  </si>
  <si>
    <t>UGA4-047</t>
  </si>
  <si>
    <t>White/Caucasian and Asian</t>
  </si>
  <si>
    <t>H</t>
  </si>
  <si>
    <t>UGA4-050</t>
  </si>
  <si>
    <t xml:space="preserve">1 PACK 2-5 years ago </t>
  </si>
  <si>
    <t>UGA4-051</t>
  </si>
  <si>
    <t>UGA4-054</t>
  </si>
  <si>
    <t>UGA4-055</t>
  </si>
  <si>
    <t>Smoked in the Military</t>
  </si>
  <si>
    <t>High cholesterol</t>
  </si>
  <si>
    <t>HTN</t>
  </si>
  <si>
    <t>UGA4-058</t>
  </si>
  <si>
    <t>Briefly at ages 16 and 40 for a year</t>
  </si>
  <si>
    <t>UGA4-062</t>
  </si>
  <si>
    <t>Half a pack a day</t>
  </si>
  <si>
    <t>for 3 years</t>
  </si>
  <si>
    <t>Depression</t>
  </si>
  <si>
    <t>UGA4-064</t>
  </si>
  <si>
    <t>White/Caucasian, Italian American</t>
  </si>
  <si>
    <t>Scar tissue</t>
  </si>
  <si>
    <t>UGA4-065</t>
  </si>
  <si>
    <t>UGA4-066</t>
  </si>
  <si>
    <t>Quit 2005 1 pack a day for 14 years</t>
  </si>
  <si>
    <t>UGA4-069</t>
  </si>
  <si>
    <t>UGA4-070</t>
  </si>
  <si>
    <t>2 bowls tobacco with a pipe a day</t>
  </si>
  <si>
    <t>40 years smoking hx. Cigarettes x 25 years then pipe tobacco</t>
  </si>
  <si>
    <t>UGA4-075</t>
  </si>
  <si>
    <t>UGA4-077</t>
  </si>
  <si>
    <t>Social in college 1971</t>
  </si>
  <si>
    <t>Transient Ischemic Attack</t>
  </si>
  <si>
    <t>UGA4-083</t>
  </si>
  <si>
    <t>UGA4-085</t>
  </si>
  <si>
    <t>Currently taking abx for ear infection, no fever</t>
  </si>
  <si>
    <t>UGA4-086</t>
  </si>
  <si>
    <t>UGA4-089</t>
  </si>
  <si>
    <t>1/2 pack a day</t>
  </si>
  <si>
    <t>Unsure</t>
  </si>
  <si>
    <t>UGA4-099</t>
  </si>
  <si>
    <t>UGA4-100</t>
  </si>
  <si>
    <t>Social in college</t>
  </si>
  <si>
    <t>UGA4-108</t>
  </si>
  <si>
    <t>1/2 a day 30 years ago</t>
  </si>
  <si>
    <t>UGA4-118</t>
  </si>
  <si>
    <t>UGA4-124</t>
  </si>
  <si>
    <t>Quit smoking in 1976. Smoked ~3 packs/day for 10 years</t>
  </si>
  <si>
    <t>Tachycardia</t>
  </si>
  <si>
    <t>UGA4-125</t>
  </si>
  <si>
    <t xml:space="preserve">Diabetes </t>
  </si>
  <si>
    <t>Atrial Fibrilation</t>
  </si>
  <si>
    <t>Coronary Artery Bypass Graft x4 Vessels</t>
  </si>
  <si>
    <t>UGA4-126</t>
  </si>
  <si>
    <t>Hyperthyroidism</t>
  </si>
  <si>
    <t>UGA4-128</t>
  </si>
  <si>
    <t>3-4 Times daily; cigarettes</t>
  </si>
  <si>
    <t>for three years</t>
  </si>
  <si>
    <t>UGA4-129</t>
  </si>
  <si>
    <t>Anxiety</t>
  </si>
  <si>
    <t>UGA4-134</t>
  </si>
  <si>
    <t>White/Caucasian, Black/African American, Hispanic/Latino</t>
  </si>
  <si>
    <t>Y (mild)</t>
  </si>
  <si>
    <t>UGA4-135</t>
  </si>
  <si>
    <t>UGA4-136</t>
  </si>
  <si>
    <t>Hispanic/latino</t>
  </si>
  <si>
    <t>UGA4-139</t>
  </si>
  <si>
    <t>5-6 cigs for 12 yrs</t>
  </si>
  <si>
    <t>Acid reflux</t>
  </si>
  <si>
    <t>goiter</t>
  </si>
  <si>
    <t xml:space="preserve">Y </t>
  </si>
  <si>
    <t>UGA4-140</t>
  </si>
  <si>
    <t>UGA4-141</t>
  </si>
  <si>
    <t>Diabetes Mellitus Type 2</t>
  </si>
  <si>
    <t>Arthritis</t>
  </si>
  <si>
    <t>UGA4-143</t>
  </si>
  <si>
    <t>UGA4-146</t>
  </si>
  <si>
    <t>Smoked 1 pack/day x 20yrs. Stopped 8 yrs ago.</t>
  </si>
  <si>
    <t>UGA4-147</t>
  </si>
  <si>
    <t>UGA4-148</t>
  </si>
  <si>
    <t>Controlled Diabetes Mellitus 2</t>
  </si>
  <si>
    <t>Gout</t>
  </si>
  <si>
    <t>Hyperlipidemia, Atrial Fibrilation</t>
  </si>
  <si>
    <t>UGA4-149</t>
  </si>
  <si>
    <t>UGA4-151</t>
  </si>
  <si>
    <t>UGA4-155</t>
  </si>
  <si>
    <t>Heart Block</t>
  </si>
  <si>
    <t>UGA4-157</t>
  </si>
  <si>
    <t>Enlarged Prostate</t>
  </si>
  <si>
    <t>UGA4-161</t>
  </si>
  <si>
    <t>UGA4-162</t>
  </si>
  <si>
    <t>College social smoker</t>
  </si>
  <si>
    <t>UGA4-166</t>
  </si>
  <si>
    <t>UGA4-169</t>
  </si>
  <si>
    <t>Hypothyroid</t>
  </si>
  <si>
    <t>UGA4-170</t>
  </si>
  <si>
    <t>Social smoker at parties, quit at age 29.</t>
  </si>
  <si>
    <t>UGA4-171</t>
  </si>
  <si>
    <t>UGA4-175</t>
  </si>
  <si>
    <t>smoker for 4 years, exposed to second hand smoke all his life</t>
  </si>
  <si>
    <t>Acid Reflux</t>
  </si>
  <si>
    <t>UGA4-177</t>
  </si>
  <si>
    <t>Hypertension (Mild)</t>
  </si>
  <si>
    <t>Benign Prostatic Hyperplasia</t>
  </si>
  <si>
    <t>UGA4-179</t>
  </si>
  <si>
    <t>Smoked off and on from 1977 and quit 1990</t>
  </si>
  <si>
    <t>OSA</t>
  </si>
  <si>
    <t>Selenoderma(approved)</t>
  </si>
  <si>
    <t>Smoker for 20 years. Stopped approx 9 years ago</t>
  </si>
  <si>
    <t>UGA4-184</t>
  </si>
  <si>
    <t>1 month in college</t>
  </si>
  <si>
    <t>UGA4-185</t>
  </si>
  <si>
    <t>1 cigarrette in her 20's</t>
  </si>
  <si>
    <t>UGA4-188</t>
  </si>
  <si>
    <t>Social smoker at age 15 for 2 years. Exposed to second hand smoke until 29 years old.</t>
  </si>
  <si>
    <t>UGA4-190</t>
  </si>
  <si>
    <t>Quit 32 years ago. Two packs/day smoxing hx</t>
  </si>
  <si>
    <t xml:space="preserve">DM II </t>
  </si>
  <si>
    <t>Hyperthyroid</t>
  </si>
  <si>
    <t>UGA4-194</t>
  </si>
  <si>
    <t>UGA4-196</t>
  </si>
  <si>
    <t>White/Caucasian, Hispanic/Latino</t>
  </si>
  <si>
    <t>Smoked small amount for 4 years</t>
  </si>
  <si>
    <t>Aorta dilation in abdomen</t>
  </si>
  <si>
    <t>UGA4-203</t>
  </si>
  <si>
    <t>Obstructive Sleep Apnea</t>
  </si>
  <si>
    <t xml:space="preserve">Diabetes Mellitus 2 </t>
  </si>
  <si>
    <t>High Cholesterol, Glaucoma</t>
  </si>
  <si>
    <t>UGA4-207</t>
  </si>
  <si>
    <t>UGA4-208</t>
  </si>
  <si>
    <t>UGA4-209</t>
  </si>
  <si>
    <t>50 years ago smoked daily for 10 years</t>
  </si>
  <si>
    <t>Hypothyroidism</t>
  </si>
  <si>
    <t>Central Temers</t>
  </si>
  <si>
    <t>UGA4-211</t>
  </si>
  <si>
    <t>UGA4-213</t>
  </si>
  <si>
    <t>10 cigarettes a day for 10 years. Stopped in 2015</t>
  </si>
  <si>
    <t>UGA4-214</t>
  </si>
  <si>
    <t>Social smoker for 3-4 years quit in 2005</t>
  </si>
  <si>
    <t>UGA4-217</t>
  </si>
  <si>
    <t>UGA4-219</t>
  </si>
  <si>
    <t>1-1.5 ppd for 15 yrs</t>
  </si>
  <si>
    <t>Sometimes</t>
  </si>
  <si>
    <t>2 weeks per year for 10 years</t>
  </si>
  <si>
    <t>Y, CPAP</t>
  </si>
  <si>
    <t>UGA4-220</t>
  </si>
  <si>
    <t>Quit 17 years ago, 1/4 pack per day for 6 years.</t>
  </si>
  <si>
    <t>UGA4-221</t>
  </si>
  <si>
    <t>Social smoker; 6-7 years ago</t>
  </si>
  <si>
    <t>UGA4-222</t>
  </si>
  <si>
    <t>cigarettes smoked for two years, quit five years ago</t>
  </si>
  <si>
    <t>UGA4-224</t>
  </si>
  <si>
    <t>UGA4-225</t>
  </si>
  <si>
    <t>UGA4-227</t>
  </si>
  <si>
    <t>4 E-cigarettes</t>
  </si>
  <si>
    <t>22 years</t>
  </si>
  <si>
    <t>UGA4-232</t>
  </si>
  <si>
    <t>PCOS</t>
  </si>
  <si>
    <t>Allergies</t>
  </si>
  <si>
    <t>UGA4-236</t>
  </si>
  <si>
    <t xml:space="preserve">2 cigs daily </t>
  </si>
  <si>
    <t xml:space="preserve">Past 34 years </t>
  </si>
  <si>
    <t>UGA4-238</t>
  </si>
  <si>
    <t>UGA4-243</t>
  </si>
  <si>
    <t>UGA4-244</t>
  </si>
  <si>
    <t>UGA4-246</t>
  </si>
  <si>
    <t>UGA4-248</t>
  </si>
  <si>
    <t>UGA4-249</t>
  </si>
  <si>
    <t xml:space="preserve">Social smoker </t>
  </si>
  <si>
    <t>UGA4-251</t>
  </si>
  <si>
    <t>UGA4-252</t>
  </si>
  <si>
    <t>Hispanic/Latin(a); Asian</t>
  </si>
  <si>
    <t>UGA4-253</t>
  </si>
  <si>
    <t xml:space="preserve">5 cigs a day </t>
  </si>
  <si>
    <t>UGA4-262</t>
  </si>
  <si>
    <t>FM1-008</t>
  </si>
  <si>
    <t>UGA4-263</t>
  </si>
  <si>
    <t>UGA4-264</t>
  </si>
  <si>
    <t>UGA4-265</t>
  </si>
  <si>
    <t>Missed D28 visit- no interest in coming back</t>
  </si>
  <si>
    <t>UGA4-267</t>
  </si>
  <si>
    <t>FM1-058</t>
  </si>
  <si>
    <t>UGA4-268</t>
  </si>
  <si>
    <t>UGA4-269</t>
  </si>
  <si>
    <t>y</t>
  </si>
  <si>
    <t>Social smoker 1 ppw for 5 to 6 yrs. Has not smoked in 50 years</t>
  </si>
  <si>
    <t>UGA4-270</t>
  </si>
  <si>
    <t>Spondylitis</t>
  </si>
  <si>
    <t>UGA4-271</t>
  </si>
  <si>
    <t>Smoked one cigar/month for 2 years. Hasn't smoked in 20+ years</t>
  </si>
  <si>
    <t>UGA4-272</t>
  </si>
  <si>
    <t>Very rare social</t>
  </si>
  <si>
    <t xml:space="preserve">30 year smoker, stopped 8 years ago now social smoker </t>
  </si>
  <si>
    <t>UGA4-273</t>
  </si>
  <si>
    <t>Hyperlipidemia</t>
  </si>
  <si>
    <t>UGA4-274</t>
  </si>
  <si>
    <t>A few cigarettes a day from 18yo-40yo. Stopped 30 yrs. Ago.</t>
  </si>
  <si>
    <t>UGA4-275</t>
  </si>
  <si>
    <t>UGA4-276</t>
  </si>
  <si>
    <t>Y, CPAP at night</t>
  </si>
  <si>
    <t>UGA4-277</t>
  </si>
  <si>
    <t>3-4 cigarettes daily</t>
  </si>
  <si>
    <t>7-8 years</t>
  </si>
  <si>
    <t>UGA4-278</t>
  </si>
  <si>
    <t>UGA4-279</t>
  </si>
  <si>
    <t xml:space="preserve">Social smoker, more than 10 yrs ago. </t>
  </si>
  <si>
    <t>UGA4-280</t>
  </si>
  <si>
    <t>UGA4-281</t>
  </si>
  <si>
    <t>FM1-052</t>
  </si>
  <si>
    <t>UGA4-282</t>
  </si>
  <si>
    <t>FM1-011</t>
  </si>
  <si>
    <t>UGA4-283</t>
  </si>
  <si>
    <t>UGA4-284</t>
  </si>
  <si>
    <t>Smoked 1 pack/day from 1965-1976</t>
  </si>
  <si>
    <t>Mitral valve repair 2015</t>
  </si>
  <si>
    <t>UGA4-285</t>
  </si>
  <si>
    <t>Smoker as a teen, 15 years of smoking. Stopped at age 28</t>
  </si>
  <si>
    <t>Hx of ruptured AUM in 1992</t>
  </si>
  <si>
    <t>Gastro Reflux, Seasonal allergies</t>
  </si>
  <si>
    <t>UGA4-286</t>
  </si>
  <si>
    <t>1 pack a week for 2 yrs. Stopped smoking 30 yrs. Ago</t>
  </si>
  <si>
    <t>UGA4-287</t>
  </si>
  <si>
    <t>Glasopharangeal Neuralgia</t>
  </si>
  <si>
    <t>UGA4-288</t>
  </si>
  <si>
    <t>social smoker "when I can afford it"</t>
  </si>
  <si>
    <t>Y, takes trazadore at night</t>
  </si>
  <si>
    <t>UGA4-289</t>
  </si>
  <si>
    <t>Chronic low white blood cell count</t>
  </si>
  <si>
    <t>UGA4-290</t>
  </si>
  <si>
    <t>Quit 2 years ago. 1 pack/day for 7 years</t>
  </si>
  <si>
    <t>ADD</t>
  </si>
  <si>
    <t xml:space="preserve">Not marked </t>
  </si>
  <si>
    <t>UGA4-291</t>
  </si>
  <si>
    <t>1960 started, approximately 25 years. No longer smokes</t>
  </si>
  <si>
    <t>UGA4-292</t>
  </si>
  <si>
    <t>50 years ago he smoked for 2-3 years</t>
  </si>
  <si>
    <t>Stage 3 kidney disease - no treatment</t>
  </si>
  <si>
    <t>Hx of prostate cancer 4 years</t>
  </si>
  <si>
    <t>UGA4-293</t>
  </si>
  <si>
    <t>GERD, Chronic Constipation</t>
  </si>
  <si>
    <t>UGA4-294</t>
  </si>
  <si>
    <t>UGA4-295</t>
  </si>
  <si>
    <t>Osteoporosis</t>
  </si>
  <si>
    <t>UGA4-296</t>
  </si>
  <si>
    <t>Y, "mild"</t>
  </si>
  <si>
    <t>UGA4-297</t>
  </si>
  <si>
    <t>Smoker for 30 years</t>
  </si>
  <si>
    <t>UGA4-298</t>
  </si>
  <si>
    <t>UGA4-299</t>
  </si>
  <si>
    <t>High Cholesterol</t>
  </si>
  <si>
    <t>Smoked from 12-35yo, not consistent. Stopped during pregnancies</t>
  </si>
  <si>
    <t>UGA4-301</t>
  </si>
  <si>
    <t>1 year social smoker, once a month</t>
  </si>
  <si>
    <t>Did not show up for D28</t>
  </si>
  <si>
    <t>UGA4-302</t>
  </si>
  <si>
    <t>UGA4-303</t>
  </si>
  <si>
    <t>UGA4-304</t>
  </si>
  <si>
    <t>UGA4-305</t>
  </si>
  <si>
    <t>10 year smoker</t>
  </si>
  <si>
    <t>Kidney Stones</t>
  </si>
  <si>
    <t>UGA4-306</t>
  </si>
  <si>
    <t>UGA4-307</t>
  </si>
  <si>
    <t>10 cigarettes a day for 35 years. Stopped smoking in 1989</t>
  </si>
  <si>
    <t>Stool in urine sample on D0</t>
  </si>
  <si>
    <t>UGA4-308</t>
  </si>
  <si>
    <t>20 year smoker</t>
  </si>
  <si>
    <t>CABG</t>
  </si>
  <si>
    <t>UGA4-309</t>
  </si>
  <si>
    <t>"Social smoker" stopped in 1993</t>
  </si>
  <si>
    <t>Bronchiectasis</t>
  </si>
  <si>
    <t>UGA4-310</t>
  </si>
  <si>
    <t>Smoker for approx 12 years stopped at age 47</t>
  </si>
  <si>
    <t>UGA4-311</t>
  </si>
  <si>
    <t>A couple of cigarettes a day for a few years in college. Stopped in 1995</t>
  </si>
  <si>
    <t>UGA4-312</t>
  </si>
  <si>
    <t>Hx breast cancer, anatrazole medication daily</t>
  </si>
  <si>
    <t>UGA4-313</t>
  </si>
  <si>
    <t>A Fib</t>
  </si>
  <si>
    <t>GERD</t>
  </si>
  <si>
    <t>UGA4-314</t>
  </si>
  <si>
    <t>UGA4-316</t>
  </si>
  <si>
    <t>5 cigars 20 years ago</t>
  </si>
  <si>
    <t>UGA4-318</t>
  </si>
  <si>
    <t>UGA4-319</t>
  </si>
  <si>
    <t>1/2 ppd for 17 years</t>
  </si>
  <si>
    <t>UGA4-320</t>
  </si>
  <si>
    <t>Smoker for 5 yers last time was 43 years ago</t>
  </si>
  <si>
    <t>UGA4-321</t>
  </si>
  <si>
    <t>Tried as a teen</t>
  </si>
  <si>
    <t>UGA4-322</t>
  </si>
  <si>
    <t>1 pack a day for 26 years</t>
  </si>
  <si>
    <t xml:space="preserve">1 pack a day for 26 years </t>
  </si>
  <si>
    <t>Osteogenesis</t>
  </si>
  <si>
    <t>UGA4-323</t>
  </si>
  <si>
    <t>UGA4-324</t>
  </si>
  <si>
    <t>1 ppd for about 30 yrs</t>
  </si>
  <si>
    <t>Heart Disease</t>
  </si>
  <si>
    <t>Chronic kidney disease</t>
  </si>
  <si>
    <t>UGA4-325</t>
  </si>
  <si>
    <t>UGA4-326</t>
  </si>
  <si>
    <t>UGA4-327</t>
  </si>
  <si>
    <t>1-2 Cigarettes a day for about 2 years</t>
  </si>
  <si>
    <t>See note</t>
  </si>
  <si>
    <t>White/Caucasian/Hispanic/Latina</t>
  </si>
  <si>
    <t>Smoked half a pack day for 4 years stopped at age 22</t>
  </si>
  <si>
    <t>UGA4-331</t>
  </si>
  <si>
    <t>UGA4-332</t>
  </si>
  <si>
    <t>less than 1 ppd for 10 yrs. Stopped 30 yrs ago</t>
  </si>
  <si>
    <t>UGA4-333</t>
  </si>
  <si>
    <t>Sleep Apnea</t>
  </si>
  <si>
    <t>UGA4-334</t>
  </si>
  <si>
    <t>ED</t>
  </si>
  <si>
    <t>UGA4-335</t>
  </si>
  <si>
    <t>anxiety</t>
  </si>
  <si>
    <t>Hx stroke, muscular degeneration</t>
  </si>
  <si>
    <t>UGA4-336</t>
  </si>
  <si>
    <t>1 pack a day, stopped 25 years ago</t>
  </si>
  <si>
    <t>Migraine like headaches</t>
  </si>
  <si>
    <t>Chronic neck and back pain, Brain aneurism in 1996 (approved by Dr. Ross)</t>
  </si>
  <si>
    <t>UGA4-338</t>
  </si>
  <si>
    <t>White/Caucasian/Latina</t>
  </si>
  <si>
    <t>Social smoker stopped in 1995/1996</t>
  </si>
  <si>
    <t>Hx of stroke</t>
  </si>
  <si>
    <t>UGA4-339</t>
  </si>
  <si>
    <t>started smoking at 16yo, up to a half a pack daily. Stopped at age 35</t>
  </si>
  <si>
    <t>BPH</t>
  </si>
  <si>
    <t>Asthma</t>
  </si>
  <si>
    <t>UGA4-341</t>
  </si>
  <si>
    <t>1 ppd for 20 years. Stopped smoking in 1998</t>
  </si>
  <si>
    <t>UGA4-342</t>
  </si>
  <si>
    <t>1 ppd 8 yars quit in 1970</t>
  </si>
  <si>
    <t>Menieres disease</t>
  </si>
  <si>
    <t>huperlidemia</t>
  </si>
  <si>
    <t>UGA4-343</t>
  </si>
  <si>
    <t>Smoked 1/2 pack/day from high school until 2011</t>
  </si>
  <si>
    <t>UGA4-344</t>
  </si>
  <si>
    <t>Quit 50 years ago. 1 cig per day for 1-2 years</t>
  </si>
  <si>
    <t>UGA4-345</t>
  </si>
  <si>
    <t>1 cigarette/week for 1 year social smoker</t>
  </si>
  <si>
    <t>Y, C-PAP</t>
  </si>
  <si>
    <t>UGA4-346</t>
  </si>
  <si>
    <t>UGA4-347</t>
  </si>
  <si>
    <t>1 cigarrete or less a yar, social smoker</t>
  </si>
  <si>
    <t>UGA4-348</t>
  </si>
  <si>
    <t>Smoked age 20-23, 10 cigarettes daily</t>
  </si>
  <si>
    <t>UGA4-349</t>
  </si>
  <si>
    <t>UGA4-350</t>
  </si>
  <si>
    <t>Social smoker quit about 4 years ago</t>
  </si>
  <si>
    <t>Could not do D90 visit due to being out of the country for the entire D90 range</t>
  </si>
  <si>
    <t>UGA4-352</t>
  </si>
  <si>
    <t>Stopped 20 years ago, 1 ppd</t>
  </si>
  <si>
    <t>UGA4-353</t>
  </si>
  <si>
    <t>UGA4-354</t>
  </si>
  <si>
    <t>Smoked an average of 13-14 cigarettes daily from age 18-62. Quit Jan. 2019</t>
  </si>
  <si>
    <t>2 years smoking, stopped July 2000, less than 2 packs a week</t>
  </si>
  <si>
    <t>UGA4-356</t>
  </si>
  <si>
    <t>UGA4-357</t>
  </si>
  <si>
    <t>UGA4-358</t>
  </si>
  <si>
    <t>Mild sleep apnea</t>
  </si>
  <si>
    <t xml:space="preserve">Osteoarthritis </t>
  </si>
  <si>
    <t>Bi-hip Replacement</t>
  </si>
  <si>
    <t>UGA4-359</t>
  </si>
  <si>
    <t>Less than a ppd 4-5 years</t>
  </si>
  <si>
    <t>UGA4-361</t>
  </si>
  <si>
    <t>Type I Diabetes</t>
  </si>
  <si>
    <t>N, disqualified post consent for Type I Diabetes</t>
  </si>
  <si>
    <t>UGA4-362</t>
  </si>
  <si>
    <t>Prostate cancer-observed</t>
  </si>
  <si>
    <t>Enlarged bladder</t>
  </si>
  <si>
    <t>UGA4-363</t>
  </si>
  <si>
    <t>CKD stage 3</t>
  </si>
  <si>
    <t>UGA4-364</t>
  </si>
  <si>
    <t>psuedotumor cerebn</t>
  </si>
  <si>
    <t>UGA4-366</t>
  </si>
  <si>
    <t>UGA4-367</t>
  </si>
  <si>
    <t>UGA4-368</t>
  </si>
  <si>
    <t>Smoked for 30+ years. Stopped approximately 10-15 years</t>
  </si>
  <si>
    <t>Hx of lung cancer - treated with surgery</t>
  </si>
  <si>
    <t>UGA4-369</t>
  </si>
  <si>
    <t>Not currently</t>
  </si>
  <si>
    <t>Pt retired 8/19, participated in shift work for 43 yrs.</t>
  </si>
  <si>
    <t>Chewed on and off for 12 years quit 20+ years ago</t>
  </si>
  <si>
    <t>1 ppd for 20 years. Quit 20 years ago</t>
  </si>
  <si>
    <t>UGA4-373</t>
  </si>
  <si>
    <t>Pituitary Tumor non-cancerous</t>
  </si>
  <si>
    <t>UGA4-374</t>
  </si>
  <si>
    <t>Thyroidectomy</t>
  </si>
  <si>
    <t>UGA4-375</t>
  </si>
  <si>
    <t>UGA4-376</t>
  </si>
  <si>
    <t>Heart Murmur</t>
  </si>
  <si>
    <t>UGA4-378</t>
  </si>
  <si>
    <t>UGA4-379</t>
  </si>
  <si>
    <t>UGA4-380</t>
  </si>
  <si>
    <t>UGA4-381</t>
  </si>
  <si>
    <t>2 1/2 packs for approximately 16 years. Stopped at 31 years of age</t>
  </si>
  <si>
    <t>UGA4-382</t>
  </si>
  <si>
    <t>UGA4-383</t>
  </si>
  <si>
    <t>UGA4-384</t>
  </si>
  <si>
    <t>Social in collge</t>
  </si>
  <si>
    <t>Y (not currently)</t>
  </si>
  <si>
    <t>UGA4-385</t>
  </si>
  <si>
    <t>UGA4-386</t>
  </si>
  <si>
    <t>1/2 ppd for 10 years stopped smoking 10 years ago</t>
  </si>
  <si>
    <t>UGA4-389</t>
  </si>
  <si>
    <t>UGA4-390</t>
  </si>
  <si>
    <t>UGA4-391</t>
  </si>
  <si>
    <t>Breast cancer - Tamoxifen, cancer free currently</t>
  </si>
  <si>
    <t>Chewed tobacco for a few years. Stopped in 1993.</t>
  </si>
  <si>
    <t>1 ppd x 10 yrs.</t>
  </si>
  <si>
    <t>6 months</t>
  </si>
  <si>
    <t>Stopped 16 years ago, less than 1/2 pack a day for 10 years</t>
  </si>
  <si>
    <t>UGA4-398</t>
  </si>
  <si>
    <t>Breast Ox (2004)</t>
  </si>
  <si>
    <t>Participant withdrew from study after D0- didn't like blood draws</t>
  </si>
  <si>
    <t>UGA4-399</t>
  </si>
  <si>
    <t>UGA4-400</t>
  </si>
  <si>
    <t>UGA4-401</t>
  </si>
  <si>
    <t xml:space="preserve">Smoked 1 pack a day for 20 years. Stopped in 2014. </t>
  </si>
  <si>
    <t>Missed D7 appointment due to illness</t>
  </si>
  <si>
    <t>UGA4-402</t>
  </si>
  <si>
    <t>UGA4-403</t>
  </si>
  <si>
    <t>UGA4-405</t>
  </si>
  <si>
    <t>Smoked up to 1/2 pack each day for 20 years (off and on, stopped 10 years ago)</t>
  </si>
  <si>
    <t>UGA4-406</t>
  </si>
  <si>
    <t>UGA4-407</t>
  </si>
  <si>
    <t>UGA4-408</t>
  </si>
  <si>
    <t>UGA4-409</t>
  </si>
  <si>
    <t>UGA4-410</t>
  </si>
  <si>
    <t>UGA4-411</t>
  </si>
  <si>
    <t>Allergies (seasonal/dogs)</t>
  </si>
  <si>
    <t>UGA4-412</t>
  </si>
  <si>
    <t>UGA4-413</t>
  </si>
  <si>
    <t>Smokes 1 1/2 pack/day for 12 years. Quit 1/1/2018.</t>
  </si>
  <si>
    <t>UGA4-414</t>
  </si>
  <si>
    <t>UGA4-415</t>
  </si>
  <si>
    <t>UGA4-416</t>
  </si>
  <si>
    <t>UGA4-417</t>
  </si>
  <si>
    <t>Quit 3 years ago. Dip/chewing tobacco 4-2 packs weekly for 20 years. Cigars occasional use.</t>
  </si>
  <si>
    <t>UGA4-418</t>
  </si>
  <si>
    <t>cigaretts and e-cigarettes daily 2 years ago</t>
  </si>
  <si>
    <t>UGA4-419</t>
  </si>
  <si>
    <t>UGA4-420</t>
  </si>
  <si>
    <t>FM1-027</t>
  </si>
  <si>
    <t>Thryoid removal</t>
  </si>
  <si>
    <t>UGA4-421</t>
  </si>
  <si>
    <t>FM1-083</t>
  </si>
  <si>
    <t>Less than 1/2 ppd over the period of 10 years</t>
  </si>
  <si>
    <t xml:space="preserve">Less than 1/2 a pack in lifetime. Social smoker for less than 1 year. </t>
  </si>
  <si>
    <t>UGA4-424</t>
  </si>
  <si>
    <t>1/2 PPD, 15 Yr. history</t>
  </si>
  <si>
    <t>Y; C-PAP</t>
  </si>
  <si>
    <t>UGA4-425</t>
  </si>
  <si>
    <t>Hep C (CURED)</t>
  </si>
  <si>
    <t>UGA4-426</t>
  </si>
  <si>
    <t>UGA4-427</t>
  </si>
  <si>
    <t>2 cigarettes daily since age 17</t>
  </si>
  <si>
    <t>avascular necrosis of hip</t>
  </si>
  <si>
    <t>UGA4-428</t>
  </si>
  <si>
    <t>20 year smoking history</t>
  </si>
  <si>
    <t>UGA4-429</t>
  </si>
  <si>
    <t>UGA4-430</t>
  </si>
  <si>
    <t>about five cigarettes a day for a year</t>
  </si>
  <si>
    <t>UGA4-431</t>
  </si>
  <si>
    <t>UGA4-432</t>
  </si>
  <si>
    <t>UGA4-433</t>
  </si>
  <si>
    <t>Smoked for approximately 2 years in college</t>
  </si>
  <si>
    <t>Palpitations, BPH, Osteoporosis</t>
  </si>
  <si>
    <t>UGA4-434</t>
  </si>
  <si>
    <t>UGA4-435</t>
  </si>
  <si>
    <t xml:space="preserve">Less than 1/2 ppd. Smoked for 10 years, quit at 30 yrs old. </t>
  </si>
  <si>
    <t>Could not get blood at D0- participant removed from study</t>
  </si>
  <si>
    <t>UGA4-436</t>
  </si>
  <si>
    <t>UGA4-437</t>
  </si>
  <si>
    <t>A fib- controlled</t>
  </si>
  <si>
    <t>UGA4-438</t>
  </si>
  <si>
    <t>Seizure disorder- unknown etiology</t>
  </si>
  <si>
    <t>UGA4-439</t>
  </si>
  <si>
    <t>UGA4-440</t>
  </si>
  <si>
    <t>UGA4-441</t>
  </si>
  <si>
    <t>UGA4-442</t>
  </si>
  <si>
    <t>UGA4-443</t>
  </si>
  <si>
    <t>UGA4-444</t>
  </si>
  <si>
    <t>smoked cigarettes in college for 1 year</t>
  </si>
  <si>
    <t>UGA4-445</t>
  </si>
  <si>
    <t>UGA4-446</t>
  </si>
  <si>
    <t>UGA4-447</t>
  </si>
  <si>
    <t>SOCIAL</t>
  </si>
  <si>
    <t>UGA4-448</t>
  </si>
  <si>
    <t xml:space="preserve">Smoked cigaretes uring teen years </t>
  </si>
  <si>
    <t>UGA4-449</t>
  </si>
  <si>
    <t>UGA4-450</t>
  </si>
  <si>
    <t>UGA4-451</t>
  </si>
  <si>
    <t>UGA4-452</t>
  </si>
  <si>
    <t>Heart burn</t>
  </si>
  <si>
    <t>UGA4-453</t>
  </si>
  <si>
    <t>Cigarettes</t>
  </si>
  <si>
    <t>Cigarettes daily since age 15</t>
  </si>
  <si>
    <t>Less than a year</t>
  </si>
  <si>
    <t>Bipolar</t>
  </si>
  <si>
    <t>UGA4-454</t>
  </si>
  <si>
    <t>UGA4-455</t>
  </si>
  <si>
    <t>Lower back pain</t>
  </si>
  <si>
    <t>UGA4-457</t>
  </si>
  <si>
    <t>AGE 16-22</t>
  </si>
  <si>
    <t>UGA4-458</t>
  </si>
  <si>
    <t>UGA4-459</t>
  </si>
  <si>
    <t>UGA4-460</t>
  </si>
  <si>
    <t>PTSD</t>
  </si>
  <si>
    <t>UGA4-461</t>
  </si>
  <si>
    <t>2X/YEAR</t>
  </si>
  <si>
    <t>UGA4-462</t>
  </si>
  <si>
    <t>UGA4-463</t>
  </si>
  <si>
    <t>UGA4-464</t>
  </si>
  <si>
    <t>UGA4-465</t>
  </si>
  <si>
    <t>"Snuff"x40 year. Stopped, approx. 10 years ago.</t>
  </si>
  <si>
    <t>DM 2</t>
  </si>
  <si>
    <t>Participant did not complete a D28</t>
  </si>
  <si>
    <t>UGA4-466</t>
  </si>
  <si>
    <t>UGA4-467</t>
  </si>
  <si>
    <t>UGA4-468</t>
  </si>
  <si>
    <t>UGA4-469</t>
  </si>
  <si>
    <t>UGA4-470</t>
  </si>
  <si>
    <t>UGA4-471</t>
  </si>
  <si>
    <t xml:space="preserve">1/2 pack per day quit last year </t>
  </si>
  <si>
    <t>UGA4-472</t>
  </si>
  <si>
    <t>UGA4-473</t>
  </si>
  <si>
    <t>CIGARETTES</t>
  </si>
  <si>
    <t>UGA4-474</t>
  </si>
  <si>
    <t>UGA4-475</t>
  </si>
  <si>
    <t>UGA4-476</t>
  </si>
  <si>
    <t>10-15 Years of cigarretes</t>
  </si>
  <si>
    <t>UGA4-477</t>
  </si>
  <si>
    <t>SINCE 21</t>
  </si>
  <si>
    <t>UGA4-478</t>
  </si>
  <si>
    <t xml:space="preserve">Cigars socially </t>
  </si>
  <si>
    <t>UGA4-479</t>
  </si>
  <si>
    <t>Social smoker 15 yrs ago</t>
  </si>
  <si>
    <t>UGA4-480</t>
  </si>
  <si>
    <t xml:space="preserve">Cigarettes socially </t>
  </si>
  <si>
    <t>UGA4-481</t>
  </si>
  <si>
    <t>UGA4-482</t>
  </si>
  <si>
    <t>UGA4-483</t>
  </si>
  <si>
    <t xml:space="preserve">E-ciggs  stopped 3 months ago </t>
  </si>
  <si>
    <t>UGA4-484</t>
  </si>
  <si>
    <t xml:space="preserve">1 Pack a day 40 years ago </t>
  </si>
  <si>
    <t>UGA4-485</t>
  </si>
  <si>
    <t>UGA4-486</t>
  </si>
  <si>
    <t>UGA4-487</t>
  </si>
  <si>
    <t>UGA4-488</t>
  </si>
  <si>
    <t>UGA4-489</t>
  </si>
  <si>
    <t>UGA4-490</t>
  </si>
  <si>
    <t xml:space="preserve">1/2 PACK FOR A YEAR </t>
  </si>
  <si>
    <t>UGA4-491</t>
  </si>
  <si>
    <t>UGA4-492</t>
  </si>
  <si>
    <t>UGA4-493</t>
  </si>
  <si>
    <t>UGA4-494</t>
  </si>
  <si>
    <t xml:space="preserve">1 Pack per week </t>
  </si>
  <si>
    <t>UGA4-495</t>
  </si>
  <si>
    <t>UGA4-496</t>
  </si>
  <si>
    <t xml:space="preserve">N </t>
  </si>
  <si>
    <t xml:space="preserve">Chronic pain </t>
  </si>
  <si>
    <t xml:space="preserve">DMT Type 2 </t>
  </si>
  <si>
    <t>UGA4-497</t>
  </si>
  <si>
    <t xml:space="preserve">3-4 Cigs  day </t>
  </si>
  <si>
    <t>UGA4-498</t>
  </si>
  <si>
    <t>UGA4-499</t>
  </si>
  <si>
    <t xml:space="preserve">1/2 PACK  </t>
  </si>
  <si>
    <t>UGA4-500</t>
  </si>
  <si>
    <t>Cigarettes and chewed dipped</t>
  </si>
  <si>
    <t>UGA4-501</t>
  </si>
  <si>
    <t>DMT2</t>
  </si>
  <si>
    <t>COPD</t>
  </si>
  <si>
    <t>UGA4-502</t>
  </si>
  <si>
    <t>UGA4-503</t>
  </si>
  <si>
    <t xml:space="preserve">1 Pack per day </t>
  </si>
  <si>
    <t>UGA4-504</t>
  </si>
  <si>
    <t>UGA4-505</t>
  </si>
  <si>
    <t>1 pack daily</t>
  </si>
  <si>
    <t xml:space="preserve"> Y</t>
  </si>
  <si>
    <t xml:space="preserve">20 year smoker </t>
  </si>
  <si>
    <t>UGA4-506</t>
  </si>
  <si>
    <t xml:space="preserve">1 PPD 19 YEARS </t>
  </si>
  <si>
    <t xml:space="preserve">19 YEAR OLD </t>
  </si>
  <si>
    <t>UGA4-507</t>
  </si>
  <si>
    <t>UGA4-508</t>
  </si>
  <si>
    <t>DIP 5+ YEARS</t>
  </si>
  <si>
    <t>UGA4-509</t>
  </si>
  <si>
    <t>UGA4-510</t>
  </si>
  <si>
    <t xml:space="preserve">Vape daily </t>
  </si>
  <si>
    <t xml:space="preserve">VAPE DAILY </t>
  </si>
  <si>
    <t>UGA4-511</t>
  </si>
  <si>
    <t>UGA4-512</t>
  </si>
  <si>
    <t>UGA4-513</t>
  </si>
  <si>
    <t>UGA4-514</t>
  </si>
  <si>
    <t xml:space="preserve">daily smoker </t>
  </si>
  <si>
    <t>UGA4-515</t>
  </si>
  <si>
    <t>UGA4-516</t>
  </si>
  <si>
    <t>UGA4-517</t>
  </si>
  <si>
    <t xml:space="preserve">40 year smoking </t>
  </si>
  <si>
    <t>UGA4-518</t>
  </si>
  <si>
    <t>1 Pack a day 20 years ago</t>
  </si>
  <si>
    <t>UGA4-519</t>
  </si>
  <si>
    <t>UGA4-520</t>
  </si>
  <si>
    <t xml:space="preserve">Less than 1 per day </t>
  </si>
  <si>
    <t xml:space="preserve">Blood draw uncucessful </t>
  </si>
  <si>
    <t>UGA4-521</t>
  </si>
  <si>
    <t xml:space="preserve">for the past year </t>
  </si>
  <si>
    <t>UGA4-522</t>
  </si>
  <si>
    <t>1/4 Pack for  4 months</t>
  </si>
  <si>
    <t>UGA4-523</t>
  </si>
  <si>
    <t xml:space="preserve"> N</t>
  </si>
  <si>
    <t>Tobacco</t>
  </si>
  <si>
    <t>A coupe of months</t>
  </si>
  <si>
    <t>UGA4-524</t>
  </si>
  <si>
    <t xml:space="preserve">1-2 Cigs socially </t>
  </si>
  <si>
    <t xml:space="preserve">Depression </t>
  </si>
  <si>
    <t>s</t>
  </si>
  <si>
    <t>UGA4-525</t>
  </si>
  <si>
    <t xml:space="preserve">Quit years ago  3/4 packs per day </t>
  </si>
  <si>
    <t>UGA4-526</t>
  </si>
  <si>
    <t>UGA4-527</t>
  </si>
  <si>
    <t xml:space="preserve"> Socially </t>
  </si>
  <si>
    <t>UGA4-528</t>
  </si>
  <si>
    <t>ADHD</t>
  </si>
  <si>
    <t>UGA4-529</t>
  </si>
  <si>
    <t>UGA4-530</t>
  </si>
  <si>
    <t>UGA4-531</t>
  </si>
  <si>
    <t>UGA4-532</t>
  </si>
  <si>
    <t>UGA4-533</t>
  </si>
  <si>
    <t>UGA4-535</t>
  </si>
  <si>
    <t>UGA4-536</t>
  </si>
  <si>
    <t>e-ciggs for 6 months, stopped 1 year ago</t>
  </si>
  <si>
    <t xml:space="preserve"> Table 2: FLU3 (2019-20) Teens Detailed Information</t>
  </si>
  <si>
    <t>Date of birth</t>
  </si>
  <si>
    <t>FLU3-203C</t>
  </si>
  <si>
    <t xml:space="preserve">Attempt x1 with no success on labs. Child does not want to continue study. </t>
  </si>
  <si>
    <t>FLU3-004C</t>
  </si>
  <si>
    <t>FLU3-006C</t>
  </si>
  <si>
    <t>ASTHMA</t>
  </si>
  <si>
    <t>FLU3-007C</t>
  </si>
  <si>
    <t>FLU3-008C</t>
  </si>
  <si>
    <t>Depression/Anxiety</t>
  </si>
  <si>
    <t>FLU3-009C</t>
  </si>
  <si>
    <t>FLU3-017C</t>
  </si>
  <si>
    <t>FLU3-018C</t>
  </si>
  <si>
    <t>FLU3-020C</t>
  </si>
  <si>
    <t>FLU3-021C</t>
  </si>
  <si>
    <t>FLU3-023C</t>
  </si>
  <si>
    <t>Deaf</t>
  </si>
  <si>
    <t>FLU3-028C</t>
  </si>
  <si>
    <t>FLU3-029C</t>
  </si>
  <si>
    <t>FLU3-030C</t>
  </si>
  <si>
    <t>FLU3-034C</t>
  </si>
  <si>
    <t>FLU3-035C</t>
  </si>
  <si>
    <t>FLU3-036C</t>
  </si>
  <si>
    <t>FLU3-037C</t>
  </si>
  <si>
    <t>FLU3-038C</t>
  </si>
  <si>
    <t>FLU3-039C</t>
  </si>
  <si>
    <t>FLU3-040C</t>
  </si>
  <si>
    <t>FLU3-041C</t>
  </si>
  <si>
    <t>FLU3-042C</t>
  </si>
  <si>
    <t>FLU3-045C</t>
  </si>
  <si>
    <t>FLU3-046C</t>
  </si>
  <si>
    <t>FLU3-049C</t>
  </si>
  <si>
    <t>FLU3-050C</t>
  </si>
  <si>
    <t>FLU3-052C</t>
  </si>
  <si>
    <t>FLU3-053C</t>
  </si>
  <si>
    <t>FLU3-054C</t>
  </si>
  <si>
    <t>FLU3-056C</t>
  </si>
  <si>
    <t>FLU3-061C</t>
  </si>
  <si>
    <t>FLU3-069C</t>
  </si>
  <si>
    <t>FLU3-070C</t>
  </si>
  <si>
    <t>FLU3-071C</t>
  </si>
  <si>
    <t>Anxiety/Depression</t>
  </si>
  <si>
    <t>FLU3-072C</t>
  </si>
  <si>
    <t>FLU3-074C</t>
  </si>
  <si>
    <t>FLU3-083C</t>
  </si>
  <si>
    <t>FLU3-084C</t>
  </si>
  <si>
    <t>FLU3-086C</t>
  </si>
  <si>
    <t>FLU3-090C</t>
  </si>
  <si>
    <t>FLU3-093C</t>
  </si>
  <si>
    <t>FLU3-097C</t>
  </si>
  <si>
    <t>FLU3-099C</t>
  </si>
  <si>
    <t>FLU3-102C</t>
  </si>
  <si>
    <t>FLU3-103C</t>
  </si>
  <si>
    <t>FLU3-105C</t>
  </si>
  <si>
    <t>FLU3-110C</t>
  </si>
  <si>
    <t>FLU3-112C</t>
  </si>
  <si>
    <t>FLU3-113C</t>
  </si>
  <si>
    <t>FLU3-115C</t>
  </si>
  <si>
    <t>Depo shots to stop menstrual cycle</t>
  </si>
  <si>
    <t>FLU3-116C</t>
  </si>
  <si>
    <t>FLU3-118C</t>
  </si>
  <si>
    <t>Came down with the flu after D7 visit</t>
  </si>
  <si>
    <t>FLU3-119C</t>
  </si>
  <si>
    <t>FLU3-120C</t>
  </si>
  <si>
    <t>FLU3-121C</t>
  </si>
  <si>
    <t>FLU3-125C</t>
  </si>
  <si>
    <t>Exercised induced asthma</t>
  </si>
  <si>
    <t>FLU3-126C</t>
  </si>
  <si>
    <t>FLU3-127C</t>
  </si>
  <si>
    <t>FLU3-129C</t>
  </si>
  <si>
    <t>Acne</t>
  </si>
  <si>
    <t>FLU3-130C</t>
  </si>
  <si>
    <t>Migranes</t>
  </si>
  <si>
    <t>FLU3-133C</t>
  </si>
  <si>
    <t>FLU3-134C</t>
  </si>
  <si>
    <t>FLU3-137C</t>
  </si>
  <si>
    <t>FLU3-141C</t>
  </si>
  <si>
    <t>FLU3-142C</t>
  </si>
  <si>
    <t>FLU3-143C</t>
  </si>
  <si>
    <t>FLU3-150C</t>
  </si>
  <si>
    <t>FLU3-151C</t>
  </si>
  <si>
    <t>FLU3-152C</t>
  </si>
  <si>
    <t>FLU3-153C</t>
  </si>
  <si>
    <t>FLU3-155C</t>
  </si>
  <si>
    <t>FLU3-156C</t>
  </si>
  <si>
    <t>FLU3-157C</t>
  </si>
  <si>
    <t>FLU3-159C</t>
  </si>
  <si>
    <t>FLU3-160C</t>
  </si>
  <si>
    <t>FLU3-161C</t>
  </si>
  <si>
    <t>FLU3-163C</t>
  </si>
  <si>
    <t>FLU3-165C</t>
  </si>
  <si>
    <t>FLU3-167C</t>
  </si>
  <si>
    <t>FLU3-168C</t>
  </si>
  <si>
    <t>FLU3-170C</t>
  </si>
  <si>
    <t>FLU3-173C</t>
  </si>
  <si>
    <t>FLU3-174C</t>
  </si>
  <si>
    <t>FLU3-175C</t>
  </si>
  <si>
    <t>FLU3-178C</t>
  </si>
  <si>
    <t>FLU3-180C</t>
  </si>
  <si>
    <t>FLU3-182C</t>
  </si>
  <si>
    <t>FLU3-185C</t>
  </si>
  <si>
    <t>FLU3-188C</t>
  </si>
  <si>
    <t>FLU3-195C</t>
  </si>
  <si>
    <t>FLU3-197C</t>
  </si>
  <si>
    <t>FLU3-198C</t>
  </si>
  <si>
    <t>FLU3-199C</t>
  </si>
  <si>
    <t>FLU3-200C</t>
  </si>
  <si>
    <t>FLU3-202C</t>
  </si>
  <si>
    <t>FLU3-204C</t>
  </si>
  <si>
    <t>FLU3-207C</t>
  </si>
  <si>
    <t>FLU3-208C</t>
  </si>
  <si>
    <t xml:space="preserve">ADHD </t>
  </si>
  <si>
    <t>Mild autism</t>
  </si>
  <si>
    <t>FLU3-210C</t>
  </si>
  <si>
    <t>unsure</t>
  </si>
  <si>
    <t>UGA4-081</t>
  </si>
  <si>
    <t>UGA4-181</t>
  </si>
  <si>
    <t>UGA4-215</t>
  </si>
  <si>
    <t>UGA4-260</t>
  </si>
  <si>
    <t>UGA4-300</t>
  </si>
  <si>
    <t>UGA4-315</t>
  </si>
  <si>
    <t>UGA4-317</t>
  </si>
  <si>
    <t>UGA4-328</t>
  </si>
  <si>
    <t>UGA4-329</t>
  </si>
  <si>
    <t>UGA4-330</t>
  </si>
  <si>
    <t>UGA4-337</t>
  </si>
  <si>
    <t>UGA4-340</t>
  </si>
  <si>
    <t>UGA4-351</t>
  </si>
  <si>
    <t>UGA4-355</t>
  </si>
  <si>
    <t>UGA4-360</t>
  </si>
  <si>
    <t>UGA4-365</t>
  </si>
  <si>
    <t>UGA4-370</t>
  </si>
  <si>
    <t>UGA4-371</t>
  </si>
  <si>
    <t>UGA4-372</t>
  </si>
  <si>
    <t>UGA4-377</t>
  </si>
  <si>
    <t>UGA4-387</t>
  </si>
  <si>
    <t>UGA4-388</t>
  </si>
  <si>
    <t>UGA4-392</t>
  </si>
  <si>
    <t>UGA4-393</t>
  </si>
  <si>
    <t>UGA4-394</t>
  </si>
  <si>
    <t>UGA4-395</t>
  </si>
  <si>
    <t>UGA4-396</t>
  </si>
  <si>
    <t>UGA4-397</t>
  </si>
  <si>
    <t>UGA4-404</t>
  </si>
  <si>
    <t>UGA4-422</t>
  </si>
  <si>
    <t>UGA4-423</t>
  </si>
  <si>
    <t>UGA4-456</t>
  </si>
  <si>
    <t>FM1-029</t>
  </si>
  <si>
    <t>A/H1 IgG (ng/ml)</t>
  </si>
  <si>
    <t>A/H3 IgG (ng/ml)</t>
  </si>
  <si>
    <t>B/Vic IgG (ng/ml)</t>
  </si>
  <si>
    <t>B/Yam IgG (ng/ml)</t>
  </si>
  <si>
    <t>A/H1 IgA (ng/ml)</t>
  </si>
  <si>
    <t>A/H3 IgA (ng/ml)</t>
  </si>
  <si>
    <t>B/Yam IgA (ng/ml)</t>
  </si>
  <si>
    <t>IgG Scale (Darker = Higher)</t>
  </si>
  <si>
    <t>Two fold-increase shown with red, italicized text)</t>
  </si>
  <si>
    <t>IgA Scale (Darker = Higher)</t>
  </si>
  <si>
    <t>Vaccine Strain (*Yam excluded from High Dose)</t>
  </si>
  <si>
    <t>A/Michigan/45/2015</t>
  </si>
  <si>
    <t>D0-MI/15 IgG</t>
  </si>
  <si>
    <t>D28-MI/15 IgG</t>
  </si>
  <si>
    <t>D0-MI/15 IgA</t>
  </si>
  <si>
    <t>D28-MI/15 IgA</t>
  </si>
  <si>
    <t>Prior study ID</t>
  </si>
  <si>
    <t>FM1-061</t>
  </si>
  <si>
    <t>Missing D0 information</t>
  </si>
  <si>
    <t>FM1-028</t>
  </si>
  <si>
    <t>To be redone</t>
  </si>
  <si>
    <t>Completed</t>
  </si>
  <si>
    <t>18625*</t>
  </si>
  <si>
    <t>18724*</t>
  </si>
  <si>
    <t>193320*</t>
  </si>
  <si>
    <t>357060*</t>
  </si>
  <si>
    <t>320588*</t>
  </si>
  <si>
    <t>715318*</t>
  </si>
  <si>
    <t>460710*</t>
  </si>
  <si>
    <t>585255*</t>
  </si>
  <si>
    <t>669597*</t>
  </si>
  <si>
    <t>3128*</t>
  </si>
  <si>
    <t>2310*</t>
  </si>
  <si>
    <t>OP Er</t>
  </si>
  <si>
    <t>-  = to be redone</t>
  </si>
  <si>
    <t>461 (362 Adults + 99 Children/Teens)</t>
  </si>
  <si>
    <t>Participants:</t>
  </si>
  <si>
    <t>B/Vic IgA (ng/ml)</t>
  </si>
  <si>
    <t>IgA ELISA</t>
  </si>
  <si>
    <t>IgG ELISA</t>
  </si>
  <si>
    <t>B/Victoria/304/2006</t>
  </si>
  <si>
    <t>B/Malaysia/2506/2004</t>
  </si>
  <si>
    <t>B/Hong Kong/330/2001</t>
  </si>
  <si>
    <t>B/Victoria/2/1987</t>
  </si>
  <si>
    <t>B/Massachusetts/02/2012</t>
  </si>
  <si>
    <t>B/Texas/06/2011</t>
  </si>
  <si>
    <t>B/Wisconsin/01/2010</t>
  </si>
  <si>
    <t>B/Florida/4/2006</t>
  </si>
  <si>
    <t>B/Sichuan/379/1999</t>
  </si>
  <si>
    <t>B/Harbin/7/1994</t>
  </si>
  <si>
    <t>B/Yamagata/16/1988</t>
  </si>
  <si>
    <t xml:space="preserve">A/Hong Kong/45/2019 </t>
  </si>
  <si>
    <t>A/Hong Kong/2671/2019</t>
  </si>
  <si>
    <t>A/South Australia/34/2019</t>
  </si>
  <si>
    <t>A/Switzerland/8060/2017</t>
  </si>
  <si>
    <t>A/Singapore/INFIMH-16-0019/2016</t>
  </si>
  <si>
    <t>A/Hong Kong/4801/2014</t>
  </si>
  <si>
    <t>A/Switzerland/9715293/2013</t>
  </si>
  <si>
    <t>A/Texas/50/2012</t>
  </si>
  <si>
    <t>A/Victoria/361/2011</t>
  </si>
  <si>
    <t>A/Perth/16/2009</t>
  </si>
  <si>
    <t>A/Uruguay/716/2007</t>
  </si>
  <si>
    <t>A/Wisconsin/67/2005</t>
  </si>
  <si>
    <t>A/New York/55/2004</t>
  </si>
  <si>
    <t>A/Panama/2007/1999</t>
  </si>
  <si>
    <t>A/Hawaii/70/2019</t>
  </si>
  <si>
    <t>A/Guangdong-Maonan/SWL1536/2019</t>
  </si>
  <si>
    <t>A/California/07/2009</t>
  </si>
  <si>
    <t>A/Brisbane/59/2007</t>
  </si>
  <si>
    <t>A/Solomon Islands/3/2006</t>
  </si>
  <si>
    <t>A/New Caledonia/20/1999</t>
  </si>
  <si>
    <t>A/Beijing/262/1995</t>
  </si>
  <si>
    <t>A/Texas/39/1991</t>
  </si>
  <si>
    <t>A/Singapore/6/1986</t>
  </si>
  <si>
    <t>A/Chile/1/1983</t>
  </si>
  <si>
    <t>CO/17</t>
  </si>
  <si>
    <t>CO/17 Ferret Reference Serum (CA/09 pre-immune)</t>
  </si>
  <si>
    <t>BR/08</t>
  </si>
  <si>
    <t>BR/08 Ferret Reference Serum</t>
  </si>
  <si>
    <t>PH/13</t>
  </si>
  <si>
    <t>PH/13 Ferret Reference Serum</t>
  </si>
  <si>
    <t>HK/14</t>
  </si>
  <si>
    <t>HK/14 Ferret Reference Serum</t>
  </si>
  <si>
    <t>CA/09</t>
  </si>
  <si>
    <t>CA/09 Ferret Reference Serum</t>
  </si>
  <si>
    <t>U</t>
  </si>
  <si>
    <t>zx</t>
  </si>
  <si>
    <t>No Vaccination Last Year</t>
  </si>
  <si>
    <t>Vaccinated Last Year</t>
  </si>
  <si>
    <t>SUM Log2</t>
  </si>
  <si>
    <t>CO/17 Log2</t>
  </si>
  <si>
    <t>Phu/13 Log2</t>
  </si>
  <si>
    <t>KS/17 Log2</t>
  </si>
  <si>
    <t>BR/18 Log2</t>
  </si>
  <si>
    <t>Phu/13 Fold</t>
  </si>
  <si>
    <t>KS/17 Fold</t>
  </si>
  <si>
    <t>D28-HK/45/19</t>
  </si>
  <si>
    <t>D0-HK/45/19</t>
  </si>
  <si>
    <t>D28-HK/2671/19</t>
  </si>
  <si>
    <t>D0-HK/2671/19</t>
  </si>
  <si>
    <t>D28-SA/19</t>
  </si>
  <si>
    <t>D0-SA/19</t>
  </si>
  <si>
    <t>D28 - Switz/17</t>
  </si>
  <si>
    <t>D0 - Switz/17</t>
  </si>
  <si>
    <t>D28 - HI/19</t>
  </si>
  <si>
    <t>D0 - HI/19</t>
  </si>
  <si>
    <t>D28 - GD/19</t>
  </si>
  <si>
    <t>D0 - GD/19</t>
  </si>
  <si>
    <t>Vaccinated last year?</t>
  </si>
  <si>
    <t>Vaccine Strain Log2 Fold Changes + Sum</t>
  </si>
  <si>
    <t>Vaccine Strain Fold Changes</t>
  </si>
  <si>
    <r>
      <t xml:space="preserve">Vaccine Response = summation of the Log2 fold change of each vaccine strain: &lt;4 = non-responder, 4-8 = low-responder, </t>
    </r>
    <r>
      <rPr>
        <u/>
        <sz val="10"/>
        <color theme="1"/>
        <rFont val="Calibri (Body)"/>
      </rPr>
      <t>&gt;</t>
    </r>
    <r>
      <rPr>
        <sz val="10"/>
        <color theme="1"/>
        <rFont val="Calibri"/>
        <family val="2"/>
        <scheme val="minor"/>
      </rPr>
      <t>8 = high-responder</t>
    </r>
  </si>
  <si>
    <t>5/12/2020 MAC/NU</t>
  </si>
  <si>
    <t>3/13/2020 MAC (505 - 535 on 5/8/2020 by NU)</t>
  </si>
  <si>
    <t>5/20/2020 NU</t>
  </si>
  <si>
    <t>3/12/2020 MAC (505 - 535 on 5/7/2020 by MAC/NU)</t>
  </si>
  <si>
    <t>9/8/2020 NU</t>
  </si>
  <si>
    <t>9/17/2020 NU</t>
  </si>
  <si>
    <t>5/14/2020 MAC/NU</t>
  </si>
  <si>
    <t>3/10/2020 MAC (505 - 535 on 5/7/2020 by MAC/NU)</t>
  </si>
  <si>
    <t>5/11/2020 MAC/NU</t>
  </si>
  <si>
    <t>8/11/2020 NU</t>
  </si>
  <si>
    <t>9/9/2020 NU</t>
  </si>
  <si>
    <t>9/14/2020 NU</t>
  </si>
  <si>
    <t>9/16/2020 NU</t>
  </si>
  <si>
    <t>3/11/2020 MAC (505 - 535 on 5/8/2020 by NU)</t>
  </si>
  <si>
    <t>5/19/2020 NU</t>
  </si>
  <si>
    <t>7/17/2020 NU</t>
  </si>
  <si>
    <t>6/1/2020 NU</t>
  </si>
  <si>
    <t>9/3/2020 NU</t>
  </si>
  <si>
    <t>EE-WA19-021720 (Ether-Ext of UGA-BWA19-20200305EP)</t>
  </si>
  <si>
    <t>EE-CO17-03112020 (Ether-Ext of UGA-BCO6V-20191209EP)</t>
  </si>
  <si>
    <t>EE-BR08-05112020 (Ether-Ext of VP-F1627A)</t>
  </si>
  <si>
    <t>EE-PH13-03112020 (Ether-Ext of VP-G1611B)</t>
  </si>
  <si>
    <t>EE-</t>
  </si>
  <si>
    <t>EE-LEE40-091520</t>
  </si>
  <si>
    <t>SJ- (cell)</t>
  </si>
  <si>
    <t>UGA- (egg)</t>
  </si>
  <si>
    <t>UGA-ASA19-20200211EP</t>
  </si>
  <si>
    <t>01292019SG16.1EP1</t>
  </si>
  <si>
    <t>VP Lot E1603A</t>
  </si>
  <si>
    <t>VP Lot J1506B</t>
  </si>
  <si>
    <t>VP Lot I1508B</t>
  </si>
  <si>
    <t>VP Lot L1503B</t>
  </si>
  <si>
    <t>SJ-</t>
  </si>
  <si>
    <t>UGA-AGuMa19-081720</t>
  </si>
  <si>
    <t>UGA-AMich15-20200121EP</t>
  </si>
  <si>
    <t xml:space="preserve">VP Lot F1512B	</t>
  </si>
  <si>
    <t>020116BR5907EP1 (BCL)</t>
  </si>
  <si>
    <t>VP Lot J1509A</t>
  </si>
  <si>
    <t>UGA4 (2019-20) HAIs - assays still in progress</t>
  </si>
  <si>
    <t>UGA4 (2019-20) ELISAs - assays still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</si>
</sst>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m/d/yy;@"/>
    <numFmt numFmtId="166" formatCode="mm/dd/yy;@"/>
    <numFmt numFmtId="167" formatCode="000"/>
  </numFmts>
  <fonts count="5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 (Body)_x0000_"/>
    </font>
    <font>
      <b/>
      <sz val="11"/>
      <color indexed="8"/>
      <name val="Calibri (Body)_x0000_"/>
    </font>
    <font>
      <sz val="26"/>
      <color theme="1"/>
      <name val="Calibri"/>
      <family val="2"/>
      <scheme val="minor"/>
    </font>
    <font>
      <sz val="10"/>
      <color theme="1"/>
      <name val="Calibri (Body)_x0000_"/>
    </font>
    <font>
      <sz val="26"/>
      <color rgb="FF000000"/>
      <name val="Calibri"/>
      <family val="2"/>
      <scheme val="minor"/>
    </font>
    <font>
      <sz val="10"/>
      <color rgb="FF000000"/>
      <name val="Calibri (Body)_x0000_"/>
    </font>
    <font>
      <b/>
      <sz val="22"/>
      <color theme="1"/>
      <name val="Calibri"/>
      <family val="2"/>
      <scheme val="minor"/>
    </font>
    <font>
      <sz val="10"/>
      <name val="Calibri (Body)_x0000_"/>
    </font>
    <font>
      <sz val="10"/>
      <name val="Calibri"/>
      <family val="2"/>
    </font>
    <font>
      <sz val="11"/>
      <color rgb="FF000000"/>
      <name val="Calibri"/>
      <family val="2"/>
    </font>
    <font>
      <sz val="11"/>
      <color indexed="8"/>
      <name val="Calibri (Body)_x0000_"/>
    </font>
    <font>
      <u/>
      <sz val="11"/>
      <color theme="1"/>
      <name val="Calibri (Body)_x0000_"/>
    </font>
    <font>
      <b/>
      <sz val="10"/>
      <color theme="1"/>
      <name val="Calibri (Body)_x0000_"/>
    </font>
    <font>
      <b/>
      <sz val="1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</font>
    <font>
      <b/>
      <sz val="11"/>
      <color theme="1"/>
      <name val="Calibri"/>
      <family val="2"/>
    </font>
    <font>
      <b/>
      <sz val="8"/>
      <color theme="1"/>
      <name val="Calibri"/>
      <family val="2"/>
    </font>
    <font>
      <sz val="8"/>
      <color rgb="FF000000"/>
      <name val="Calibri"/>
      <family val="2"/>
    </font>
    <font>
      <b/>
      <sz val="8"/>
      <name val="Calibri"/>
      <family val="2"/>
    </font>
    <font>
      <sz val="8"/>
      <color indexed="8"/>
      <name val="Calibri"/>
      <family val="2"/>
    </font>
    <font>
      <u/>
      <sz val="10"/>
      <color theme="1"/>
      <name val="Calibri (Body)"/>
    </font>
    <font>
      <b/>
      <sz val="36"/>
      <color rgb="FFFF0000"/>
      <name val="Calibri"/>
      <family val="2"/>
      <scheme val="minor"/>
    </font>
    <font>
      <b/>
      <sz val="36"/>
      <color rgb="FF0070C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B7DEE8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D7"/>
        <bgColor indexed="64"/>
      </patternFill>
    </fill>
    <fill>
      <patternFill patternType="solid">
        <fgColor rgb="FFFE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ED7D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FE99"/>
        <bgColor indexed="64"/>
      </patternFill>
    </fill>
    <fill>
      <patternFill patternType="solid">
        <fgColor rgb="FFEDB488"/>
        <bgColor indexed="64"/>
      </patternFill>
    </fill>
    <fill>
      <patternFill patternType="solid">
        <fgColor rgb="FFFF0000"/>
        <bgColor indexed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B4DFC1"/>
        <bgColor indexed="64"/>
      </patternFill>
    </fill>
    <fill>
      <patternFill patternType="solid">
        <fgColor rgb="FF92C1E5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</fills>
  <borders count="1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 style="thin">
        <color theme="1"/>
      </top>
      <bottom/>
      <diagonal/>
    </border>
    <border>
      <left style="medium">
        <color theme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/>
      <top style="thin">
        <color auto="1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theme="1"/>
      </left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</borders>
  <cellStyleXfs count="8203">
    <xf numFmtId="0" fontId="0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11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3" fillId="11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576">
    <xf numFmtId="0" fontId="0" fillId="0" borderId="0" xfId="0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4" borderId="25" xfId="0" applyFill="1" applyBorder="1" applyAlignment="1">
      <alignment vertical="center"/>
    </xf>
    <xf numFmtId="0" fontId="13" fillId="14" borderId="26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18" borderId="13" xfId="0" quotePrefix="1" applyFont="1" applyFill="1" applyBorder="1" applyAlignment="1">
      <alignment horizontal="center" vertical="center"/>
    </xf>
    <xf numFmtId="0" fontId="5" fillId="18" borderId="13" xfId="0" applyFont="1" applyFill="1" applyBorder="1" applyAlignment="1">
      <alignment horizontal="center" vertical="center"/>
    </xf>
    <xf numFmtId="2" fontId="5" fillId="0" borderId="22" xfId="0" applyNumberFormat="1" applyFont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/>
    </xf>
    <xf numFmtId="0" fontId="5" fillId="18" borderId="24" xfId="0" quotePrefix="1" applyFont="1" applyFill="1" applyBorder="1" applyAlignment="1">
      <alignment horizontal="center" vertical="center"/>
    </xf>
    <xf numFmtId="0" fontId="5" fillId="18" borderId="24" xfId="0" applyFont="1" applyFill="1" applyBorder="1" applyAlignment="1">
      <alignment horizontal="center" vertical="center"/>
    </xf>
    <xf numFmtId="2" fontId="5" fillId="0" borderId="23" xfId="0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5" fillId="18" borderId="1" xfId="0" quotePrefix="1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2" fontId="5" fillId="0" borderId="28" xfId="0" applyNumberFormat="1" applyFont="1" applyBorder="1" applyAlignment="1">
      <alignment horizontal="center" vertical="center"/>
    </xf>
    <xf numFmtId="2" fontId="5" fillId="0" borderId="29" xfId="0" applyNumberFormat="1" applyFont="1" applyBorder="1" applyAlignment="1">
      <alignment horizontal="center" vertical="center"/>
    </xf>
    <xf numFmtId="0" fontId="12" fillId="5" borderId="20" xfId="581" applyFont="1" applyFill="1" applyBorder="1" applyAlignment="1">
      <alignment horizontal="left" vertical="center"/>
    </xf>
    <xf numFmtId="0" fontId="12" fillId="5" borderId="26" xfId="581" applyFont="1" applyFill="1" applyBorder="1" applyAlignment="1">
      <alignment horizontal="left" vertical="center"/>
    </xf>
    <xf numFmtId="0" fontId="12" fillId="5" borderId="2" xfId="581" applyFont="1" applyFill="1" applyBorder="1" applyAlignment="1">
      <alignment horizontal="left" vertical="center"/>
    </xf>
    <xf numFmtId="0" fontId="8" fillId="5" borderId="2" xfId="58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0" fillId="9" borderId="33" xfId="0" applyFill="1" applyBorder="1" applyAlignment="1">
      <alignment horizontal="center" vertical="center"/>
    </xf>
    <xf numFmtId="0" fontId="0" fillId="25" borderId="2" xfId="581" applyFont="1" applyFill="1" applyBorder="1" applyAlignment="1">
      <alignment horizontal="left" vertical="center"/>
    </xf>
    <xf numFmtId="0" fontId="12" fillId="5" borderId="33" xfId="58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18" fillId="25" borderId="13" xfId="581" applyFont="1" applyFill="1" applyBorder="1" applyAlignment="1">
      <alignment horizontal="left" vertical="center"/>
    </xf>
    <xf numFmtId="2" fontId="5" fillId="0" borderId="52" xfId="0" applyNumberFormat="1" applyFont="1" applyBorder="1" applyAlignment="1">
      <alignment horizontal="center" vertical="center"/>
    </xf>
    <xf numFmtId="0" fontId="5" fillId="26" borderId="51" xfId="0" quotePrefix="1" applyFont="1" applyFill="1" applyBorder="1" applyAlignment="1">
      <alignment horizontal="center" vertical="center"/>
    </xf>
    <xf numFmtId="2" fontId="5" fillId="26" borderId="48" xfId="0" applyNumberFormat="1" applyFont="1" applyFill="1" applyBorder="1" applyAlignment="1">
      <alignment horizontal="center" vertical="center"/>
    </xf>
    <xf numFmtId="2" fontId="5" fillId="0" borderId="48" xfId="0" applyNumberFormat="1" applyFont="1" applyBorder="1" applyAlignment="1">
      <alignment horizontal="center" vertical="center"/>
    </xf>
    <xf numFmtId="0" fontId="5" fillId="26" borderId="23" xfId="0" applyFont="1" applyFill="1" applyBorder="1" applyAlignment="1">
      <alignment horizontal="center" vertical="center"/>
    </xf>
    <xf numFmtId="0" fontId="5" fillId="26" borderId="62" xfId="0" quotePrefix="1" applyFont="1" applyFill="1" applyBorder="1" applyAlignment="1">
      <alignment horizontal="center" vertical="center"/>
    </xf>
    <xf numFmtId="0" fontId="5" fillId="18" borderId="64" xfId="0" quotePrefix="1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164" fontId="0" fillId="0" borderId="53" xfId="8192" applyNumberFormat="1" applyFont="1" applyBorder="1" applyAlignment="1">
      <alignment horizontal="center" vertical="center"/>
    </xf>
    <xf numFmtId="164" fontId="0" fillId="26" borderId="0" xfId="8192" applyNumberFormat="1" applyFont="1" applyFill="1" applyBorder="1" applyAlignment="1">
      <alignment horizontal="center" vertical="center"/>
    </xf>
    <xf numFmtId="164" fontId="0" fillId="0" borderId="0" xfId="8192" applyNumberFormat="1" applyFont="1" applyBorder="1" applyAlignment="1">
      <alignment horizontal="center" vertical="center"/>
    </xf>
    <xf numFmtId="164" fontId="0" fillId="0" borderId="54" xfId="8192" applyNumberFormat="1" applyFont="1" applyBorder="1" applyAlignment="1">
      <alignment horizontal="center" vertical="center"/>
    </xf>
    <xf numFmtId="164" fontId="0" fillId="26" borderId="49" xfId="8192" applyNumberFormat="1" applyFont="1" applyFill="1" applyBorder="1" applyAlignment="1">
      <alignment horizontal="center" vertical="center"/>
    </xf>
    <xf numFmtId="164" fontId="0" fillId="0" borderId="49" xfId="8192" applyNumberFormat="1" applyFont="1" applyBorder="1" applyAlignment="1">
      <alignment horizontal="center" vertical="center"/>
    </xf>
    <xf numFmtId="0" fontId="9" fillId="18" borderId="58" xfId="0" applyFont="1" applyFill="1" applyBorder="1" applyAlignment="1">
      <alignment horizontal="center" vertical="center"/>
    </xf>
    <xf numFmtId="0" fontId="9" fillId="18" borderId="72" xfId="0" applyFont="1" applyFill="1" applyBorder="1" applyAlignment="1">
      <alignment horizontal="center" vertical="center"/>
    </xf>
    <xf numFmtId="164" fontId="0" fillId="0" borderId="50" xfId="8192" applyNumberFormat="1" applyFont="1" applyBorder="1" applyAlignment="1">
      <alignment horizontal="center" vertical="center"/>
    </xf>
    <xf numFmtId="164" fontId="0" fillId="26" borderId="50" xfId="8192" applyNumberFormat="1" applyFont="1" applyFill="1" applyBorder="1" applyAlignment="1">
      <alignment horizontal="center" vertical="center"/>
    </xf>
    <xf numFmtId="164" fontId="0" fillId="0" borderId="55" xfId="8192" applyNumberFormat="1" applyFont="1" applyBorder="1" applyAlignment="1">
      <alignment horizontal="center" vertical="center"/>
    </xf>
    <xf numFmtId="164" fontId="0" fillId="18" borderId="74" xfId="8192" applyNumberFormat="1" applyFont="1" applyFill="1" applyBorder="1" applyAlignment="1">
      <alignment horizontal="center" vertical="center"/>
    </xf>
    <xf numFmtId="164" fontId="0" fillId="18" borderId="75" xfId="8192" applyNumberFormat="1" applyFont="1" applyFill="1" applyBorder="1" applyAlignment="1">
      <alignment horizontal="center" vertical="center"/>
    </xf>
    <xf numFmtId="164" fontId="0" fillId="18" borderId="76" xfId="8192" applyNumberFormat="1" applyFont="1" applyFill="1" applyBorder="1" applyAlignment="1">
      <alignment horizontal="center" vertical="center"/>
    </xf>
    <xf numFmtId="0" fontId="0" fillId="14" borderId="46" xfId="0" applyFill="1" applyBorder="1" applyAlignment="1">
      <alignment vertical="center"/>
    </xf>
    <xf numFmtId="0" fontId="13" fillId="14" borderId="50" xfId="0" applyFont="1" applyFill="1" applyBorder="1" applyAlignment="1">
      <alignment vertical="center"/>
    </xf>
    <xf numFmtId="0" fontId="9" fillId="28" borderId="41" xfId="0" applyFont="1" applyFill="1" applyBorder="1" applyAlignment="1">
      <alignment horizontal="center" vertical="center" wrapText="1"/>
    </xf>
    <xf numFmtId="0" fontId="9" fillId="29" borderId="47" xfId="0" applyFont="1" applyFill="1" applyBorder="1" applyAlignment="1">
      <alignment horizontal="center" vertical="center" wrapText="1"/>
    </xf>
    <xf numFmtId="0" fontId="33" fillId="22" borderId="78" xfId="0" quotePrefix="1" applyFont="1" applyFill="1" applyBorder="1" applyAlignment="1">
      <alignment horizontal="center" vertical="center" wrapText="1"/>
    </xf>
    <xf numFmtId="0" fontId="31" fillId="26" borderId="69" xfId="0" applyFont="1" applyFill="1" applyBorder="1" applyAlignment="1">
      <alignment horizontal="right" vertical="center" wrapText="1"/>
    </xf>
    <xf numFmtId="0" fontId="28" fillId="16" borderId="41" xfId="581" quotePrefix="1" applyFont="1" applyFill="1" applyBorder="1" applyAlignment="1">
      <alignment horizontal="center" vertical="center"/>
    </xf>
    <xf numFmtId="0" fontId="0" fillId="23" borderId="69" xfId="0" quotePrefix="1" applyFill="1" applyBorder="1" applyAlignment="1">
      <alignment horizontal="center" vertical="center"/>
    </xf>
    <xf numFmtId="0" fontId="0" fillId="9" borderId="69" xfId="0" applyFill="1" applyBorder="1" applyAlignment="1">
      <alignment horizontal="center" vertical="center"/>
    </xf>
    <xf numFmtId="0" fontId="0" fillId="7" borderId="69" xfId="0" quotePrefix="1" applyFill="1" applyBorder="1" applyAlignment="1">
      <alignment horizontal="center" vertical="center"/>
    </xf>
    <xf numFmtId="0" fontId="18" fillId="12" borderId="69" xfId="0" quotePrefix="1" applyFont="1" applyFill="1" applyBorder="1" applyAlignment="1">
      <alignment horizontal="center" vertical="center"/>
    </xf>
    <xf numFmtId="0" fontId="18" fillId="15" borderId="69" xfId="0" quotePrefix="1" applyFont="1" applyFill="1" applyBorder="1" applyAlignment="1">
      <alignment horizontal="center" vertical="center"/>
    </xf>
    <xf numFmtId="0" fontId="18" fillId="21" borderId="69" xfId="0" quotePrefix="1" applyFont="1" applyFill="1" applyBorder="1" applyAlignment="1">
      <alignment horizontal="center" vertical="center"/>
    </xf>
    <xf numFmtId="0" fontId="33" fillId="0" borderId="29" xfId="0" applyFont="1" applyBorder="1" applyAlignment="1">
      <alignment horizontal="right" vertical="center" wrapText="1"/>
    </xf>
    <xf numFmtId="0" fontId="5" fillId="5" borderId="17" xfId="581" applyFont="1" applyFill="1" applyBorder="1" applyAlignment="1">
      <alignment horizontal="center" vertical="center"/>
    </xf>
    <xf numFmtId="0" fontId="12" fillId="5" borderId="1" xfId="581" applyFont="1" applyFill="1" applyBorder="1" applyAlignment="1">
      <alignment horizontal="center" vertical="center"/>
    </xf>
    <xf numFmtId="0" fontId="12" fillId="5" borderId="38" xfId="581" applyFont="1" applyFill="1" applyBorder="1" applyAlignment="1">
      <alignment horizontal="left" vertical="center"/>
    </xf>
    <xf numFmtId="0" fontId="33" fillId="25" borderId="50" xfId="581" applyFont="1" applyFill="1" applyBorder="1" applyAlignment="1">
      <alignment horizontal="left" vertical="center"/>
    </xf>
    <xf numFmtId="0" fontId="33" fillId="25" borderId="19" xfId="581" applyFont="1" applyFill="1" applyBorder="1" applyAlignment="1">
      <alignment horizontal="left" vertical="center"/>
    </xf>
    <xf numFmtId="0" fontId="33" fillId="25" borderId="38" xfId="581" applyFont="1" applyFill="1" applyBorder="1" applyAlignment="1">
      <alignment horizontal="left" vertical="center"/>
    </xf>
    <xf numFmtId="0" fontId="12" fillId="5" borderId="50" xfId="581" applyFont="1" applyFill="1" applyBorder="1" applyAlignment="1">
      <alignment horizontal="left" vertical="center"/>
    </xf>
    <xf numFmtId="0" fontId="38" fillId="25" borderId="19" xfId="581" applyFont="1" applyFill="1" applyBorder="1" applyAlignment="1">
      <alignment horizontal="left" vertical="center"/>
    </xf>
    <xf numFmtId="0" fontId="38" fillId="25" borderId="20" xfId="581" applyFont="1" applyFill="1" applyBorder="1" applyAlignment="1">
      <alignment horizontal="left" vertical="center"/>
    </xf>
    <xf numFmtId="0" fontId="5" fillId="13" borderId="3" xfId="0" applyFont="1" applyFill="1" applyBorder="1" applyAlignment="1">
      <alignment horizontal="center" vertical="center"/>
    </xf>
    <xf numFmtId="0" fontId="1" fillId="0" borderId="0" xfId="8200" applyAlignment="1">
      <alignment vertical="center"/>
    </xf>
    <xf numFmtId="0" fontId="24" fillId="0" borderId="3" xfId="8200" applyFont="1" applyBorder="1" applyAlignment="1">
      <alignment horizontal="left" vertical="center"/>
    </xf>
    <xf numFmtId="0" fontId="24" fillId="0" borderId="33" xfId="8200" applyFont="1" applyBorder="1" applyAlignment="1">
      <alignment horizontal="left" vertical="center"/>
    </xf>
    <xf numFmtId="0" fontId="24" fillId="0" borderId="12" xfId="8200" applyFont="1" applyBorder="1" applyAlignment="1">
      <alignment horizontal="left" vertical="center"/>
    </xf>
    <xf numFmtId="0" fontId="5" fillId="3" borderId="1" xfId="8200" applyFont="1" applyFill="1" applyBorder="1" applyAlignment="1">
      <alignment horizontal="center" vertical="center" wrapText="1"/>
    </xf>
    <xf numFmtId="0" fontId="0" fillId="3" borderId="1" xfId="820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5" fillId="27" borderId="1" xfId="1" applyFill="1" applyBorder="1" applyAlignment="1">
      <alignment vertical="center" wrapText="1"/>
    </xf>
    <xf numFmtId="0" fontId="1" fillId="0" borderId="0" xfId="8200" applyAlignment="1">
      <alignment horizontal="center" vertical="center" wrapText="1"/>
    </xf>
    <xf numFmtId="0" fontId="5" fillId="0" borderId="23" xfId="8200" applyFont="1" applyBorder="1" applyAlignment="1">
      <alignment horizontal="center" vertical="center"/>
    </xf>
    <xf numFmtId="0" fontId="5" fillId="0" borderId="0" xfId="8200" applyFont="1" applyBorder="1" applyAlignment="1">
      <alignment horizontal="center"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5" fillId="0" borderId="0" xfId="8200" applyNumberFormat="1" applyFont="1" applyBorder="1" applyAlignment="1">
      <alignment horizontal="center" vertical="center"/>
    </xf>
    <xf numFmtId="0" fontId="5" fillId="0" borderId="0" xfId="8200" applyFont="1" applyBorder="1" applyAlignment="1">
      <alignment horizontal="center" vertical="center" wrapText="1"/>
    </xf>
    <xf numFmtId="14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5" fillId="0" borderId="0" xfId="820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5" fillId="0" borderId="0" xfId="8200" applyFont="1" applyFill="1" applyBorder="1" applyAlignment="1">
      <alignment horizontal="center" vertical="center" wrapText="1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5" fillId="2" borderId="23" xfId="8200" applyFont="1" applyFill="1" applyBorder="1" applyAlignment="1">
      <alignment horizontal="center" vertical="center"/>
    </xf>
    <xf numFmtId="0" fontId="5" fillId="2" borderId="0" xfId="8200" applyFont="1" applyFill="1" applyBorder="1" applyAlignment="1">
      <alignment horizontal="center" vertical="center"/>
    </xf>
    <xf numFmtId="14" fontId="5" fillId="2" borderId="0" xfId="8200" applyNumberFormat="1" applyFont="1" applyFill="1" applyBorder="1" applyAlignment="1">
      <alignment horizontal="center" vertical="center"/>
    </xf>
    <xf numFmtId="0" fontId="5" fillId="2" borderId="0" xfId="8200" applyFont="1" applyFill="1" applyBorder="1" applyAlignment="1">
      <alignment horizontal="center" vertical="center" wrapText="1"/>
    </xf>
    <xf numFmtId="0" fontId="5" fillId="22" borderId="0" xfId="8200" applyFont="1" applyFill="1" applyBorder="1" applyAlignment="1">
      <alignment horizontal="center" vertical="center"/>
    </xf>
    <xf numFmtId="14" fontId="5" fillId="22" borderId="0" xfId="8200" applyNumberFormat="1" applyFont="1" applyFill="1" applyBorder="1" applyAlignment="1">
      <alignment horizontal="center" vertical="center"/>
    </xf>
    <xf numFmtId="0" fontId="5" fillId="22" borderId="0" xfId="8200" applyFont="1" applyFill="1" applyBorder="1" applyAlignment="1">
      <alignment horizontal="center" vertical="center" wrapText="1"/>
    </xf>
    <xf numFmtId="0" fontId="5" fillId="22" borderId="5" xfId="8200" applyFont="1" applyFill="1" applyBorder="1" applyAlignment="1">
      <alignment horizontal="center" vertical="center"/>
    </xf>
    <xf numFmtId="0" fontId="5" fillId="22" borderId="29" xfId="8200" applyFont="1" applyFill="1" applyBorder="1" applyAlignment="1">
      <alignment horizontal="center" vertical="center"/>
    </xf>
    <xf numFmtId="14" fontId="5" fillId="22" borderId="29" xfId="8200" applyNumberFormat="1" applyFont="1" applyFill="1" applyBorder="1" applyAlignment="1">
      <alignment horizontal="center" vertical="center"/>
    </xf>
    <xf numFmtId="0" fontId="5" fillId="22" borderId="29" xfId="8200" applyFont="1" applyFill="1" applyBorder="1" applyAlignment="1">
      <alignment horizontal="center" vertical="center" wrapText="1"/>
    </xf>
    <xf numFmtId="0" fontId="0" fillId="0" borderId="0" xfId="8200" applyFont="1" applyAlignment="1">
      <alignment horizontal="center" vertical="center"/>
    </xf>
    <xf numFmtId="14" fontId="0" fillId="0" borderId="0" xfId="8200" applyNumberFormat="1" applyFont="1" applyAlignment="1">
      <alignment horizontal="center" vertical="center"/>
    </xf>
    <xf numFmtId="0" fontId="0" fillId="0" borderId="0" xfId="8200" applyFont="1" applyAlignment="1">
      <alignment horizontal="center" vertical="center" wrapText="1"/>
    </xf>
    <xf numFmtId="165" fontId="0" fillId="22" borderId="0" xfId="0" applyNumberFormat="1" applyFill="1" applyAlignment="1">
      <alignment vertical="center"/>
    </xf>
    <xf numFmtId="0" fontId="0" fillId="22" borderId="0" xfId="0" applyFill="1" applyAlignment="1">
      <alignment vertical="center"/>
    </xf>
    <xf numFmtId="0" fontId="0" fillId="22" borderId="0" xfId="0" applyFill="1" applyBorder="1" applyAlignment="1">
      <alignment vertical="center"/>
    </xf>
    <xf numFmtId="165" fontId="0" fillId="0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14" fontId="8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vertical="center"/>
    </xf>
    <xf numFmtId="14" fontId="0" fillId="22" borderId="0" xfId="0" applyNumberFormat="1" applyFill="1" applyAlignment="1">
      <alignment vertical="center"/>
    </xf>
    <xf numFmtId="14" fontId="0" fillId="2" borderId="0" xfId="0" applyNumberFormat="1" applyFill="1" applyAlignment="1">
      <alignment vertical="center"/>
    </xf>
    <xf numFmtId="0" fontId="1" fillId="27" borderId="1" xfId="8201" applyFill="1" applyBorder="1" applyAlignment="1">
      <alignment horizontal="center" vertical="center" wrapText="1"/>
    </xf>
    <xf numFmtId="0" fontId="1" fillId="27" borderId="1" xfId="8201" applyFont="1" applyFill="1" applyBorder="1" applyAlignment="1">
      <alignment horizontal="center" vertical="center" wrapText="1"/>
    </xf>
    <xf numFmtId="0" fontId="1" fillId="27" borderId="1" xfId="8202" applyFill="1" applyBorder="1" applyAlignment="1">
      <alignment vertical="center" wrapText="1"/>
    </xf>
    <xf numFmtId="0" fontId="1" fillId="0" borderId="0" xfId="8200" applyAlignment="1">
      <alignment vertical="center" wrapText="1"/>
    </xf>
    <xf numFmtId="166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22" borderId="23" xfId="8200" applyFont="1" applyFill="1" applyBorder="1" applyAlignment="1">
      <alignment horizontal="center" vertical="center"/>
    </xf>
    <xf numFmtId="0" fontId="0" fillId="0" borderId="23" xfId="8200" applyFont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1" fontId="27" fillId="0" borderId="84" xfId="0" applyNumberFormat="1" applyFont="1" applyBorder="1" applyAlignment="1">
      <alignment horizontal="center" vertical="center"/>
    </xf>
    <xf numFmtId="1" fontId="27" fillId="0" borderId="85" xfId="0" applyNumberFormat="1" applyFont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" fontId="0" fillId="16" borderId="2" xfId="0" applyNumberFormat="1" applyFill="1" applyBorder="1" applyAlignment="1">
      <alignment horizontal="center" vertical="center"/>
    </xf>
    <xf numFmtId="14" fontId="0" fillId="16" borderId="2" xfId="0" applyNumberFormat="1" applyFill="1" applyBorder="1" applyAlignment="1">
      <alignment horizontal="center" vertical="center"/>
    </xf>
    <xf numFmtId="1" fontId="27" fillId="0" borderId="11" xfId="0" applyNumberFormat="1" applyFont="1" applyBorder="1" applyAlignment="1">
      <alignment horizontal="center" vertical="center"/>
    </xf>
    <xf numFmtId="1" fontId="27" fillId="0" borderId="10" xfId="0" applyNumberFormat="1" applyFont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1" fontId="0" fillId="17" borderId="2" xfId="0" applyNumberFormat="1" applyFill="1" applyBorder="1" applyAlignment="1">
      <alignment horizontal="center" vertical="center"/>
    </xf>
    <xf numFmtId="14" fontId="0" fillId="17" borderId="2" xfId="0" applyNumberFormat="1" applyFill="1" applyBorder="1" applyAlignment="1">
      <alignment horizontal="center" vertical="center"/>
    </xf>
    <xf numFmtId="0" fontId="5" fillId="4" borderId="86" xfId="0" applyFont="1" applyFill="1" applyBorder="1" applyAlignment="1">
      <alignment horizontal="center" vertical="center"/>
    </xf>
    <xf numFmtId="0" fontId="5" fillId="8" borderId="86" xfId="0" applyFont="1" applyFill="1" applyBorder="1" applyAlignment="1">
      <alignment horizontal="center" vertical="center"/>
    </xf>
    <xf numFmtId="0" fontId="0" fillId="16" borderId="87" xfId="0" applyFill="1" applyBorder="1" applyAlignment="1">
      <alignment horizontal="center" vertical="center"/>
    </xf>
    <xf numFmtId="0" fontId="0" fillId="16" borderId="88" xfId="0" applyFill="1" applyBorder="1" applyAlignment="1">
      <alignment horizontal="center" vertical="center"/>
    </xf>
    <xf numFmtId="0" fontId="5" fillId="13" borderId="52" xfId="0" applyFont="1" applyFill="1" applyBorder="1" applyAlignment="1">
      <alignment horizontal="center" vertical="center"/>
    </xf>
    <xf numFmtId="0" fontId="5" fillId="6" borderId="86" xfId="0" applyFont="1" applyFill="1" applyBorder="1" applyAlignment="1">
      <alignment horizontal="center" vertical="center"/>
    </xf>
    <xf numFmtId="2" fontId="0" fillId="0" borderId="86" xfId="0" applyNumberFormat="1" applyBorder="1" applyAlignment="1">
      <alignment horizontal="center" vertical="center"/>
    </xf>
    <xf numFmtId="14" fontId="0" fillId="0" borderId="86" xfId="0" applyNumberFormat="1" applyBorder="1" applyAlignment="1">
      <alignment horizontal="center" vertical="center"/>
    </xf>
    <xf numFmtId="1" fontId="0" fillId="16" borderId="86" xfId="0" applyNumberFormat="1" applyFill="1" applyBorder="1" applyAlignment="1">
      <alignment horizontal="center" vertical="center"/>
    </xf>
    <xf numFmtId="14" fontId="0" fillId="16" borderId="86" xfId="0" applyNumberFormat="1" applyFill="1" applyBorder="1" applyAlignment="1">
      <alignment horizontal="center" vertical="center"/>
    </xf>
    <xf numFmtId="0" fontId="0" fillId="17" borderId="68" xfId="0" applyFill="1" applyBorder="1" applyAlignment="1">
      <alignment horizontal="center" vertical="center"/>
    </xf>
    <xf numFmtId="0" fontId="0" fillId="17" borderId="79" xfId="0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" fontId="0" fillId="17" borderId="13" xfId="0" applyNumberFormat="1" applyFill="1" applyBorder="1" applyAlignment="1">
      <alignment horizontal="center" vertical="center"/>
    </xf>
    <xf numFmtId="14" fontId="0" fillId="17" borderId="13" xfId="0" applyNumberFormat="1" applyFill="1" applyBorder="1" applyAlignment="1">
      <alignment horizontal="center" vertical="center"/>
    </xf>
    <xf numFmtId="0" fontId="0" fillId="16" borderId="40" xfId="0" applyFill="1" applyBorder="1" applyAlignment="1">
      <alignment horizontal="center" vertical="center"/>
    </xf>
    <xf numFmtId="0" fontId="0" fillId="16" borderId="42" xfId="0" applyFill="1" applyBorder="1" applyAlignment="1">
      <alignment horizontal="center" vertical="center"/>
    </xf>
    <xf numFmtId="0" fontId="0" fillId="17" borderId="40" xfId="0" applyFill="1" applyBorder="1" applyAlignment="1">
      <alignment horizontal="center" vertical="center"/>
    </xf>
    <xf numFmtId="0" fontId="0" fillId="17" borderId="42" xfId="0" applyFill="1" applyBorder="1" applyAlignment="1">
      <alignment horizontal="center" vertical="center"/>
    </xf>
    <xf numFmtId="0" fontId="0" fillId="17" borderId="43" xfId="0" applyFill="1" applyBorder="1" applyAlignment="1">
      <alignment horizontal="center" vertical="center"/>
    </xf>
    <xf numFmtId="0" fontId="0" fillId="17" borderId="33" xfId="0" applyFill="1" applyBorder="1" applyAlignment="1">
      <alignment horizontal="center" vertical="center"/>
    </xf>
    <xf numFmtId="0" fontId="0" fillId="16" borderId="43" xfId="0" applyFill="1" applyBorder="1" applyAlignment="1">
      <alignment horizontal="center" vertical="center"/>
    </xf>
    <xf numFmtId="0" fontId="0" fillId="16" borderId="33" xfId="0" applyFill="1" applyBorder="1" applyAlignment="1">
      <alignment horizontal="center" vertical="center"/>
    </xf>
    <xf numFmtId="14" fontId="27" fillId="16" borderId="43" xfId="0" applyNumberFormat="1" applyFont="1" applyFill="1" applyBorder="1" applyAlignment="1">
      <alignment horizontal="center" vertical="center"/>
    </xf>
    <xf numFmtId="14" fontId="27" fillId="16" borderId="33" xfId="0" applyNumberFormat="1" applyFont="1" applyFill="1" applyBorder="1" applyAlignment="1">
      <alignment horizontal="center" vertical="center"/>
    </xf>
    <xf numFmtId="1" fontId="0" fillId="12" borderId="2" xfId="0" applyNumberFormat="1" applyFill="1" applyBorder="1" applyAlignment="1">
      <alignment horizontal="center" vertical="center"/>
    </xf>
    <xf numFmtId="14" fontId="0" fillId="12" borderId="2" xfId="0" applyNumberFormat="1" applyFill="1" applyBorder="1" applyAlignment="1">
      <alignment horizontal="center" vertical="center"/>
    </xf>
    <xf numFmtId="1" fontId="0" fillId="12" borderId="40" xfId="0" applyNumberFormat="1" applyFill="1" applyBorder="1" applyAlignment="1">
      <alignment horizontal="center" vertical="center"/>
    </xf>
    <xf numFmtId="1" fontId="0" fillId="9" borderId="2" xfId="0" applyNumberFormat="1" applyFill="1" applyBorder="1" applyAlignment="1">
      <alignment horizontal="center" vertical="center"/>
    </xf>
    <xf numFmtId="14" fontId="0" fillId="9" borderId="2" xfId="0" applyNumberFormat="1" applyFill="1" applyBorder="1" applyAlignment="1">
      <alignment horizontal="center" vertical="center"/>
    </xf>
    <xf numFmtId="1" fontId="0" fillId="9" borderId="40" xfId="0" applyNumberFormat="1" applyFill="1" applyBorder="1" applyAlignment="1">
      <alignment horizontal="center" vertical="center"/>
    </xf>
    <xf numFmtId="1" fontId="0" fillId="9" borderId="43" xfId="0" applyNumberFormat="1" applyFill="1" applyBorder="1" applyAlignment="1">
      <alignment horizontal="center" vertical="center"/>
    </xf>
    <xf numFmtId="1" fontId="0" fillId="9" borderId="33" xfId="0" applyNumberFormat="1" applyFill="1" applyBorder="1" applyAlignment="1">
      <alignment horizontal="center" vertical="center"/>
    </xf>
    <xf numFmtId="1" fontId="0" fillId="7" borderId="43" xfId="0" applyNumberFormat="1" applyFill="1" applyBorder="1" applyAlignment="1">
      <alignment horizontal="center" vertical="center"/>
    </xf>
    <xf numFmtId="1" fontId="0" fillId="7" borderId="33" xfId="0" applyNumberFormat="1" applyFill="1" applyBorder="1" applyAlignment="1">
      <alignment horizontal="center" vertical="center"/>
    </xf>
    <xf numFmtId="1" fontId="0" fillId="7" borderId="2" xfId="0" applyNumberFormat="1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1" fontId="0" fillId="7" borderId="40" xfId="0" applyNumberFormat="1" applyFill="1" applyBorder="1" applyAlignment="1">
      <alignment horizontal="center" vertical="center"/>
    </xf>
    <xf numFmtId="1" fontId="0" fillId="12" borderId="43" xfId="0" applyNumberFormat="1" applyFill="1" applyBorder="1" applyAlignment="1">
      <alignment horizontal="center" vertical="center"/>
    </xf>
    <xf numFmtId="1" fontId="0" fillId="12" borderId="33" xfId="0" applyNumberFormat="1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9" borderId="43" xfId="0" applyFill="1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0" fontId="0" fillId="15" borderId="43" xfId="0" applyFill="1" applyBorder="1" applyAlignment="1">
      <alignment horizontal="center" vertical="center"/>
    </xf>
    <xf numFmtId="0" fontId="0" fillId="15" borderId="33" xfId="0" applyFill="1" applyBorder="1" applyAlignment="1">
      <alignment horizontal="center" vertical="center"/>
    </xf>
    <xf numFmtId="1" fontId="0" fillId="15" borderId="2" xfId="0" applyNumberFormat="1" applyFill="1" applyBorder="1" applyAlignment="1">
      <alignment horizontal="center" vertical="center"/>
    </xf>
    <xf numFmtId="14" fontId="0" fillId="15" borderId="2" xfId="0" applyNumberFormat="1" applyFill="1" applyBorder="1" applyAlignment="1">
      <alignment horizontal="center" vertical="center"/>
    </xf>
    <xf numFmtId="0" fontId="0" fillId="15" borderId="40" xfId="0" applyFill="1" applyBorder="1" applyAlignment="1">
      <alignment horizontal="center" vertical="center"/>
    </xf>
    <xf numFmtId="0" fontId="0" fillId="21" borderId="43" xfId="0" applyFill="1" applyBorder="1" applyAlignment="1">
      <alignment horizontal="center" vertical="center"/>
    </xf>
    <xf numFmtId="0" fontId="0" fillId="21" borderId="33" xfId="0" applyFill="1" applyBorder="1" applyAlignment="1">
      <alignment horizontal="center" vertical="center"/>
    </xf>
    <xf numFmtId="1" fontId="0" fillId="21" borderId="2" xfId="0" applyNumberFormat="1" applyFill="1" applyBorder="1" applyAlignment="1">
      <alignment horizontal="center" vertical="center"/>
    </xf>
    <xf numFmtId="14" fontId="0" fillId="21" borderId="2" xfId="0" applyNumberFormat="1" applyFill="1" applyBorder="1" applyAlignment="1">
      <alignment horizontal="center" vertical="center"/>
    </xf>
    <xf numFmtId="0" fontId="0" fillId="21" borderId="40" xfId="0" applyFill="1" applyBorder="1" applyAlignment="1">
      <alignment horizontal="center" vertical="center"/>
    </xf>
    <xf numFmtId="1" fontId="27" fillId="0" borderId="9" xfId="0" applyNumberFormat="1" applyFont="1" applyBorder="1" applyAlignment="1">
      <alignment horizontal="center" vertical="center"/>
    </xf>
    <xf numFmtId="1" fontId="27" fillId="0" borderId="7" xfId="0" applyNumberFormat="1" applyFont="1" applyBorder="1" applyAlignment="1">
      <alignment horizontal="center" vertical="center"/>
    </xf>
    <xf numFmtId="0" fontId="38" fillId="25" borderId="0" xfId="581" applyFont="1" applyFill="1" applyAlignment="1">
      <alignment horizontal="left" vertical="center"/>
    </xf>
    <xf numFmtId="0" fontId="12" fillId="5" borderId="0" xfId="581" applyFont="1" applyFill="1" applyAlignment="1">
      <alignment horizontal="left" vertical="center"/>
    </xf>
    <xf numFmtId="0" fontId="33" fillId="25" borderId="0" xfId="581" applyFont="1" applyFill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33" fillId="2" borderId="81" xfId="0" quotePrefix="1" applyFont="1" applyFill="1" applyBorder="1" applyAlignment="1">
      <alignment horizontal="center" vertical="center" wrapText="1"/>
    </xf>
    <xf numFmtId="0" fontId="36" fillId="0" borderId="69" xfId="0" applyFont="1" applyBorder="1" applyAlignment="1">
      <alignment horizontal="center" vertical="center" wrapText="1"/>
    </xf>
    <xf numFmtId="0" fontId="19" fillId="0" borderId="56" xfId="581" applyFont="1" applyBorder="1" applyAlignment="1">
      <alignment horizontal="right" vertical="center"/>
    </xf>
    <xf numFmtId="0" fontId="31" fillId="14" borderId="41" xfId="0" applyFont="1" applyFill="1" applyBorder="1" applyAlignment="1">
      <alignment horizontal="right" vertical="center" wrapText="1"/>
    </xf>
    <xf numFmtId="0" fontId="40" fillId="14" borderId="46" xfId="0" applyFont="1" applyFill="1" applyBorder="1" applyAlignment="1">
      <alignment vertical="center"/>
    </xf>
    <xf numFmtId="0" fontId="31" fillId="14" borderId="52" xfId="0" applyFont="1" applyFill="1" applyBorder="1" applyAlignment="1">
      <alignment horizontal="right" vertical="center" wrapText="1"/>
    </xf>
    <xf numFmtId="2" fontId="0" fillId="0" borderId="0" xfId="0" applyNumberFormat="1" applyAlignment="1">
      <alignment horizontal="center" vertical="center"/>
    </xf>
    <xf numFmtId="0" fontId="0" fillId="18" borderId="24" xfId="0" quotePrefix="1" applyFill="1" applyBorder="1" applyAlignment="1">
      <alignment horizontal="center" vertical="center"/>
    </xf>
    <xf numFmtId="0" fontId="9" fillId="0" borderId="92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10" fillId="0" borderId="5" xfId="0" applyNumberFormat="1" applyFont="1" applyBorder="1" applyAlignment="1">
      <alignment horizontal="center" vertical="center"/>
    </xf>
    <xf numFmtId="2" fontId="10" fillId="0" borderId="18" xfId="0" applyNumberFormat="1" applyFont="1" applyBorder="1" applyAlignment="1">
      <alignment horizontal="center" vertical="center"/>
    </xf>
    <xf numFmtId="2" fontId="10" fillId="0" borderId="23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10" fillId="0" borderId="14" xfId="0" applyNumberFormat="1" applyFont="1" applyBorder="1" applyAlignment="1">
      <alignment horizontal="center" vertical="center"/>
    </xf>
    <xf numFmtId="2" fontId="10" fillId="0" borderId="22" xfId="0" applyNumberFormat="1" applyFont="1" applyBorder="1" applyAlignment="1">
      <alignment horizontal="center" vertical="center"/>
    </xf>
    <xf numFmtId="0" fontId="9" fillId="0" borderId="93" xfId="0" applyFont="1" applyBorder="1" applyAlignment="1">
      <alignment horizontal="center" vertical="center"/>
    </xf>
    <xf numFmtId="0" fontId="41" fillId="0" borderId="94" xfId="0" applyFont="1" applyBorder="1" applyAlignment="1">
      <alignment horizontal="center" vertical="center"/>
    </xf>
    <xf numFmtId="0" fontId="41" fillId="0" borderId="95" xfId="0" applyFont="1" applyBorder="1" applyAlignment="1">
      <alignment horizontal="center" vertical="center"/>
    </xf>
    <xf numFmtId="0" fontId="41" fillId="0" borderId="93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1" fillId="0" borderId="96" xfId="0" applyFont="1" applyBorder="1" applyAlignment="1">
      <alignment horizontal="center" vertical="center"/>
    </xf>
    <xf numFmtId="0" fontId="41" fillId="0" borderId="97" xfId="0" applyFont="1" applyBorder="1" applyAlignment="1">
      <alignment horizontal="center" vertical="center"/>
    </xf>
    <xf numFmtId="0" fontId="9" fillId="0" borderId="95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2" fillId="0" borderId="0" xfId="581" applyFont="1" applyAlignment="1">
      <alignment horizontal="left" vertical="center"/>
    </xf>
    <xf numFmtId="0" fontId="33" fillId="0" borderId="0" xfId="0" applyFont="1" applyAlignment="1">
      <alignment horizontal="right" vertical="center" wrapText="1"/>
    </xf>
    <xf numFmtId="0" fontId="0" fillId="30" borderId="93" xfId="0" applyFill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0" fillId="16" borderId="100" xfId="0" applyFill="1" applyBorder="1" applyAlignment="1">
      <alignment horizontal="center" vertical="center"/>
    </xf>
    <xf numFmtId="1" fontId="0" fillId="0" borderId="84" xfId="0" applyNumberFormat="1" applyBorder="1" applyAlignment="1">
      <alignment horizontal="center" vertical="center"/>
    </xf>
    <xf numFmtId="1" fontId="0" fillId="0" borderId="101" xfId="0" applyNumberFormat="1" applyBorder="1" applyAlignment="1">
      <alignment horizontal="center" vertical="center"/>
    </xf>
    <xf numFmtId="1" fontId="0" fillId="0" borderId="102" xfId="0" applyNumberFormat="1" applyBorder="1" applyAlignment="1">
      <alignment horizontal="center" vertical="center"/>
    </xf>
    <xf numFmtId="1" fontId="0" fillId="0" borderId="85" xfId="0" applyNumberFormat="1" applyBorder="1" applyAlignment="1">
      <alignment horizontal="center" vertical="center"/>
    </xf>
    <xf numFmtId="1" fontId="0" fillId="0" borderId="103" xfId="0" applyNumberFormat="1" applyBorder="1" applyAlignment="1">
      <alignment horizontal="center" vertical="center"/>
    </xf>
    <xf numFmtId="0" fontId="0" fillId="16" borderId="104" xfId="0" applyFill="1" applyBorder="1" applyAlignment="1">
      <alignment horizontal="center" vertical="center"/>
    </xf>
    <xf numFmtId="1" fontId="0" fillId="0" borderId="105" xfId="0" applyNumberFormat="1" applyBorder="1" applyAlignment="1">
      <alignment horizontal="center" vertical="center"/>
    </xf>
    <xf numFmtId="1" fontId="0" fillId="0" borderId="106" xfId="0" applyNumberFormat="1" applyBorder="1" applyAlignment="1">
      <alignment horizontal="center" vertical="center"/>
    </xf>
    <xf numFmtId="0" fontId="0" fillId="16" borderId="107" xfId="0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5" fillId="6" borderId="102" xfId="0" applyFont="1" applyFill="1" applyBorder="1" applyAlignment="1">
      <alignment horizontal="center" vertical="center"/>
    </xf>
    <xf numFmtId="2" fontId="0" fillId="0" borderId="102" xfId="0" applyNumberFormat="1" applyBorder="1" applyAlignment="1">
      <alignment horizontal="center" vertical="center"/>
    </xf>
    <xf numFmtId="14" fontId="0" fillId="0" borderId="102" xfId="0" applyNumberFormat="1" applyBorder="1" applyAlignment="1">
      <alignment horizontal="center" vertical="center"/>
    </xf>
    <xf numFmtId="0" fontId="5" fillId="8" borderId="102" xfId="0" applyFont="1" applyFill="1" applyBorder="1" applyAlignment="1">
      <alignment horizontal="center" vertical="center"/>
    </xf>
    <xf numFmtId="1" fontId="0" fillId="16" borderId="102" xfId="0" applyNumberFormat="1" applyFill="1" applyBorder="1" applyAlignment="1">
      <alignment horizontal="center" vertical="center"/>
    </xf>
    <xf numFmtId="14" fontId="0" fillId="16" borderId="102" xfId="0" applyNumberFormat="1" applyFill="1" applyBorder="1" applyAlignment="1">
      <alignment horizontal="center" vertical="center"/>
    </xf>
    <xf numFmtId="0" fontId="0" fillId="16" borderId="85" xfId="0" applyFill="1" applyBorder="1" applyAlignment="1">
      <alignment horizontal="center" vertical="center"/>
    </xf>
    <xf numFmtId="0" fontId="0" fillId="16" borderId="108" xfId="0" applyFill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1" fontId="0" fillId="0" borderId="109" xfId="0" applyNumberFormat="1" applyBorder="1" applyAlignment="1">
      <alignment horizontal="center" vertical="center"/>
    </xf>
    <xf numFmtId="1" fontId="0" fillId="0" borderId="9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7" borderId="108" xfId="0" applyFill="1" applyBorder="1" applyAlignment="1">
      <alignment horizontal="center" vertical="center"/>
    </xf>
    <xf numFmtId="0" fontId="0" fillId="17" borderId="32" xfId="0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110" xfId="0" applyFill="1" applyBorder="1" applyAlignment="1">
      <alignment horizontal="center" vertical="center"/>
    </xf>
    <xf numFmtId="1" fontId="0" fillId="0" borderId="111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1" fontId="0" fillId="0" borderId="27" xfId="0" applyNumberFormat="1" applyBorder="1" applyAlignment="1">
      <alignment horizontal="center" vertical="center"/>
    </xf>
    <xf numFmtId="0" fontId="0" fillId="17" borderId="31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0" fontId="5" fillId="0" borderId="11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1" fontId="0" fillId="17" borderId="1" xfId="0" applyNumberFormat="1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 vertical="center"/>
    </xf>
    <xf numFmtId="0" fontId="0" fillId="17" borderId="17" xfId="0" applyFill="1" applyBorder="1" applyAlignment="1">
      <alignment horizontal="center" vertical="center"/>
    </xf>
    <xf numFmtId="0" fontId="0" fillId="16" borderId="112" xfId="0" applyFill="1" applyBorder="1" applyAlignment="1">
      <alignment horizontal="center" vertical="center"/>
    </xf>
    <xf numFmtId="1" fontId="0" fillId="0" borderId="1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114" xfId="0" applyNumberFormat="1" applyBorder="1" applyAlignment="1">
      <alignment horizontal="center" vertical="center"/>
    </xf>
    <xf numFmtId="0" fontId="0" fillId="16" borderId="115" xfId="0" applyFill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0" fontId="0" fillId="16" borderId="53" xfId="0" applyFill="1" applyBorder="1" applyAlignment="1">
      <alignment horizontal="center" vertical="center"/>
    </xf>
    <xf numFmtId="0" fontId="5" fillId="0" borderId="116" xfId="0" applyFont="1" applyBorder="1" applyAlignment="1">
      <alignment horizontal="center" vertical="center"/>
    </xf>
    <xf numFmtId="0" fontId="0" fillId="16" borderId="117" xfId="0" applyFill="1" applyBorder="1" applyAlignment="1">
      <alignment horizontal="center" vertical="center"/>
    </xf>
    <xf numFmtId="0" fontId="0" fillId="17" borderId="118" xfId="0" applyFill="1" applyBorder="1" applyAlignment="1">
      <alignment horizontal="center" vertical="center"/>
    </xf>
    <xf numFmtId="0" fontId="0" fillId="17" borderId="119" xfId="0" applyFill="1" applyBorder="1" applyAlignment="1">
      <alignment horizontal="center" vertical="center"/>
    </xf>
    <xf numFmtId="0" fontId="0" fillId="17" borderId="28" xfId="0" applyFill="1" applyBorder="1" applyAlignment="1">
      <alignment horizontal="center" vertical="center"/>
    </xf>
    <xf numFmtId="0" fontId="5" fillId="0" borderId="113" xfId="0" applyFont="1" applyBorder="1" applyAlignment="1">
      <alignment horizontal="center" vertical="center"/>
    </xf>
    <xf numFmtId="0" fontId="0" fillId="17" borderId="114" xfId="0" applyFill="1" applyBorder="1" applyAlignment="1">
      <alignment horizontal="center" vertical="center"/>
    </xf>
    <xf numFmtId="0" fontId="43" fillId="16" borderId="10" xfId="0" applyFont="1" applyFill="1" applyBorder="1" applyAlignment="1">
      <alignment horizontal="center" vertical="center"/>
    </xf>
    <xf numFmtId="0" fontId="43" fillId="17" borderId="10" xfId="0" applyFont="1" applyFill="1" applyBorder="1" applyAlignment="1">
      <alignment horizontal="center" vertical="center"/>
    </xf>
    <xf numFmtId="0" fontId="0" fillId="12" borderId="108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9" borderId="108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7" borderId="108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15" borderId="108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21" borderId="108" xfId="0" applyFill="1" applyBorder="1" applyAlignment="1">
      <alignment horizontal="center" vertical="center"/>
    </xf>
    <xf numFmtId="0" fontId="0" fillId="21" borderId="32" xfId="0" applyFill="1" applyBorder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0" fontId="44" fillId="9" borderId="108" xfId="0" applyFont="1" applyFill="1" applyBorder="1" applyAlignment="1">
      <alignment horizontal="center" vertical="center"/>
    </xf>
    <xf numFmtId="0" fontId="44" fillId="9" borderId="32" xfId="0" applyFont="1" applyFill="1" applyBorder="1" applyAlignment="1">
      <alignment horizontal="center" vertical="center"/>
    </xf>
    <xf numFmtId="0" fontId="44" fillId="9" borderId="33" xfId="0" applyFont="1" applyFill="1" applyBorder="1" applyAlignment="1">
      <alignment horizontal="center" vertical="center"/>
    </xf>
    <xf numFmtId="167" fontId="44" fillId="9" borderId="10" xfId="0" applyNumberFormat="1" applyFont="1" applyFill="1" applyBorder="1" applyAlignment="1">
      <alignment horizontal="center" vertical="center"/>
    </xf>
    <xf numFmtId="2" fontId="0" fillId="18" borderId="74" xfId="0" applyNumberFormat="1" applyFill="1" applyBorder="1" applyAlignment="1">
      <alignment horizontal="center" vertical="center"/>
    </xf>
    <xf numFmtId="2" fontId="0" fillId="18" borderId="73" xfId="0" applyNumberFormat="1" applyFill="1" applyBorder="1" applyAlignment="1">
      <alignment horizontal="center" vertical="center"/>
    </xf>
    <xf numFmtId="0" fontId="0" fillId="18" borderId="65" xfId="0" applyFill="1" applyBorder="1" applyAlignment="1">
      <alignment horizontal="center" vertical="center"/>
    </xf>
    <xf numFmtId="2" fontId="0" fillId="26" borderId="0" xfId="0" applyNumberFormat="1" applyFill="1" applyAlignment="1">
      <alignment horizontal="center" vertical="center"/>
    </xf>
    <xf numFmtId="2" fontId="0" fillId="26" borderId="48" xfId="0" applyNumberFormat="1" applyFill="1" applyBorder="1" applyAlignment="1">
      <alignment horizontal="center" vertical="center"/>
    </xf>
    <xf numFmtId="0" fontId="0" fillId="26" borderId="63" xfId="0" applyFill="1" applyBorder="1" applyAlignment="1">
      <alignment horizontal="center" vertical="center"/>
    </xf>
    <xf numFmtId="2" fontId="0" fillId="0" borderId="53" xfId="0" applyNumberFormat="1" applyBorder="1" applyAlignment="1">
      <alignment horizontal="center" vertical="center"/>
    </xf>
    <xf numFmtId="2" fontId="0" fillId="0" borderId="52" xfId="0" applyNumberForma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60" xfId="0" quotePrefix="1" applyFont="1" applyBorder="1" applyAlignment="1">
      <alignment horizontal="center" vertical="center"/>
    </xf>
    <xf numFmtId="2" fontId="5" fillId="26" borderId="0" xfId="0" applyNumberFormat="1" applyFont="1" applyFill="1" applyAlignment="1">
      <alignment horizontal="center" vertical="center"/>
    </xf>
    <xf numFmtId="2" fontId="0" fillId="0" borderId="48" xfId="0" applyNumberForma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51" xfId="0" quotePrefix="1" applyFont="1" applyBorder="1" applyAlignment="1">
      <alignment horizontal="center" vertical="center"/>
    </xf>
    <xf numFmtId="0" fontId="5" fillId="0" borderId="23" xfId="0" quotePrefix="1" applyFont="1" applyBorder="1" applyAlignment="1">
      <alignment horizontal="center" vertical="center"/>
    </xf>
    <xf numFmtId="0" fontId="0" fillId="26" borderId="23" xfId="0" quotePrefix="1" applyFill="1" applyBorder="1" applyAlignment="1">
      <alignment horizontal="center" vertical="center"/>
    </xf>
    <xf numFmtId="0" fontId="0" fillId="0" borderId="23" xfId="0" quotePrefix="1" applyBorder="1" applyAlignment="1">
      <alignment horizontal="center" vertical="center"/>
    </xf>
    <xf numFmtId="0" fontId="0" fillId="18" borderId="59" xfId="0" applyFill="1" applyBorder="1" applyAlignment="1">
      <alignment horizontal="center" vertical="center"/>
    </xf>
    <xf numFmtId="0" fontId="0" fillId="18" borderId="57" xfId="0" applyFill="1" applyBorder="1" applyAlignment="1">
      <alignment horizontal="center" vertical="center"/>
    </xf>
    <xf numFmtId="0" fontId="0" fillId="18" borderId="56" xfId="0" applyFill="1" applyBorder="1" applyAlignment="1">
      <alignment horizontal="center" vertical="center"/>
    </xf>
    <xf numFmtId="0" fontId="0" fillId="18" borderId="58" xfId="0" applyFill="1" applyBorder="1" applyAlignment="1">
      <alignment horizontal="center" vertical="center"/>
    </xf>
    <xf numFmtId="1" fontId="0" fillId="0" borderId="120" xfId="0" applyNumberFormat="1" applyBorder="1" applyAlignment="1">
      <alignment horizontal="center" vertical="center"/>
    </xf>
    <xf numFmtId="1" fontId="0" fillId="0" borderId="121" xfId="0" applyNumberForma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2" fillId="5" borderId="12" xfId="581" applyFont="1" applyFill="1" applyBorder="1" applyAlignment="1">
      <alignment horizontal="left" vertical="center"/>
    </xf>
    <xf numFmtId="0" fontId="10" fillId="20" borderId="110" xfId="0" applyFont="1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22" borderId="1" xfId="0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22" xfId="0" applyFont="1" applyFill="1" applyBorder="1" applyAlignment="1">
      <alignment horizontal="left" vertical="center"/>
    </xf>
    <xf numFmtId="0" fontId="5" fillId="3" borderId="123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18" fillId="25" borderId="2" xfId="581" applyFont="1" applyFill="1" applyBorder="1" applyAlignment="1">
      <alignment horizontal="left" vertical="center"/>
    </xf>
    <xf numFmtId="0" fontId="18" fillId="25" borderId="24" xfId="581" applyFont="1" applyFill="1" applyBorder="1" applyAlignment="1">
      <alignment horizontal="left" vertical="center"/>
    </xf>
    <xf numFmtId="0" fontId="12" fillId="5" borderId="10" xfId="581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12" fillId="5" borderId="32" xfId="581" applyFont="1" applyFill="1" applyBorder="1" applyAlignment="1">
      <alignment horizontal="left" vertical="center"/>
    </xf>
    <xf numFmtId="0" fontId="12" fillId="5" borderId="11" xfId="581" applyFont="1" applyFill="1" applyBorder="1" applyAlignment="1">
      <alignment horizontal="left" vertical="center"/>
    </xf>
    <xf numFmtId="0" fontId="12" fillId="5" borderId="3" xfId="581" applyFont="1" applyFill="1" applyBorder="1" applyAlignment="1">
      <alignment horizontal="left" vertical="center"/>
    </xf>
    <xf numFmtId="0" fontId="12" fillId="5" borderId="22" xfId="581" applyFont="1" applyFill="1" applyBorder="1" applyAlignment="1">
      <alignment horizontal="left" vertical="center"/>
    </xf>
    <xf numFmtId="0" fontId="12" fillId="5" borderId="28" xfId="581" applyFont="1" applyFill="1" applyBorder="1" applyAlignment="1">
      <alignment horizontal="left" vertical="center"/>
    </xf>
    <xf numFmtId="0" fontId="0" fillId="25" borderId="1" xfId="581" applyFont="1" applyFill="1" applyBorder="1" applyAlignment="1">
      <alignment horizontal="left" vertical="center"/>
    </xf>
    <xf numFmtId="0" fontId="0" fillId="3" borderId="111" xfId="0" applyFill="1" applyBorder="1" applyAlignment="1">
      <alignment horizontal="left" vertical="center"/>
    </xf>
    <xf numFmtId="0" fontId="5" fillId="5" borderId="10" xfId="581" applyFont="1" applyFill="1" applyBorder="1" applyAlignment="1">
      <alignment horizontal="left" vertical="center"/>
    </xf>
    <xf numFmtId="0" fontId="45" fillId="0" borderId="0" xfId="0" applyFont="1" applyAlignment="1">
      <alignment horizontal="center" vertical="center"/>
    </xf>
    <xf numFmtId="0" fontId="49" fillId="26" borderId="127" xfId="0" applyFont="1" applyFill="1" applyBorder="1" applyAlignment="1">
      <alignment horizontal="right" vertical="center" wrapText="1"/>
    </xf>
    <xf numFmtId="0" fontId="45" fillId="21" borderId="29" xfId="0" quotePrefix="1" applyFont="1" applyFill="1" applyBorder="1" applyAlignment="1">
      <alignment horizontal="center" vertical="center"/>
    </xf>
    <xf numFmtId="0" fontId="45" fillId="15" borderId="33" xfId="0" quotePrefix="1" applyFont="1" applyFill="1" applyBorder="1" applyAlignment="1">
      <alignment horizontal="center" vertical="center"/>
    </xf>
    <xf numFmtId="0" fontId="45" fillId="12" borderId="33" xfId="0" quotePrefix="1" applyFont="1" applyFill="1" applyBorder="1" applyAlignment="1">
      <alignment horizontal="center" vertical="center"/>
    </xf>
    <xf numFmtId="0" fontId="45" fillId="7" borderId="33" xfId="0" quotePrefix="1" applyFont="1" applyFill="1" applyBorder="1" applyAlignment="1">
      <alignment horizontal="center" vertical="center"/>
    </xf>
    <xf numFmtId="0" fontId="45" fillId="9" borderId="33" xfId="0" applyFont="1" applyFill="1" applyBorder="1" applyAlignment="1">
      <alignment horizontal="center" vertical="center"/>
    </xf>
    <xf numFmtId="0" fontId="45" fillId="23" borderId="33" xfId="0" quotePrefix="1" applyFont="1" applyFill="1" applyBorder="1" applyAlignment="1">
      <alignment horizontal="center" vertical="center"/>
    </xf>
    <xf numFmtId="0" fontId="50" fillId="16" borderId="33" xfId="581" quotePrefix="1" applyFont="1" applyFill="1" applyBorder="1" applyAlignment="1">
      <alignment horizontal="center" vertical="center"/>
    </xf>
    <xf numFmtId="0" fontId="50" fillId="0" borderId="30" xfId="581" applyFont="1" applyBorder="1" applyAlignment="1">
      <alignment horizontal="right" vertical="center"/>
    </xf>
    <xf numFmtId="0" fontId="31" fillId="26" borderId="127" xfId="0" applyFont="1" applyFill="1" applyBorder="1" applyAlignment="1">
      <alignment horizontal="right" vertical="center" wrapText="1"/>
    </xf>
    <xf numFmtId="0" fontId="0" fillId="2" borderId="41" xfId="0" applyFill="1" applyBorder="1" applyAlignment="1">
      <alignment horizontal="center" vertical="center" wrapText="1"/>
    </xf>
    <xf numFmtId="0" fontId="0" fillId="24" borderId="33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24" fillId="0" borderId="23" xfId="8200" applyFont="1" applyBorder="1" applyAlignment="1">
      <alignment horizontal="left" vertical="center"/>
    </xf>
    <xf numFmtId="0" fontId="24" fillId="0" borderId="0" xfId="8200" applyFont="1" applyBorder="1" applyAlignment="1">
      <alignment horizontal="left" vertical="center"/>
    </xf>
    <xf numFmtId="0" fontId="35" fillId="0" borderId="23" xfId="8200" applyFont="1" applyBorder="1" applyAlignment="1">
      <alignment horizontal="left" vertical="center"/>
    </xf>
    <xf numFmtId="0" fontId="35" fillId="0" borderId="0" xfId="8200" applyFont="1" applyBorder="1" applyAlignment="1">
      <alignment horizontal="left" vertical="center"/>
    </xf>
    <xf numFmtId="0" fontId="13" fillId="0" borderId="10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30" fillId="22" borderId="2" xfId="0" applyFont="1" applyFill="1" applyBorder="1" applyAlignment="1">
      <alignment horizontal="center" vertical="center"/>
    </xf>
    <xf numFmtId="0" fontId="26" fillId="0" borderId="92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30" fillId="22" borderId="12" xfId="0" applyFont="1" applyFill="1" applyBorder="1" applyAlignment="1">
      <alignment horizontal="center" vertical="center"/>
    </xf>
    <xf numFmtId="0" fontId="25" fillId="0" borderId="92" xfId="0" applyFont="1" applyBorder="1" applyAlignment="1">
      <alignment horizontal="center" vertical="center"/>
    </xf>
    <xf numFmtId="0" fontId="13" fillId="0" borderId="9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6" fillId="22" borderId="2" xfId="0" applyFont="1" applyFill="1" applyBorder="1" applyAlignment="1">
      <alignment horizontal="center" vertical="center"/>
    </xf>
    <xf numFmtId="0" fontId="23" fillId="0" borderId="92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13" fillId="0" borderId="99" xfId="0" applyFont="1" applyBorder="1" applyAlignment="1">
      <alignment horizontal="center" vertical="center"/>
    </xf>
    <xf numFmtId="0" fontId="13" fillId="0" borderId="98" xfId="0" applyFont="1" applyBorder="1" applyAlignment="1">
      <alignment horizontal="center" vertical="center"/>
    </xf>
    <xf numFmtId="0" fontId="45" fillId="0" borderId="10" xfId="0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14" fontId="17" fillId="0" borderId="129" xfId="0" applyNumberFormat="1" applyFont="1" applyBorder="1" applyAlignment="1">
      <alignment horizontal="center" vertical="center" wrapText="1"/>
    </xf>
    <xf numFmtId="14" fontId="17" fillId="0" borderId="128" xfId="0" applyNumberFormat="1" applyFont="1" applyBorder="1" applyAlignment="1">
      <alignment horizontal="center" vertical="center" wrapText="1"/>
    </xf>
    <xf numFmtId="0" fontId="31" fillId="26" borderId="137" xfId="0" applyFont="1" applyFill="1" applyBorder="1" applyAlignment="1">
      <alignment horizontal="right" vertical="center"/>
    </xf>
    <xf numFmtId="0" fontId="31" fillId="26" borderId="127" xfId="0" applyFont="1" applyFill="1" applyBorder="1" applyAlignment="1">
      <alignment horizontal="right" vertical="center"/>
    </xf>
    <xf numFmtId="14" fontId="25" fillId="0" borderId="2" xfId="0" applyNumberFormat="1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14" fontId="30" fillId="22" borderId="2" xfId="0" applyNumberFormat="1" applyFont="1" applyFill="1" applyBorder="1" applyAlignment="1">
      <alignment horizontal="center" vertical="center" wrapText="1"/>
    </xf>
    <xf numFmtId="0" fontId="19" fillId="0" borderId="29" xfId="581" applyFont="1" applyBorder="1" applyAlignment="1">
      <alignment horizontal="center" vertical="center" wrapText="1"/>
    </xf>
    <xf numFmtId="0" fontId="19" fillId="0" borderId="34" xfId="581" applyFont="1" applyBorder="1" applyAlignment="1">
      <alignment horizontal="center" vertical="center" wrapText="1"/>
    </xf>
    <xf numFmtId="0" fontId="9" fillId="22" borderId="35" xfId="0" applyFont="1" applyFill="1" applyBorder="1" applyAlignment="1">
      <alignment horizontal="center" vertical="center"/>
    </xf>
    <xf numFmtId="0" fontId="9" fillId="22" borderId="29" xfId="0" applyFont="1" applyFill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0" fontId="26" fillId="0" borderId="133" xfId="0" applyFont="1" applyBorder="1" applyAlignment="1">
      <alignment horizontal="center" vertical="center" wrapText="1"/>
    </xf>
    <xf numFmtId="0" fontId="26" fillId="0" borderId="132" xfId="0" applyFont="1" applyBorder="1" applyAlignment="1">
      <alignment horizontal="center" vertical="center" wrapText="1"/>
    </xf>
    <xf numFmtId="0" fontId="30" fillId="22" borderId="1" xfId="0" applyFont="1" applyFill="1" applyBorder="1" applyAlignment="1">
      <alignment horizontal="center" vertical="center" wrapText="1"/>
    </xf>
    <xf numFmtId="0" fontId="20" fillId="14" borderId="16" xfId="0" applyFont="1" applyFill="1" applyBorder="1" applyAlignment="1">
      <alignment horizontal="center" vertical="center"/>
    </xf>
    <xf numFmtId="0" fontId="20" fillId="14" borderId="19" xfId="0" applyFont="1" applyFill="1" applyBorder="1" applyAlignment="1">
      <alignment horizontal="center" vertical="center"/>
    </xf>
    <xf numFmtId="0" fontId="13" fillId="14" borderId="19" xfId="0" applyFont="1" applyFill="1" applyBorder="1" applyAlignment="1">
      <alignment horizontal="center" vertical="center"/>
    </xf>
    <xf numFmtId="0" fontId="13" fillId="14" borderId="31" xfId="0" applyFont="1" applyFill="1" applyBorder="1" applyAlignment="1">
      <alignment horizontal="center" vertical="center"/>
    </xf>
    <xf numFmtId="0" fontId="52" fillId="0" borderId="15" xfId="0" applyFont="1" applyBorder="1" applyAlignment="1">
      <alignment horizontal="center" vertical="center" wrapText="1"/>
    </xf>
    <xf numFmtId="0" fontId="52" fillId="0" borderId="21" xfId="0" applyFont="1" applyBorder="1" applyAlignment="1">
      <alignment horizontal="center" vertical="center" wrapText="1"/>
    </xf>
    <xf numFmtId="0" fontId="52" fillId="0" borderId="20" xfId="0" applyFont="1" applyBorder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0" fontId="20" fillId="14" borderId="15" xfId="0" applyFont="1" applyFill="1" applyBorder="1" applyAlignment="1">
      <alignment horizontal="center" vertical="center"/>
    </xf>
    <xf numFmtId="0" fontId="20" fillId="14" borderId="20" xfId="0" applyFont="1" applyFill="1" applyBorder="1" applyAlignment="1">
      <alignment horizontal="center" vertical="center"/>
    </xf>
    <xf numFmtId="0" fontId="13" fillId="14" borderId="20" xfId="0" applyFont="1" applyFill="1" applyBorder="1" applyAlignment="1">
      <alignment horizontal="center" vertical="center"/>
    </xf>
    <xf numFmtId="0" fontId="13" fillId="14" borderId="27" xfId="0" applyFont="1" applyFill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48" fillId="0" borderId="2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47" fillId="22" borderId="2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14" fontId="21" fillId="0" borderId="30" xfId="0" applyNumberFormat="1" applyFont="1" applyBorder="1" applyAlignment="1">
      <alignment horizontal="center" vertical="center" wrapText="1"/>
    </xf>
    <xf numFmtId="14" fontId="21" fillId="0" borderId="12" xfId="0" applyNumberFormat="1" applyFont="1" applyBorder="1" applyAlignment="1">
      <alignment horizontal="center" vertical="center" wrapText="1"/>
    </xf>
    <xf numFmtId="14" fontId="21" fillId="0" borderId="2" xfId="0" applyNumberFormat="1" applyFont="1" applyBorder="1" applyAlignment="1">
      <alignment horizontal="center" vertical="center" wrapText="1"/>
    </xf>
    <xf numFmtId="0" fontId="21" fillId="0" borderId="126" xfId="0" applyFont="1" applyBorder="1" applyAlignment="1">
      <alignment horizontal="center" vertical="center" wrapText="1"/>
    </xf>
    <xf numFmtId="0" fontId="21" fillId="0" borderId="125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14" fontId="17" fillId="0" borderId="2" xfId="0" applyNumberFormat="1" applyFont="1" applyBorder="1" applyAlignment="1">
      <alignment horizontal="center" vertical="center" wrapText="1"/>
    </xf>
    <xf numFmtId="14" fontId="17" fillId="0" borderId="3" xfId="0" applyNumberFormat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31" xfId="0" applyFont="1" applyBorder="1" applyAlignment="1">
      <alignment horizontal="center" vertical="center" wrapText="1"/>
    </xf>
    <xf numFmtId="0" fontId="13" fillId="0" borderId="130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42" fillId="0" borderId="12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9" fillId="0" borderId="70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67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34" fillId="0" borderId="36" xfId="0" applyFont="1" applyBorder="1" applyAlignment="1">
      <alignment horizontal="left" vertical="center"/>
    </xf>
    <xf numFmtId="0" fontId="34" fillId="0" borderId="37" xfId="0" applyFont="1" applyBorder="1" applyAlignment="1">
      <alignment horizontal="left" vertical="center"/>
    </xf>
    <xf numFmtId="0" fontId="34" fillId="0" borderId="46" xfId="0" applyFont="1" applyBorder="1" applyAlignment="1">
      <alignment horizontal="left" vertical="center"/>
    </xf>
    <xf numFmtId="0" fontId="34" fillId="0" borderId="77" xfId="0" applyFont="1" applyBorder="1" applyAlignment="1">
      <alignment horizontal="left" vertical="center"/>
    </xf>
    <xf numFmtId="0" fontId="34" fillId="0" borderId="65" xfId="0" applyFont="1" applyBorder="1" applyAlignment="1">
      <alignment horizontal="left" vertical="center"/>
    </xf>
    <xf numFmtId="0" fontId="34" fillId="0" borderId="66" xfId="0" applyFont="1" applyBorder="1" applyAlignment="1">
      <alignment horizontal="left" vertical="center"/>
    </xf>
    <xf numFmtId="0" fontId="45" fillId="0" borderId="126" xfId="0" applyFont="1" applyBorder="1" applyAlignment="1">
      <alignment horizontal="center" vertical="center"/>
    </xf>
    <xf numFmtId="0" fontId="45" fillId="0" borderId="125" xfId="0" applyFont="1" applyBorder="1" applyAlignment="1">
      <alignment horizontal="center" vertical="center"/>
    </xf>
    <xf numFmtId="0" fontId="45" fillId="0" borderId="12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9" fillId="0" borderId="7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0" fillId="31" borderId="95" xfId="0" applyFill="1" applyBorder="1" applyAlignment="1">
      <alignment horizontal="center" vertical="center"/>
    </xf>
    <xf numFmtId="0" fontId="0" fillId="31" borderId="93" xfId="0" applyFill="1" applyBorder="1" applyAlignment="1">
      <alignment horizontal="center" vertical="center"/>
    </xf>
    <xf numFmtId="0" fontId="22" fillId="19" borderId="25" xfId="0" applyFont="1" applyFill="1" applyBorder="1" applyAlignment="1">
      <alignment horizontal="center" vertical="center"/>
    </xf>
    <xf numFmtId="0" fontId="22" fillId="19" borderId="26" xfId="0" applyFont="1" applyFill="1" applyBorder="1" applyAlignment="1">
      <alignment horizontal="center" vertical="center"/>
    </xf>
    <xf numFmtId="0" fontId="15" fillId="19" borderId="26" xfId="0" applyFont="1" applyFill="1" applyBorder="1" applyAlignment="1">
      <alignment horizontal="center" vertical="center"/>
    </xf>
    <xf numFmtId="0" fontId="15" fillId="19" borderId="20" xfId="0" applyFont="1" applyFill="1" applyBorder="1" applyAlignment="1">
      <alignment horizontal="center" vertical="center"/>
    </xf>
    <xf numFmtId="0" fontId="15" fillId="19" borderId="124" xfId="0" applyFont="1" applyFill="1" applyBorder="1" applyAlignment="1">
      <alignment horizontal="center" vertical="center"/>
    </xf>
    <xf numFmtId="0" fontId="0" fillId="31" borderId="92" xfId="0" applyFill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center"/>
    </xf>
    <xf numFmtId="0" fontId="30" fillId="22" borderId="2" xfId="0" applyFont="1" applyFill="1" applyBorder="1" applyAlignment="1">
      <alignment horizontal="center" vertical="center" wrapText="1"/>
    </xf>
    <xf numFmtId="0" fontId="26" fillId="0" borderId="111" xfId="0" applyFont="1" applyBorder="1" applyAlignment="1">
      <alignment horizontal="center" vertical="center" wrapText="1"/>
    </xf>
    <xf numFmtId="14" fontId="17" fillId="0" borderId="11" xfId="0" applyNumberFormat="1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36" xfId="0" applyFont="1" applyBorder="1" applyAlignment="1">
      <alignment horizontal="center" vertical="center"/>
    </xf>
    <xf numFmtId="0" fontId="14" fillId="0" borderId="135" xfId="0" applyFont="1" applyBorder="1" applyAlignment="1">
      <alignment horizontal="center" vertical="center"/>
    </xf>
    <xf numFmtId="0" fontId="14" fillId="0" borderId="134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32" fillId="0" borderId="21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32" fillId="0" borderId="136" xfId="0" applyFont="1" applyBorder="1" applyAlignment="1">
      <alignment horizontal="center" vertical="center"/>
    </xf>
    <xf numFmtId="0" fontId="32" fillId="0" borderId="135" xfId="0" applyFont="1" applyBorder="1" applyAlignment="1">
      <alignment horizontal="center" vertical="center"/>
    </xf>
    <xf numFmtId="0" fontId="32" fillId="0" borderId="134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0" borderId="11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6" fillId="0" borderId="12" xfId="0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39" fillId="0" borderId="38" xfId="0" applyFont="1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39" fillId="0" borderId="50" xfId="0" applyFont="1" applyBorder="1" applyAlignment="1">
      <alignment horizontal="center" vertical="center" wrapText="1"/>
    </xf>
    <xf numFmtId="0" fontId="53" fillId="0" borderId="52" xfId="0" applyFont="1" applyBorder="1" applyAlignment="1">
      <alignment horizontal="center" vertical="center" wrapText="1"/>
    </xf>
    <xf numFmtId="0" fontId="53" fillId="0" borderId="53" xfId="0" applyFont="1" applyBorder="1" applyAlignment="1">
      <alignment horizontal="center" vertical="center" wrapText="1"/>
    </xf>
    <xf numFmtId="0" fontId="53" fillId="0" borderId="54" xfId="0" applyFont="1" applyBorder="1" applyAlignment="1">
      <alignment horizontal="center" vertical="center" wrapText="1"/>
    </xf>
    <xf numFmtId="0" fontId="53" fillId="0" borderId="56" xfId="0" applyFont="1" applyBorder="1" applyAlignment="1">
      <alignment horizontal="center" vertical="center" wrapText="1"/>
    </xf>
    <xf numFmtId="0" fontId="53" fillId="0" borderId="57" xfId="0" applyFont="1" applyBorder="1" applyAlignment="1">
      <alignment horizontal="center" vertical="center" wrapText="1"/>
    </xf>
    <xf numFmtId="0" fontId="53" fillId="0" borderId="58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79" xfId="0" applyFont="1" applyBorder="1" applyAlignment="1">
      <alignment horizontal="left" vertical="center"/>
    </xf>
    <xf numFmtId="0" fontId="13" fillId="0" borderId="80" xfId="0" applyFont="1" applyBorder="1" applyAlignment="1">
      <alignment horizontal="left" vertical="center"/>
    </xf>
    <xf numFmtId="0" fontId="16" fillId="0" borderId="40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3" fillId="0" borderId="39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37" fillId="22" borderId="82" xfId="0" applyFont="1" applyFill="1" applyBorder="1" applyAlignment="1">
      <alignment horizontal="center" vertical="center"/>
    </xf>
    <xf numFmtId="0" fontId="37" fillId="22" borderId="83" xfId="0" applyFont="1" applyFill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37" fillId="22" borderId="2" xfId="0" applyFont="1" applyFill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37" fillId="22" borderId="11" xfId="0" applyFont="1" applyFill="1" applyBorder="1" applyAlignment="1">
      <alignment horizontal="center" vertical="center"/>
    </xf>
    <xf numFmtId="0" fontId="37" fillId="22" borderId="3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left" vertical="center"/>
    </xf>
    <xf numFmtId="0" fontId="13" fillId="0" borderId="32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39" fillId="0" borderId="91" xfId="0" applyFont="1" applyBorder="1" applyAlignment="1">
      <alignment horizontal="center" vertical="center" wrapText="1"/>
    </xf>
    <xf numFmtId="0" fontId="39" fillId="0" borderId="90" xfId="0" applyFont="1" applyBorder="1" applyAlignment="1">
      <alignment horizontal="center" vertical="center" wrapText="1"/>
    </xf>
    <xf numFmtId="0" fontId="39" fillId="0" borderId="89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</cellXfs>
  <cellStyles count="8203">
    <cellStyle name="20% - Accent3 2" xfId="8120" xr:uid="{00000000-0005-0000-0000-000000000000}"/>
    <cellStyle name="20% - Accent3 3" xfId="8123" xr:uid="{00000000-0005-0000-0000-000001000000}"/>
    <cellStyle name="Followed Hyperlink" xfId="6627" builtinId="9" hidden="1"/>
    <cellStyle name="Followed Hyperlink" xfId="1303" builtinId="9" hidden="1"/>
    <cellStyle name="Followed Hyperlink" xfId="1723" builtinId="9" hidden="1"/>
    <cellStyle name="Followed Hyperlink" xfId="1379" builtinId="9" hidden="1"/>
    <cellStyle name="Followed Hyperlink" xfId="1417" builtinId="9" hidden="1"/>
    <cellStyle name="Followed Hyperlink" xfId="1455" builtinId="9" hidden="1"/>
    <cellStyle name="Followed Hyperlink" xfId="5173" builtinId="9" hidden="1"/>
    <cellStyle name="Followed Hyperlink" xfId="1531" builtinId="9" hidden="1"/>
    <cellStyle name="Followed Hyperlink" xfId="2261" builtinId="9" hidden="1"/>
    <cellStyle name="Followed Hyperlink" xfId="1607" builtinId="9" hidden="1"/>
    <cellStyle name="Followed Hyperlink" xfId="4453" builtinId="9" hidden="1"/>
    <cellStyle name="Followed Hyperlink" xfId="1683" builtinId="9" hidden="1"/>
    <cellStyle name="Followed Hyperlink" xfId="1721" builtinId="9" hidden="1"/>
    <cellStyle name="Followed Hyperlink" xfId="1631" builtinId="9" hidden="1"/>
    <cellStyle name="Followed Hyperlink" xfId="1797" builtinId="9" hidden="1"/>
    <cellStyle name="Followed Hyperlink" xfId="1835" builtinId="9" hidden="1"/>
    <cellStyle name="Followed Hyperlink" xfId="1873" builtinId="9" hidden="1"/>
    <cellStyle name="Followed Hyperlink" xfId="2217" builtinId="9" hidden="1"/>
    <cellStyle name="Followed Hyperlink" xfId="7589" builtinId="9" hidden="1"/>
    <cellStyle name="Followed Hyperlink" xfId="1987" builtinId="9" hidden="1"/>
    <cellStyle name="Followed Hyperlink" xfId="3487" builtinId="9" hidden="1"/>
    <cellStyle name="Followed Hyperlink" xfId="2063" builtinId="9" hidden="1"/>
    <cellStyle name="Followed Hyperlink" xfId="5511" builtinId="9" hidden="1"/>
    <cellStyle name="Followed Hyperlink" xfId="2139" builtinId="9" hidden="1"/>
    <cellStyle name="Followed Hyperlink" xfId="2177" builtinId="9" hidden="1"/>
    <cellStyle name="Followed Hyperlink" xfId="2215" builtinId="9" hidden="1"/>
    <cellStyle name="Followed Hyperlink" xfId="2253" builtinId="9" hidden="1"/>
    <cellStyle name="Followed Hyperlink" xfId="4511" builtinId="9" hidden="1"/>
    <cellStyle name="Followed Hyperlink" xfId="2235" builtinId="9" hidden="1"/>
    <cellStyle name="Followed Hyperlink" xfId="1985" builtinId="9" hidden="1"/>
    <cellStyle name="Followed Hyperlink" xfId="3691" builtinId="9" hidden="1"/>
    <cellStyle name="Followed Hyperlink" xfId="6339" builtinId="9" hidden="1"/>
    <cellStyle name="Followed Hyperlink" xfId="5071" builtinId="9" hidden="1"/>
    <cellStyle name="Followed Hyperlink" xfId="7183" builtinId="9" hidden="1"/>
    <cellStyle name="Followed Hyperlink" xfId="2557" builtinId="9" hidden="1"/>
    <cellStyle name="Followed Hyperlink" xfId="3065" builtinId="9" hidden="1"/>
    <cellStyle name="Followed Hyperlink" xfId="719" builtinId="9" hidden="1"/>
    <cellStyle name="Followed Hyperlink" xfId="2671" builtinId="9" hidden="1"/>
    <cellStyle name="Followed Hyperlink" xfId="3585" builtinId="9" hidden="1"/>
    <cellStyle name="Followed Hyperlink" xfId="3511" builtinId="9" hidden="1"/>
    <cellStyle name="Followed Hyperlink" xfId="2785" builtinId="9" hidden="1"/>
    <cellStyle name="Followed Hyperlink" xfId="2823" builtinId="9" hidden="1"/>
    <cellStyle name="Followed Hyperlink" xfId="4005" builtinId="9" hidden="1"/>
    <cellStyle name="Followed Hyperlink" xfId="2899" builtinId="9" hidden="1"/>
    <cellStyle name="Followed Hyperlink" xfId="2937" builtinId="9" hidden="1"/>
    <cellStyle name="Followed Hyperlink" xfId="2975" builtinId="9" hidden="1"/>
    <cellStyle name="Followed Hyperlink" xfId="3013" builtinId="9" hidden="1"/>
    <cellStyle name="Followed Hyperlink" xfId="5973" builtinId="9" hidden="1"/>
    <cellStyle name="Followed Hyperlink" xfId="3089" builtinId="9" hidden="1"/>
    <cellStyle name="Followed Hyperlink" xfId="3127" builtinId="9" hidden="1"/>
    <cellStyle name="Followed Hyperlink" xfId="3165" builtinId="9" hidden="1"/>
    <cellStyle name="Followed Hyperlink" xfId="4587" builtinId="9" hidden="1"/>
    <cellStyle name="Followed Hyperlink" xfId="3241" builtinId="9" hidden="1"/>
    <cellStyle name="Followed Hyperlink" xfId="3279" builtinId="9" hidden="1"/>
    <cellStyle name="Followed Hyperlink" xfId="905" builtinId="9" hidden="1"/>
    <cellStyle name="Followed Hyperlink" xfId="7413" builtinId="9" hidden="1"/>
    <cellStyle name="Followed Hyperlink" xfId="4903" builtinId="9" hidden="1"/>
    <cellStyle name="Followed Hyperlink" xfId="3431" builtinId="9" hidden="1"/>
    <cellStyle name="Followed Hyperlink" xfId="3469" builtinId="9" hidden="1"/>
    <cellStyle name="Followed Hyperlink" xfId="3507" builtinId="9" hidden="1"/>
    <cellStyle name="Followed Hyperlink" xfId="3545" builtinId="9" hidden="1"/>
    <cellStyle name="Followed Hyperlink" xfId="3327" builtinId="9" hidden="1"/>
    <cellStyle name="Followed Hyperlink" xfId="3411" builtinId="9" hidden="1"/>
    <cellStyle name="Followed Hyperlink" xfId="3659" builtinId="9" hidden="1"/>
    <cellStyle name="Followed Hyperlink" xfId="3697" builtinId="9" hidden="1"/>
    <cellStyle name="Followed Hyperlink" xfId="3735" builtinId="9" hidden="1"/>
    <cellStyle name="Followed Hyperlink" xfId="3773" builtinId="9" hidden="1"/>
    <cellStyle name="Followed Hyperlink" xfId="3811" builtinId="9" hidden="1"/>
    <cellStyle name="Followed Hyperlink" xfId="7259" builtinId="9" hidden="1"/>
    <cellStyle name="Followed Hyperlink" xfId="4499" builtinId="9" hidden="1"/>
    <cellStyle name="Followed Hyperlink" xfId="3925" builtinId="9" hidden="1"/>
    <cellStyle name="Followed Hyperlink" xfId="1141" builtinId="9" hidden="1"/>
    <cellStyle name="Followed Hyperlink" xfId="7375" builtinId="9" hidden="1"/>
    <cellStyle name="Followed Hyperlink" xfId="4039" builtinId="9" hidden="1"/>
    <cellStyle name="Followed Hyperlink" xfId="4077" builtinId="9" hidden="1"/>
    <cellStyle name="Followed Hyperlink" xfId="7039" builtinId="9" hidden="1"/>
    <cellStyle name="Followed Hyperlink" xfId="4153" builtinId="9" hidden="1"/>
    <cellStyle name="Followed Hyperlink" xfId="4191" builtinId="9" hidden="1"/>
    <cellStyle name="Followed Hyperlink" xfId="1565" builtinId="9" hidden="1"/>
    <cellStyle name="Followed Hyperlink" xfId="5297" builtinId="9" hidden="1"/>
    <cellStyle name="Followed Hyperlink" xfId="4305" builtinId="9" hidden="1"/>
    <cellStyle name="Followed Hyperlink" xfId="4343" builtinId="9" hidden="1"/>
    <cellStyle name="Followed Hyperlink" xfId="4381" builtinId="9" hidden="1"/>
    <cellStyle name="Followed Hyperlink" xfId="4419" builtinId="9" hidden="1"/>
    <cellStyle name="Followed Hyperlink" xfId="4457" builtinId="9" hidden="1"/>
    <cellStyle name="Followed Hyperlink" xfId="4495" builtinId="9" hidden="1"/>
    <cellStyle name="Followed Hyperlink" xfId="3255" builtinId="9" hidden="1"/>
    <cellStyle name="Followed Hyperlink" xfId="4571" builtinId="9" hidden="1"/>
    <cellStyle name="Followed Hyperlink" xfId="1485" builtinId="9" hidden="1"/>
    <cellStyle name="Followed Hyperlink" xfId="7297" builtinId="9" hidden="1"/>
    <cellStyle name="Followed Hyperlink" xfId="8153" builtinId="9" hidden="1"/>
    <cellStyle name="Followed Hyperlink" xfId="4535" builtinId="9" hidden="1"/>
    <cellStyle name="Followed Hyperlink" xfId="7605" builtinId="9" hidden="1"/>
    <cellStyle name="Followed Hyperlink" xfId="4035" builtinId="9" hidden="1"/>
    <cellStyle name="Followed Hyperlink" xfId="4475" builtinId="9" hidden="1"/>
    <cellStyle name="Followed Hyperlink" xfId="7447" builtinId="9" hidden="1"/>
    <cellStyle name="Followed Hyperlink" xfId="1345" builtinId="9" hidden="1"/>
    <cellStyle name="Followed Hyperlink" xfId="3641" builtinId="9" hidden="1"/>
    <cellStyle name="Followed Hyperlink" xfId="7597" builtinId="9" hidden="1"/>
    <cellStyle name="Followed Hyperlink" xfId="6177" builtinId="9" hidden="1"/>
    <cellStyle name="Followed Hyperlink" xfId="8031" builtinId="9" hidden="1"/>
    <cellStyle name="Followed Hyperlink" xfId="1953" builtinId="9" hidden="1"/>
    <cellStyle name="Followed Hyperlink" xfId="5141" builtinId="9" hidden="1"/>
    <cellStyle name="Followed Hyperlink" xfId="5179" builtinId="9" hidden="1"/>
    <cellStyle name="Followed Hyperlink" xfId="2559" builtinId="9" hidden="1"/>
    <cellStyle name="Followed Hyperlink" xfId="6195" builtinId="9" hidden="1"/>
    <cellStyle name="Followed Hyperlink" xfId="817" builtinId="9" hidden="1"/>
    <cellStyle name="Followed Hyperlink" xfId="1503" builtinId="9" hidden="1"/>
    <cellStyle name="Followed Hyperlink" xfId="5647" builtinId="9" hidden="1"/>
    <cellStyle name="Followed Hyperlink" xfId="5407" builtinId="9" hidden="1"/>
    <cellStyle name="Followed Hyperlink" xfId="7185" builtinId="9" hidden="1"/>
    <cellStyle name="Followed Hyperlink" xfId="7235" builtinId="9" hidden="1"/>
    <cellStyle name="Followed Hyperlink" xfId="5521" builtinId="9" hidden="1"/>
    <cellStyle name="Followed Hyperlink" xfId="7087" builtinId="9" hidden="1"/>
    <cellStyle name="Followed Hyperlink" xfId="8085" builtinId="9" hidden="1"/>
    <cellStyle name="Followed Hyperlink" xfId="5635" builtinId="9" hidden="1"/>
    <cellStyle name="Followed Hyperlink" xfId="5673" builtinId="9" hidden="1"/>
    <cellStyle name="Followed Hyperlink" xfId="5711" builtinId="9" hidden="1"/>
    <cellStyle name="Followed Hyperlink" xfId="5749" builtinId="9" hidden="1"/>
    <cellStyle name="Followed Hyperlink" xfId="8075" builtinId="9" hidden="1"/>
    <cellStyle name="Followed Hyperlink" xfId="1063" builtinId="9" hidden="1"/>
    <cellStyle name="Followed Hyperlink" xfId="5863" builtinId="9" hidden="1"/>
    <cellStyle name="Followed Hyperlink" xfId="5901" builtinId="9" hidden="1"/>
    <cellStyle name="Followed Hyperlink" xfId="5939" builtinId="9" hidden="1"/>
    <cellStyle name="Followed Hyperlink" xfId="3611" builtinId="9" hidden="1"/>
    <cellStyle name="Followed Hyperlink" xfId="6015" builtinId="9" hidden="1"/>
    <cellStyle name="Followed Hyperlink" xfId="6053" builtinId="9" hidden="1"/>
    <cellStyle name="Followed Hyperlink" xfId="6091" builtinId="9" hidden="1"/>
    <cellStyle name="Followed Hyperlink" xfId="6129" builtinId="9" hidden="1"/>
    <cellStyle name="Followed Hyperlink" xfId="4373" builtinId="9" hidden="1"/>
    <cellStyle name="Followed Hyperlink" xfId="246" builtinId="9" hidden="1"/>
    <cellStyle name="Followed Hyperlink" xfId="6243" builtinId="9" hidden="1"/>
    <cellStyle name="Followed Hyperlink" xfId="6281" builtinId="9" hidden="1"/>
    <cellStyle name="Followed Hyperlink" xfId="6319" builtinId="9" hidden="1"/>
    <cellStyle name="Followed Hyperlink" xfId="6357" builtinId="9" hidden="1"/>
    <cellStyle name="Followed Hyperlink" xfId="6395" builtinId="9" hidden="1"/>
    <cellStyle name="Followed Hyperlink" xfId="7817" builtinId="9" hidden="1"/>
    <cellStyle name="Followed Hyperlink" xfId="7145" builtinId="9" hidden="1"/>
    <cellStyle name="Followed Hyperlink" xfId="6509" builtinId="9" hidden="1"/>
    <cellStyle name="Followed Hyperlink" xfId="6547" builtinId="9" hidden="1"/>
    <cellStyle name="Followed Hyperlink" xfId="6585" builtinId="9" hidden="1"/>
    <cellStyle name="Followed Hyperlink" xfId="6623" builtinId="9" hidden="1"/>
    <cellStyle name="Followed Hyperlink" xfId="6661" builtinId="9" hidden="1"/>
    <cellStyle name="Followed Hyperlink" xfId="1875" builtinId="9" hidden="1"/>
    <cellStyle name="Followed Hyperlink" xfId="6737" builtinId="9" hidden="1"/>
    <cellStyle name="Followed Hyperlink" xfId="1493" builtinId="9" hidden="1"/>
    <cellStyle name="Followed Hyperlink" xfId="3795" builtinId="9" hidden="1"/>
    <cellStyle name="Followed Hyperlink" xfId="6513" builtinId="9" hidden="1"/>
    <cellStyle name="Followed Hyperlink" xfId="6889" builtinId="9" hidden="1"/>
    <cellStyle name="Followed Hyperlink" xfId="6927" builtinId="9" hidden="1"/>
    <cellStyle name="Followed Hyperlink" xfId="3025" builtinId="9" hidden="1"/>
    <cellStyle name="Followed Hyperlink" xfId="7003" builtinId="9" hidden="1"/>
    <cellStyle name="Followed Hyperlink" xfId="7041" builtinId="9" hidden="1"/>
    <cellStyle name="Followed Hyperlink" xfId="7079" builtinId="9" hidden="1"/>
    <cellStyle name="Followed Hyperlink" xfId="6613" builtinId="9" hidden="1"/>
    <cellStyle name="Followed Hyperlink" xfId="7155" builtinId="9" hidden="1"/>
    <cellStyle name="Followed Hyperlink" xfId="5923" builtinId="9" hidden="1"/>
    <cellStyle name="Followed Hyperlink" xfId="6719" builtinId="9" hidden="1"/>
    <cellStyle name="Followed Hyperlink" xfId="2787" builtinId="9" hidden="1"/>
    <cellStyle name="Followed Hyperlink" xfId="6887" builtinId="9" hidden="1"/>
    <cellStyle name="Followed Hyperlink" xfId="6825" builtinId="9" hidden="1"/>
    <cellStyle name="Followed Hyperlink" xfId="7383" builtinId="9" hidden="1"/>
    <cellStyle name="Followed Hyperlink" xfId="414" builtinId="9" hidden="1"/>
    <cellStyle name="Followed Hyperlink" xfId="7459" builtinId="9" hidden="1"/>
    <cellStyle name="Followed Hyperlink" xfId="7497" builtinId="9" hidden="1"/>
    <cellStyle name="Followed Hyperlink" xfId="7535" builtinId="9" hidden="1"/>
    <cellStyle name="Followed Hyperlink" xfId="7037" builtinId="9" hidden="1"/>
    <cellStyle name="Followed Hyperlink" xfId="7611" builtinId="9" hidden="1"/>
    <cellStyle name="Followed Hyperlink" xfId="7649" builtinId="9" hidden="1"/>
    <cellStyle name="Followed Hyperlink" xfId="7687" builtinId="9" hidden="1"/>
    <cellStyle name="Followed Hyperlink" xfId="7725" builtinId="9" hidden="1"/>
    <cellStyle name="Followed Hyperlink" xfId="1801" builtinId="9" hidden="1"/>
    <cellStyle name="Followed Hyperlink" xfId="2529" builtinId="9" hidden="1"/>
    <cellStyle name="Followed Hyperlink" xfId="7321" builtinId="9" hidden="1"/>
    <cellStyle name="Followed Hyperlink" xfId="2329" builtinId="9" hidden="1"/>
    <cellStyle name="Followed Hyperlink" xfId="7915" builtinId="9" hidden="1"/>
    <cellStyle name="Followed Hyperlink" xfId="7953" builtinId="9" hidden="1"/>
    <cellStyle name="Followed Hyperlink" xfId="2347" builtinId="9" hidden="1"/>
    <cellStyle name="Followed Hyperlink" xfId="5529" builtinId="9" hidden="1"/>
    <cellStyle name="Followed Hyperlink" xfId="1569" builtinId="9" hidden="1"/>
    <cellStyle name="Followed Hyperlink" xfId="8105" builtinId="9" hidden="1"/>
    <cellStyle name="Followed Hyperlink" xfId="8147" builtinId="9" hidden="1"/>
    <cellStyle name="Followed Hyperlink" xfId="8185" builtinId="9" hidden="1"/>
    <cellStyle name="Followed Hyperlink" xfId="8169" builtinId="9" hidden="1"/>
    <cellStyle name="Followed Hyperlink" xfId="5917" builtinId="9" hidden="1"/>
    <cellStyle name="Followed Hyperlink" xfId="2241" builtinId="9" hidden="1"/>
    <cellStyle name="Followed Hyperlink" xfId="3941" builtinId="9" hidden="1"/>
    <cellStyle name="Followed Hyperlink" xfId="8013" builtinId="9" hidden="1"/>
    <cellStyle name="Followed Hyperlink" xfId="585" builtinId="9" hidden="1"/>
    <cellStyle name="Followed Hyperlink" xfId="7937" builtinId="9" hidden="1"/>
    <cellStyle name="Followed Hyperlink" xfId="7899" builtinId="9" hidden="1"/>
    <cellStyle name="Followed Hyperlink" xfId="3195" builtinId="9" hidden="1"/>
    <cellStyle name="Followed Hyperlink" xfId="6245" builtinId="9" hidden="1"/>
    <cellStyle name="Followed Hyperlink" xfId="5725" builtinId="9" hidden="1"/>
    <cellStyle name="Followed Hyperlink" xfId="4673" builtinId="9" hidden="1"/>
    <cellStyle name="Followed Hyperlink" xfId="7709" builtinId="9" hidden="1"/>
    <cellStyle name="Followed Hyperlink" xfId="6905" builtinId="9" hidden="1"/>
    <cellStyle name="Followed Hyperlink" xfId="7633" builtinId="9" hidden="1"/>
    <cellStyle name="Followed Hyperlink" xfId="1911" builtinId="9" hidden="1"/>
    <cellStyle name="Followed Hyperlink" xfId="7557" builtinId="9" hidden="1"/>
    <cellStyle name="Followed Hyperlink" xfId="7519" builtinId="9" hidden="1"/>
    <cellStyle name="Followed Hyperlink" xfId="7481" builtinId="9" hidden="1"/>
    <cellStyle name="Followed Hyperlink" xfId="4151" builtinId="9" hidden="1"/>
    <cellStyle name="Followed Hyperlink" xfId="7405" builtinId="9" hidden="1"/>
    <cellStyle name="Followed Hyperlink" xfId="7367" builtinId="9" hidden="1"/>
    <cellStyle name="Followed Hyperlink" xfId="7329" builtinId="9" hidden="1"/>
    <cellStyle name="Followed Hyperlink" xfId="7291" builtinId="9" hidden="1"/>
    <cellStyle name="Followed Hyperlink" xfId="6575" builtinId="9" hidden="1"/>
    <cellStyle name="Followed Hyperlink" xfId="5387" builtinId="9" hidden="1"/>
    <cellStyle name="Followed Hyperlink" xfId="7177" builtinId="9" hidden="1"/>
    <cellStyle name="Followed Hyperlink" xfId="7139" builtinId="9" hidden="1"/>
    <cellStyle name="Followed Hyperlink" xfId="3035" builtinId="9" hidden="1"/>
    <cellStyle name="Followed Hyperlink" xfId="713" builtinId="9" hidden="1"/>
    <cellStyle name="Followed Hyperlink" xfId="1725" builtinId="9" hidden="1"/>
    <cellStyle name="Followed Hyperlink" xfId="6987" builtinId="9" hidden="1"/>
    <cellStyle name="Followed Hyperlink" xfId="58" builtinId="9" hidden="1"/>
    <cellStyle name="Followed Hyperlink" xfId="6911" builtinId="9" hidden="1"/>
    <cellStyle name="Followed Hyperlink" xfId="7249" builtinId="9" hidden="1"/>
    <cellStyle name="Followed Hyperlink" xfId="6835" builtinId="9" hidden="1"/>
    <cellStyle name="Followed Hyperlink" xfId="1109" builtinId="9" hidden="1"/>
    <cellStyle name="Followed Hyperlink" xfId="4987" builtinId="9" hidden="1"/>
    <cellStyle name="Followed Hyperlink" xfId="8139" builtinId="9" hidden="1"/>
    <cellStyle name="Followed Hyperlink" xfId="3903" builtinId="9" hidden="1"/>
    <cellStyle name="Followed Hyperlink" xfId="7369" builtinId="9" hidden="1"/>
    <cellStyle name="Followed Hyperlink" xfId="1039" builtinId="9" hidden="1"/>
    <cellStyle name="Followed Hyperlink" xfId="1425" builtinId="9" hidden="1"/>
    <cellStyle name="Followed Hyperlink" xfId="6531" builtinId="9" hidden="1"/>
    <cellStyle name="Followed Hyperlink" xfId="2755" builtinId="9" hidden="1"/>
    <cellStyle name="Followed Hyperlink" xfId="7045" builtinId="9" hidden="1"/>
    <cellStyle name="Followed Hyperlink" xfId="7347" builtinId="9" hidden="1"/>
    <cellStyle name="Followed Hyperlink" xfId="2495" builtinId="9" hidden="1"/>
    <cellStyle name="Followed Hyperlink" xfId="1125" builtinId="9" hidden="1"/>
    <cellStyle name="Followed Hyperlink" xfId="6303" builtinId="9" hidden="1"/>
    <cellStyle name="Followed Hyperlink" xfId="3965" builtinId="9" hidden="1"/>
    <cellStyle name="Followed Hyperlink" xfId="6227" builtinId="9" hidden="1"/>
    <cellStyle name="Followed Hyperlink" xfId="256" builtinId="9" hidden="1"/>
    <cellStyle name="Followed Hyperlink" xfId="6151" builtinId="9" hidden="1"/>
    <cellStyle name="Followed Hyperlink" xfId="3971" builtinId="9" hidden="1"/>
    <cellStyle name="Followed Hyperlink" xfId="6075" builtinId="9" hidden="1"/>
    <cellStyle name="Followed Hyperlink" xfId="6037" builtinId="9" hidden="1"/>
    <cellStyle name="Followed Hyperlink" xfId="6761" builtinId="9" hidden="1"/>
    <cellStyle name="Followed Hyperlink" xfId="5961" builtinId="9" hidden="1"/>
    <cellStyle name="Followed Hyperlink" xfId="7499" builtinId="9" hidden="1"/>
    <cellStyle name="Followed Hyperlink" xfId="5183" builtinId="9" hidden="1"/>
    <cellStyle name="Followed Hyperlink" xfId="4491" builtinId="9" hidden="1"/>
    <cellStyle name="Followed Hyperlink" xfId="3929" builtinId="9" hidden="1"/>
    <cellStyle name="Followed Hyperlink" xfId="5771" builtinId="9" hidden="1"/>
    <cellStyle name="Followed Hyperlink" xfId="1699" builtinId="9" hidden="1"/>
    <cellStyle name="Followed Hyperlink" xfId="7743" builtinId="9" hidden="1"/>
    <cellStyle name="Followed Hyperlink" xfId="3071" builtinId="9" hidden="1"/>
    <cellStyle name="Followed Hyperlink" xfId="8179" builtinId="9" hidden="1"/>
    <cellStyle name="Followed Hyperlink" xfId="5025" builtinId="9" hidden="1"/>
    <cellStyle name="Followed Hyperlink" xfId="5543" builtinId="9" hidden="1"/>
    <cellStyle name="Followed Hyperlink" xfId="5505" builtinId="9" hidden="1"/>
    <cellStyle name="Followed Hyperlink" xfId="5467" builtinId="9" hidden="1"/>
    <cellStyle name="Followed Hyperlink" xfId="1949" builtinId="9" hidden="1"/>
    <cellStyle name="Followed Hyperlink" xfId="5391" builtinId="9" hidden="1"/>
    <cellStyle name="Followed Hyperlink" xfId="1849" builtinId="9" hidden="1"/>
    <cellStyle name="Followed Hyperlink" xfId="6713" builtinId="9" hidden="1"/>
    <cellStyle name="Followed Hyperlink" xfId="5277" builtinId="9" hidden="1"/>
    <cellStyle name="Followed Hyperlink" xfId="3881" builtinId="9" hidden="1"/>
    <cellStyle name="Followed Hyperlink" xfId="2145" builtinId="9" hidden="1"/>
    <cellStyle name="Followed Hyperlink" xfId="5163" builtinId="9" hidden="1"/>
    <cellStyle name="Followed Hyperlink" xfId="148" builtinId="9" hidden="1"/>
    <cellStyle name="Followed Hyperlink" xfId="5203" builtinId="9" hidden="1"/>
    <cellStyle name="Followed Hyperlink" xfId="5049" builtinId="9" hidden="1"/>
    <cellStyle name="Followed Hyperlink" xfId="5011" builtinId="9" hidden="1"/>
    <cellStyle name="Followed Hyperlink" xfId="4973" builtinId="9" hidden="1"/>
    <cellStyle name="Followed Hyperlink" xfId="4935" builtinId="9" hidden="1"/>
    <cellStyle name="Followed Hyperlink" xfId="4897" builtinId="9" hidden="1"/>
    <cellStyle name="Followed Hyperlink" xfId="4859" builtinId="9" hidden="1"/>
    <cellStyle name="Followed Hyperlink" xfId="4821" builtinId="9" hidden="1"/>
    <cellStyle name="Followed Hyperlink" xfId="4783" builtinId="9" hidden="1"/>
    <cellStyle name="Followed Hyperlink" xfId="168" builtinId="9" hidden="1"/>
    <cellStyle name="Followed Hyperlink" xfId="2375" builtinId="9" hidden="1"/>
    <cellStyle name="Followed Hyperlink" xfId="2191" builtinId="9" hidden="1"/>
    <cellStyle name="Followed Hyperlink" xfId="4913" builtinId="9" hidden="1"/>
    <cellStyle name="Followed Hyperlink" xfId="4593" builtinId="9" hidden="1"/>
    <cellStyle name="Followed Hyperlink" xfId="2947" builtinId="9" hidden="1"/>
    <cellStyle name="Followed Hyperlink" xfId="4517" builtinId="9" hidden="1"/>
    <cellStyle name="Followed Hyperlink" xfId="4479" builtinId="9" hidden="1"/>
    <cellStyle name="Followed Hyperlink" xfId="4441" builtinId="9" hidden="1"/>
    <cellStyle name="Followed Hyperlink" xfId="4403" builtinId="9" hidden="1"/>
    <cellStyle name="Followed Hyperlink" xfId="7287" builtinId="9" hidden="1"/>
    <cellStyle name="Followed Hyperlink" xfId="3087" builtinId="9" hidden="1"/>
    <cellStyle name="Followed Hyperlink" xfId="4289" builtinId="9" hidden="1"/>
    <cellStyle name="Followed Hyperlink" xfId="7673" builtinId="9" hidden="1"/>
    <cellStyle name="Followed Hyperlink" xfId="4213" builtinId="9" hidden="1"/>
    <cellStyle name="Followed Hyperlink" xfId="6755" builtinId="9" hidden="1"/>
    <cellStyle name="Followed Hyperlink" xfId="4137" builtinId="9" hidden="1"/>
    <cellStyle name="Followed Hyperlink" xfId="4099" builtinId="9" hidden="1"/>
    <cellStyle name="Followed Hyperlink" xfId="4061" builtinId="9" hidden="1"/>
    <cellStyle name="Followed Hyperlink" xfId="4023" builtinId="9" hidden="1"/>
    <cellStyle name="Followed Hyperlink" xfId="7573" builtinId="9" hidden="1"/>
    <cellStyle name="Followed Hyperlink" xfId="3947" builtinId="9" hidden="1"/>
    <cellStyle name="Followed Hyperlink" xfId="558" builtinId="9" hidden="1"/>
    <cellStyle name="Followed Hyperlink" xfId="3871" builtinId="9" hidden="1"/>
    <cellStyle name="Followed Hyperlink" xfId="3833" builtinId="9" hidden="1"/>
    <cellStyle name="Followed Hyperlink" xfId="3627" builtinId="9" hidden="1"/>
    <cellStyle name="Followed Hyperlink" xfId="3757" builtinId="9" hidden="1"/>
    <cellStyle name="Followed Hyperlink" xfId="3719" builtinId="9" hidden="1"/>
    <cellStyle name="Followed Hyperlink" xfId="3681" builtinId="9" hidden="1"/>
    <cellStyle name="Followed Hyperlink" xfId="3643" builtinId="9" hidden="1"/>
    <cellStyle name="Followed Hyperlink" xfId="3605" builtinId="9" hidden="1"/>
    <cellStyle name="Followed Hyperlink" xfId="1113" builtinId="9" hidden="1"/>
    <cellStyle name="Followed Hyperlink" xfId="3529" builtinId="9" hidden="1"/>
    <cellStyle name="Followed Hyperlink" xfId="3491" builtinId="9" hidden="1"/>
    <cellStyle name="Followed Hyperlink" xfId="685" builtinId="9" hidden="1"/>
    <cellStyle name="Followed Hyperlink" xfId="5783" builtinId="9" hidden="1"/>
    <cellStyle name="Followed Hyperlink" xfId="2029" builtinId="9" hidden="1"/>
    <cellStyle name="Followed Hyperlink" xfId="2583" builtinId="9" hidden="1"/>
    <cellStyle name="Followed Hyperlink" xfId="3301" builtinId="9" hidden="1"/>
    <cellStyle name="Followed Hyperlink" xfId="5185" builtinId="9" hidden="1"/>
    <cellStyle name="Followed Hyperlink" xfId="3225" builtinId="9" hidden="1"/>
    <cellStyle name="Followed Hyperlink" xfId="3187" builtinId="9" hidden="1"/>
    <cellStyle name="Followed Hyperlink" xfId="3149" builtinId="9" hidden="1"/>
    <cellStyle name="Followed Hyperlink" xfId="3111" builtinId="9" hidden="1"/>
    <cellStyle name="Followed Hyperlink" xfId="3073" builtinId="9" hidden="1"/>
    <cellStyle name="Followed Hyperlink" xfId="8067" builtinId="9" hidden="1"/>
    <cellStyle name="Followed Hyperlink" xfId="2997" builtinId="9" hidden="1"/>
    <cellStyle name="Followed Hyperlink" xfId="2507" builtinId="9" hidden="1"/>
    <cellStyle name="Followed Hyperlink" xfId="3815" builtinId="9" hidden="1"/>
    <cellStyle name="Followed Hyperlink" xfId="4389" builtinId="9" hidden="1"/>
    <cellStyle name="Followed Hyperlink" xfId="2845" builtinId="9" hidden="1"/>
    <cellStyle name="Followed Hyperlink" xfId="2807" builtinId="9" hidden="1"/>
    <cellStyle name="Followed Hyperlink" xfId="3051" builtinId="9" hidden="1"/>
    <cellStyle name="Followed Hyperlink" xfId="1471" builtinId="9" hidden="1"/>
    <cellStyle name="Followed Hyperlink" xfId="7655" builtinId="9" hidden="1"/>
    <cellStyle name="Followed Hyperlink" xfId="2655" builtinId="9" hidden="1"/>
    <cellStyle name="Followed Hyperlink" xfId="3293" builtinId="9" hidden="1"/>
    <cellStyle name="Followed Hyperlink" xfId="2579" builtinId="9" hidden="1"/>
    <cellStyle name="Followed Hyperlink" xfId="2541" builtinId="9" hidden="1"/>
    <cellStyle name="Followed Hyperlink" xfId="3023" builtinId="9" hidden="1"/>
    <cellStyle name="Followed Hyperlink" xfId="2465" builtinId="9" hidden="1"/>
    <cellStyle name="Followed Hyperlink" xfId="3059" builtinId="9" hidden="1"/>
    <cellStyle name="Followed Hyperlink" xfId="6115" builtinId="9" hidden="1"/>
    <cellStyle name="Followed Hyperlink" xfId="1971" builtinId="9" hidden="1"/>
    <cellStyle name="Followed Hyperlink" xfId="2313" builtinId="9" hidden="1"/>
    <cellStyle name="Followed Hyperlink" xfId="5235" builtinId="9" hidden="1"/>
    <cellStyle name="Followed Hyperlink" xfId="2237" builtinId="9" hidden="1"/>
    <cellStyle name="Followed Hyperlink" xfId="2199" builtinId="9" hidden="1"/>
    <cellStyle name="Followed Hyperlink" xfId="2161" builtinId="9" hidden="1"/>
    <cellStyle name="Followed Hyperlink" xfId="1187" builtinId="9" hidden="1"/>
    <cellStyle name="Followed Hyperlink" xfId="3093" builtinId="9" hidden="1"/>
    <cellStyle name="Followed Hyperlink" xfId="1517" builtinId="9" hidden="1"/>
    <cellStyle name="Followed Hyperlink" xfId="2009" builtinId="9" hidden="1"/>
    <cellStyle name="Followed Hyperlink" xfId="7853" builtinId="9" hidden="1"/>
    <cellStyle name="Followed Hyperlink" xfId="4473" builtinId="9" hidden="1"/>
    <cellStyle name="Followed Hyperlink" xfId="6145" builtinId="9" hidden="1"/>
    <cellStyle name="Followed Hyperlink" xfId="2881" builtinId="9" hidden="1"/>
    <cellStyle name="Followed Hyperlink" xfId="170" builtinId="9" hidden="1"/>
    <cellStyle name="Followed Hyperlink" xfId="5639" builtinId="9" hidden="1"/>
    <cellStyle name="Followed Hyperlink" xfId="5117" builtinId="9" hidden="1"/>
    <cellStyle name="Followed Hyperlink" xfId="2545" builtinId="9" hidden="1"/>
    <cellStyle name="Followed Hyperlink" xfId="2645" builtinId="9" hidden="1"/>
    <cellStyle name="Followed Hyperlink" xfId="2669" builtinId="9" hidden="1"/>
    <cellStyle name="Followed Hyperlink" xfId="1591" builtinId="9" hidden="1"/>
    <cellStyle name="Followed Hyperlink" xfId="1553" builtinId="9" hidden="1"/>
    <cellStyle name="Followed Hyperlink" xfId="2381" builtinId="9" hidden="1"/>
    <cellStyle name="Followed Hyperlink" xfId="895" builtinId="9" hidden="1"/>
    <cellStyle name="Followed Hyperlink" xfId="2275" builtinId="9" hidden="1"/>
    <cellStyle name="Followed Hyperlink" xfId="1401" builtinId="9" hidden="1"/>
    <cellStyle name="Followed Hyperlink" xfId="3147" builtinId="9" hidden="1"/>
    <cellStyle name="Followed Hyperlink" xfId="1325" builtinId="9" hidden="1"/>
    <cellStyle name="Followed Hyperlink" xfId="1287" builtinId="9" hidden="1"/>
    <cellStyle name="Followed Hyperlink" xfId="1249" builtinId="9" hidden="1"/>
    <cellStyle name="Followed Hyperlink" xfId="4817" builtinId="9" hidden="1"/>
    <cellStyle name="Followed Hyperlink" xfId="2245" builtinId="9" hidden="1"/>
    <cellStyle name="Followed Hyperlink" xfId="5255" builtinId="9" hidden="1"/>
    <cellStyle name="Followed Hyperlink" xfId="1097" builtinId="9" hidden="1"/>
    <cellStyle name="Followed Hyperlink" xfId="1059" builtinId="9" hidden="1"/>
    <cellStyle name="Followed Hyperlink" xfId="1021" builtinId="9" hidden="1"/>
    <cellStyle name="Followed Hyperlink" xfId="983" builtinId="9" hidden="1"/>
    <cellStyle name="Followed Hyperlink" xfId="945" builtinId="9" hidden="1"/>
    <cellStyle name="Followed Hyperlink" xfId="907" builtinId="9" hidden="1"/>
    <cellStyle name="Followed Hyperlink" xfId="869" builtinId="9" hidden="1"/>
    <cellStyle name="Followed Hyperlink" xfId="4671" builtinId="9" hidden="1"/>
    <cellStyle name="Followed Hyperlink" xfId="3667" builtinId="9" hidden="1"/>
    <cellStyle name="Followed Hyperlink" xfId="5891" builtinId="9" hidden="1"/>
    <cellStyle name="Followed Hyperlink" xfId="5123" builtinId="9" hidden="1"/>
    <cellStyle name="Followed Hyperlink" xfId="679" builtinId="9" hidden="1"/>
    <cellStyle name="Followed Hyperlink" xfId="1677" builtinId="9" hidden="1"/>
    <cellStyle name="Followed Hyperlink" xfId="603" builtinId="9" hidden="1"/>
    <cellStyle name="Followed Hyperlink" xfId="4723" builtinId="9" hidden="1"/>
    <cellStyle name="Followed Hyperlink" xfId="3209" builtinId="9" hidden="1"/>
    <cellStyle name="Followed Hyperlink" xfId="488" builtinId="9" hidden="1"/>
    <cellStyle name="Followed Hyperlink" xfId="450" builtinId="9" hidden="1"/>
    <cellStyle name="Followed Hyperlink" xfId="412" builtinId="9" hidden="1"/>
    <cellStyle name="Followed Hyperlink" xfId="366" builtinId="9" hidden="1"/>
    <cellStyle name="Followed Hyperlink" xfId="4759" builtinId="9" hidden="1"/>
    <cellStyle name="Followed Hyperlink" xfId="298" builtinId="9" hidden="1"/>
    <cellStyle name="Followed Hyperlink" xfId="5261" builtinId="9" hidden="1"/>
    <cellStyle name="Followed Hyperlink" xfId="552" builtinId="9" hidden="1"/>
    <cellStyle name="Followed Hyperlink" xfId="3203" builtinId="9" hidden="1"/>
    <cellStyle name="Followed Hyperlink" xfId="158" builtinId="9" hidden="1"/>
    <cellStyle name="Followed Hyperlink" xfId="108" builtinId="9" hidden="1"/>
    <cellStyle name="Followed Hyperlink" xfId="5991" builtinId="9" hidden="1"/>
    <cellStyle name="Followed Hyperlink" xfId="50" builtinId="9" hidden="1"/>
    <cellStyle name="Followed Hyperlink" xfId="106" builtinId="9" hidden="1"/>
    <cellStyle name="Followed Hyperlink" xfId="24" builtinId="9" hidden="1"/>
    <cellStyle name="Followed Hyperlink" xfId="494" builtinId="9" hidden="1"/>
    <cellStyle name="Followed Hyperlink" xfId="44" builtinId="9" hidden="1"/>
    <cellStyle name="Followed Hyperlink" xfId="122" builtinId="9" hidden="1"/>
    <cellStyle name="Followed Hyperlink" xfId="4485" builtinId="9" hidden="1"/>
    <cellStyle name="Followed Hyperlink" xfId="5371" builtinId="9" hidden="1"/>
    <cellStyle name="Followed Hyperlink" xfId="4547" builtinId="9" hidden="1"/>
    <cellStyle name="Followed Hyperlink" xfId="134" builtinId="9" hidden="1"/>
    <cellStyle name="Followed Hyperlink" xfId="7947" builtinId="9" hidden="1"/>
    <cellStyle name="Followed Hyperlink" xfId="2367" builtinId="9" hidden="1"/>
    <cellStyle name="Followed Hyperlink" xfId="292" builtinId="9" hidden="1"/>
    <cellStyle name="Followed Hyperlink" xfId="4551" builtinId="9" hidden="1"/>
    <cellStyle name="Followed Hyperlink" xfId="1235" builtinId="9" hidden="1"/>
    <cellStyle name="Followed Hyperlink" xfId="2895" builtinId="9" hidden="1"/>
    <cellStyle name="Followed Hyperlink" xfId="444" builtinId="9" hidden="1"/>
    <cellStyle name="Followed Hyperlink" xfId="482" builtinId="9" hidden="1"/>
    <cellStyle name="Followed Hyperlink" xfId="520" builtinId="9" hidden="1"/>
    <cellStyle name="Followed Hyperlink" xfId="975" builtinId="9" hidden="1"/>
    <cellStyle name="Followed Hyperlink" xfId="6455" builtinId="9" hidden="1"/>
    <cellStyle name="Followed Hyperlink" xfId="7055" builtinId="9" hidden="1"/>
    <cellStyle name="Followed Hyperlink" xfId="3829" builtinId="9" hidden="1"/>
    <cellStyle name="Followed Hyperlink" xfId="711" builtinId="9" hidden="1"/>
    <cellStyle name="Followed Hyperlink" xfId="4869" builtinId="9" hidden="1"/>
    <cellStyle name="Followed Hyperlink" xfId="787" builtinId="9" hidden="1"/>
    <cellStyle name="Followed Hyperlink" xfId="6973" builtinId="9" hidden="1"/>
    <cellStyle name="Followed Hyperlink" xfId="963" builtinId="9" hidden="1"/>
    <cellStyle name="Followed Hyperlink" xfId="901" builtinId="9" hidden="1"/>
    <cellStyle name="Followed Hyperlink" xfId="939" builtinId="9" hidden="1"/>
    <cellStyle name="Followed Hyperlink" xfId="2509" builtinId="9" hidden="1"/>
    <cellStyle name="Followed Hyperlink" xfId="1015" builtinId="9" hidden="1"/>
    <cellStyle name="Followed Hyperlink" xfId="1053" builtinId="9" hidden="1"/>
    <cellStyle name="Followed Hyperlink" xfId="1091" builtinId="9" hidden="1"/>
    <cellStyle name="Followed Hyperlink" xfId="3887" builtinId="9" hidden="1"/>
    <cellStyle name="Followed Hyperlink" xfId="1167" builtinId="9" hidden="1"/>
    <cellStyle name="Followed Hyperlink" xfId="1205" builtinId="9" hidden="1"/>
    <cellStyle name="Followed Hyperlink" xfId="6963" builtinId="9" hidden="1"/>
    <cellStyle name="Followed Hyperlink" xfId="1281" builtinId="9" hidden="1"/>
    <cellStyle name="Followed Hyperlink" xfId="7231" builtinId="9" hidden="1"/>
    <cellStyle name="Followed Hyperlink" xfId="1357" builtinId="9" hidden="1"/>
    <cellStyle name="Followed Hyperlink" xfId="6109" builtinId="9" hidden="1"/>
    <cellStyle name="Followed Hyperlink" xfId="8017" builtinId="9" hidden="1"/>
    <cellStyle name="Followed Hyperlink" xfId="3609" builtinId="9" hidden="1"/>
    <cellStyle name="Followed Hyperlink" xfId="1509" builtinId="9" hidden="1"/>
    <cellStyle name="Followed Hyperlink" xfId="7049" builtinId="9" hidden="1"/>
    <cellStyle name="Followed Hyperlink" xfId="1585" builtinId="9" hidden="1"/>
    <cellStyle name="Followed Hyperlink" xfId="1623" builtinId="9" hidden="1"/>
    <cellStyle name="Followed Hyperlink" xfId="1661" builtinId="9" hidden="1"/>
    <cellStyle name="Followed Hyperlink" xfId="7125" builtinId="9" hidden="1"/>
    <cellStyle name="Followed Hyperlink" xfId="1737" builtinId="9" hidden="1"/>
    <cellStyle name="Followed Hyperlink" xfId="2977" builtinId="9" hidden="1"/>
    <cellStyle name="Followed Hyperlink" xfId="3169" builtinId="9" hidden="1"/>
    <cellStyle name="Followed Hyperlink" xfId="1851" builtinId="9" hidden="1"/>
    <cellStyle name="Followed Hyperlink" xfId="5545" builtinId="9" hidden="1"/>
    <cellStyle name="Followed Hyperlink" xfId="1927" builtinId="9" hidden="1"/>
    <cellStyle name="Followed Hyperlink" xfId="1965" builtinId="9" hidden="1"/>
    <cellStyle name="Followed Hyperlink" xfId="2003" builtinId="9" hidden="1"/>
    <cellStyle name="Followed Hyperlink" xfId="2041" builtinId="9" hidden="1"/>
    <cellStyle name="Followed Hyperlink" xfId="7465" builtinId="9" hidden="1"/>
    <cellStyle name="Followed Hyperlink" xfId="6135" builtinId="9" hidden="1"/>
    <cellStyle name="Followed Hyperlink" xfId="6323" builtinId="9" hidden="1"/>
    <cellStyle name="Followed Hyperlink" xfId="1491" builtinId="9" hidden="1"/>
    <cellStyle name="Followed Hyperlink" xfId="2231" builtinId="9" hidden="1"/>
    <cellStyle name="Followed Hyperlink" xfId="3515" builtinId="9" hidden="1"/>
    <cellStyle name="Followed Hyperlink" xfId="2307" builtinId="9" hidden="1"/>
    <cellStyle name="Followed Hyperlink" xfId="2345" builtinId="9" hidden="1"/>
    <cellStyle name="Followed Hyperlink" xfId="2383" builtinId="9" hidden="1"/>
    <cellStyle name="Followed Hyperlink" xfId="182" builtinId="9" hidden="1"/>
    <cellStyle name="Followed Hyperlink" xfId="2459" builtinId="9" hidden="1"/>
    <cellStyle name="Followed Hyperlink" xfId="2497" builtinId="9" hidden="1"/>
    <cellStyle name="Followed Hyperlink" xfId="3181" builtinId="9" hidden="1"/>
    <cellStyle name="Followed Hyperlink" xfId="1821" builtinId="9" hidden="1"/>
    <cellStyle name="Followed Hyperlink" xfId="2611" builtinId="9" hidden="1"/>
    <cellStyle name="Followed Hyperlink" xfId="2649" builtinId="9" hidden="1"/>
    <cellStyle name="Followed Hyperlink" xfId="7613" builtinId="9" hidden="1"/>
    <cellStyle name="Followed Hyperlink" xfId="2283" builtinId="9" hidden="1"/>
    <cellStyle name="Followed Hyperlink" xfId="1069" builtinId="9" hidden="1"/>
    <cellStyle name="Followed Hyperlink" xfId="6345" builtinId="9" hidden="1"/>
    <cellStyle name="Followed Hyperlink" xfId="2839" builtinId="9" hidden="1"/>
    <cellStyle name="Followed Hyperlink" xfId="40" builtinId="9" hidden="1"/>
    <cellStyle name="Followed Hyperlink" xfId="2137" builtinId="9" hidden="1"/>
    <cellStyle name="Followed Hyperlink" xfId="7871" builtinId="9" hidden="1"/>
    <cellStyle name="Followed Hyperlink" xfId="2099" builtinId="9" hidden="1"/>
    <cellStyle name="Followed Hyperlink" xfId="1581" builtinId="9" hidden="1"/>
    <cellStyle name="Followed Hyperlink" xfId="5241" builtinId="9" hidden="1"/>
    <cellStyle name="Followed Hyperlink" xfId="2143" builtinId="9" hidden="1"/>
    <cellStyle name="Followed Hyperlink" xfId="3921" builtinId="9" hidden="1"/>
    <cellStyle name="Followed Hyperlink" xfId="2915" builtinId="9" hidden="1"/>
    <cellStyle name="Followed Hyperlink" xfId="3219" builtinId="9" hidden="1"/>
    <cellStyle name="Followed Hyperlink" xfId="3257" builtinId="9" hidden="1"/>
    <cellStyle name="Followed Hyperlink" xfId="3295" builtinId="9" hidden="1"/>
    <cellStyle name="Followed Hyperlink" xfId="5575" builtinId="9" hidden="1"/>
    <cellStyle name="Followed Hyperlink" xfId="7835" builtinId="9" hidden="1"/>
    <cellStyle name="Followed Hyperlink" xfId="2229" builtinId="9" hidden="1"/>
    <cellStyle name="Followed Hyperlink" xfId="3447" builtinId="9" hidden="1"/>
    <cellStyle name="Followed Hyperlink" xfId="1625" builtinId="9" hidden="1"/>
    <cellStyle name="Followed Hyperlink" xfId="805" builtinId="9" hidden="1"/>
    <cellStyle name="Followed Hyperlink" xfId="5055" builtinId="9" hidden="1"/>
    <cellStyle name="Followed Hyperlink" xfId="3599" builtinId="9" hidden="1"/>
    <cellStyle name="Followed Hyperlink" xfId="2315" builtinId="9" hidden="1"/>
    <cellStyle name="Followed Hyperlink" xfId="3675" builtinId="9" hidden="1"/>
    <cellStyle name="Followed Hyperlink" xfId="3713" builtinId="9" hidden="1"/>
    <cellStyle name="Followed Hyperlink" xfId="3751" builtinId="9" hidden="1"/>
    <cellStyle name="Followed Hyperlink" xfId="7995" builtinId="9" hidden="1"/>
    <cellStyle name="Followed Hyperlink" xfId="3827" builtinId="9" hidden="1"/>
    <cellStyle name="Followed Hyperlink" xfId="3865" builtinId="9" hidden="1"/>
    <cellStyle name="Followed Hyperlink" xfId="7999" builtinId="9" hidden="1"/>
    <cellStyle name="Followed Hyperlink" xfId="578" builtinId="9" hidden="1"/>
    <cellStyle name="Followed Hyperlink" xfId="3979" builtinId="9" hidden="1"/>
    <cellStyle name="Followed Hyperlink" xfId="4017" builtinId="9" hidden="1"/>
    <cellStyle name="Followed Hyperlink" xfId="3685" builtinId="9" hidden="1"/>
    <cellStyle name="Followed Hyperlink" xfId="8007" builtinId="9" hidden="1"/>
    <cellStyle name="Followed Hyperlink" xfId="4131" builtinId="9" hidden="1"/>
    <cellStyle name="Followed Hyperlink" xfId="4169" builtinId="9" hidden="1"/>
    <cellStyle name="Followed Hyperlink" xfId="4207" builtinId="9" hidden="1"/>
    <cellStyle name="Followed Hyperlink" xfId="4245" builtinId="9" hidden="1"/>
    <cellStyle name="Followed Hyperlink" xfId="4283" builtinId="9" hidden="1"/>
    <cellStyle name="Followed Hyperlink" xfId="2797" builtinId="9" hidden="1"/>
    <cellStyle name="Followed Hyperlink" xfId="4359" builtinId="9" hidden="1"/>
    <cellStyle name="Followed Hyperlink" xfId="4397" builtinId="9" hidden="1"/>
    <cellStyle name="Followed Hyperlink" xfId="4435" builtinId="9" hidden="1"/>
    <cellStyle name="Followed Hyperlink" xfId="1321" builtinId="9" hidden="1"/>
    <cellStyle name="Followed Hyperlink" xfId="3031" builtinId="9" hidden="1"/>
    <cellStyle name="Followed Hyperlink" xfId="5953" builtinId="9" hidden="1"/>
    <cellStyle name="Followed Hyperlink" xfId="5565" builtinId="9" hidden="1"/>
    <cellStyle name="Followed Hyperlink" xfId="7337" builtinId="9" hidden="1"/>
    <cellStyle name="Followed Hyperlink" xfId="4663" builtinId="9" hidden="1"/>
    <cellStyle name="Followed Hyperlink" xfId="7923" builtinId="9" hidden="1"/>
    <cellStyle name="Followed Hyperlink" xfId="492" builtinId="9" hidden="1"/>
    <cellStyle name="Followed Hyperlink" xfId="4777" builtinId="9" hidden="1"/>
    <cellStyle name="Followed Hyperlink" xfId="1891" builtinId="9" hidden="1"/>
    <cellStyle name="Followed Hyperlink" xfId="3463" builtinId="9" hidden="1"/>
    <cellStyle name="Followed Hyperlink" xfId="693" builtinId="9" hidden="1"/>
    <cellStyle name="Followed Hyperlink" xfId="833" builtinId="9" hidden="1"/>
    <cellStyle name="Followed Hyperlink" xfId="4967" builtinId="9" hidden="1"/>
    <cellStyle name="Followed Hyperlink" xfId="6207" builtinId="9" hidden="1"/>
    <cellStyle name="Followed Hyperlink" xfId="3955" builtinId="9" hidden="1"/>
    <cellStyle name="Followed Hyperlink" xfId="18" builtinId="9" hidden="1"/>
    <cellStyle name="Followed Hyperlink" xfId="5119" builtinId="9" hidden="1"/>
    <cellStyle name="Followed Hyperlink" xfId="6269" builtinId="9" hidden="1"/>
    <cellStyle name="Followed Hyperlink" xfId="5195" builtinId="9" hidden="1"/>
    <cellStyle name="Followed Hyperlink" xfId="5233" builtinId="9" hidden="1"/>
    <cellStyle name="Followed Hyperlink" xfId="5271" builtinId="9" hidden="1"/>
    <cellStyle name="Followed Hyperlink" xfId="5309" builtinId="9" hidden="1"/>
    <cellStyle name="Followed Hyperlink" xfId="5347" builtinId="9" hidden="1"/>
    <cellStyle name="Followed Hyperlink" xfId="5385" builtinId="9" hidden="1"/>
    <cellStyle name="Followed Hyperlink" xfId="3879" builtinId="9" hidden="1"/>
    <cellStyle name="Followed Hyperlink" xfId="3963" builtinId="9" hidden="1"/>
    <cellStyle name="Followed Hyperlink" xfId="176" builtinId="9" hidden="1"/>
    <cellStyle name="Followed Hyperlink" xfId="5537" builtinId="9" hidden="1"/>
    <cellStyle name="Followed Hyperlink" xfId="877" builtinId="9" hidden="1"/>
    <cellStyle name="Followed Hyperlink" xfId="3763" builtinId="9" hidden="1"/>
    <cellStyle name="Followed Hyperlink" xfId="5651" builtinId="9" hidden="1"/>
    <cellStyle name="Followed Hyperlink" xfId="2893" builtinId="9" hidden="1"/>
    <cellStyle name="Followed Hyperlink" xfId="5727" builtinId="9" hidden="1"/>
    <cellStyle name="Followed Hyperlink" xfId="5765" builtinId="9" hidden="1"/>
    <cellStyle name="Followed Hyperlink" xfId="5803" builtinId="9" hidden="1"/>
    <cellStyle name="Followed Hyperlink" xfId="7827" builtinId="9" hidden="1"/>
    <cellStyle name="Followed Hyperlink" xfId="5879" builtinId="9" hidden="1"/>
    <cellStyle name="Followed Hyperlink" xfId="4355" builtinId="9" hidden="1"/>
    <cellStyle name="Followed Hyperlink" xfId="5955" builtinId="9" hidden="1"/>
    <cellStyle name="Followed Hyperlink" xfId="5993" builtinId="9" hidden="1"/>
    <cellStyle name="Followed Hyperlink" xfId="4711" builtinId="9" hidden="1"/>
    <cellStyle name="Followed Hyperlink" xfId="362" builtinId="9" hidden="1"/>
    <cellStyle name="Followed Hyperlink" xfId="6517" builtinId="9" hidden="1"/>
    <cellStyle name="Followed Hyperlink" xfId="5913" builtinId="9" hidden="1"/>
    <cellStyle name="Followed Hyperlink" xfId="4991" builtinId="9" hidden="1"/>
    <cellStyle name="Followed Hyperlink" xfId="6221" builtinId="9" hidden="1"/>
    <cellStyle name="Followed Hyperlink" xfId="6223" builtinId="9" hidden="1"/>
    <cellStyle name="Followed Hyperlink" xfId="6297" builtinId="9" hidden="1"/>
    <cellStyle name="Followed Hyperlink" xfId="3393" builtinId="9" hidden="1"/>
    <cellStyle name="Followed Hyperlink" xfId="6373" builtinId="9" hidden="1"/>
    <cellStyle name="Followed Hyperlink" xfId="6411" builtinId="9" hidden="1"/>
    <cellStyle name="Followed Hyperlink" xfId="6449" builtinId="9" hidden="1"/>
    <cellStyle name="Followed Hyperlink" xfId="5597" builtinId="9" hidden="1"/>
    <cellStyle name="Followed Hyperlink" xfId="6525" builtinId="9" hidden="1"/>
    <cellStyle name="Followed Hyperlink" xfId="6563" builtinId="9" hidden="1"/>
    <cellStyle name="Followed Hyperlink" xfId="6601" builtinId="9" hidden="1"/>
    <cellStyle name="Followed Hyperlink" xfId="6639" builtinId="9" hidden="1"/>
    <cellStyle name="Followed Hyperlink" xfId="6677" builtinId="9" hidden="1"/>
    <cellStyle name="Followed Hyperlink" xfId="3621" builtinId="9" hidden="1"/>
    <cellStyle name="Followed Hyperlink" xfId="6753" builtinId="9" hidden="1"/>
    <cellStyle name="Followed Hyperlink" xfId="3977" builtinId="9" hidden="1"/>
    <cellStyle name="Followed Hyperlink" xfId="402" builtinId="9" hidden="1"/>
    <cellStyle name="Followed Hyperlink" xfId="5005" builtinId="9" hidden="1"/>
    <cellStyle name="Followed Hyperlink" xfId="4815" builtinId="9" hidden="1"/>
    <cellStyle name="Followed Hyperlink" xfId="3989" builtinId="9" hidden="1"/>
    <cellStyle name="Followed Hyperlink" xfId="4447" builtinId="9" hidden="1"/>
    <cellStyle name="Followed Hyperlink" xfId="7019" builtinId="9" hidden="1"/>
    <cellStyle name="Followed Hyperlink" xfId="6493" builtinId="9" hidden="1"/>
    <cellStyle name="Followed Hyperlink" xfId="6" builtinId="9" hidden="1"/>
    <cellStyle name="Followed Hyperlink" xfId="7133" builtinId="9" hidden="1"/>
    <cellStyle name="Followed Hyperlink" xfId="1709" builtinId="9" hidden="1"/>
    <cellStyle name="Followed Hyperlink" xfId="5959" builtinId="9" hidden="1"/>
    <cellStyle name="Followed Hyperlink" xfId="5483" builtinId="9" hidden="1"/>
    <cellStyle name="Followed Hyperlink" xfId="7285" builtinId="9" hidden="1"/>
    <cellStyle name="Followed Hyperlink" xfId="3777" builtinId="9" hidden="1"/>
    <cellStyle name="Followed Hyperlink" xfId="7361" builtinId="9" hidden="1"/>
    <cellStyle name="Followed Hyperlink" xfId="4259" builtinId="9" hidden="1"/>
    <cellStyle name="Followed Hyperlink" xfId="7437" builtinId="9" hidden="1"/>
    <cellStyle name="Followed Hyperlink" xfId="7873" builtinId="9" hidden="1"/>
    <cellStyle name="Followed Hyperlink" xfId="7513" builtinId="9" hidden="1"/>
    <cellStyle name="Followed Hyperlink" xfId="1669" builtinId="9" hidden="1"/>
    <cellStyle name="Followed Hyperlink" xfId="1745" builtinId="9" hidden="1"/>
    <cellStyle name="Followed Hyperlink" xfId="7335" builtinId="9" hidden="1"/>
    <cellStyle name="Followed Hyperlink" xfId="6239" builtinId="9" hidden="1"/>
    <cellStyle name="Followed Hyperlink" xfId="2731" builtinId="9" hidden="1"/>
    <cellStyle name="Followed Hyperlink" xfId="7741" builtinId="9" hidden="1"/>
    <cellStyle name="Followed Hyperlink" xfId="7779" builtinId="9" hidden="1"/>
    <cellStyle name="Followed Hyperlink" xfId="973" builtinId="9" hidden="1"/>
    <cellStyle name="Followed Hyperlink" xfId="2377" builtinId="9" hidden="1"/>
    <cellStyle name="Followed Hyperlink" xfId="7893" builtinId="9" hidden="1"/>
    <cellStyle name="Followed Hyperlink" xfId="4557" builtinId="9" hidden="1"/>
    <cellStyle name="Followed Hyperlink" xfId="2809" builtinId="9" hidden="1"/>
    <cellStyle name="Followed Hyperlink" xfId="1717" builtinId="9" hidden="1"/>
    <cellStyle name="Followed Hyperlink" xfId="8045" builtinId="9" hidden="1"/>
    <cellStyle name="Followed Hyperlink" xfId="8083" builtinId="9" hidden="1"/>
    <cellStyle name="Followed Hyperlink" xfId="8125" builtinId="9" hidden="1"/>
    <cellStyle name="Followed Hyperlink" xfId="5845" builtinId="9" hidden="1"/>
    <cellStyle name="Followed Hyperlink" xfId="8191" builtinId="9" hidden="1"/>
    <cellStyle name="Followed Hyperlink" xfId="312" builtinId="9" hidden="1"/>
    <cellStyle name="Followed Hyperlink" xfId="8111" builtinId="9" hidden="1"/>
    <cellStyle name="Followed Hyperlink" xfId="7445" builtinId="9" hidden="1"/>
    <cellStyle name="Followed Hyperlink" xfId="1173" builtinId="9" hidden="1"/>
    <cellStyle name="Followed Hyperlink" xfId="7207" builtinId="9" hidden="1"/>
    <cellStyle name="Followed Hyperlink" xfId="7959" builtinId="9" hidden="1"/>
    <cellStyle name="Followed Hyperlink" xfId="7035" builtinId="9" hidden="1"/>
    <cellStyle name="Followed Hyperlink" xfId="1183" builtinId="9" hidden="1"/>
    <cellStyle name="Followed Hyperlink" xfId="7845" builtinId="9" hidden="1"/>
    <cellStyle name="Followed Hyperlink" xfId="7807" builtinId="9" hidden="1"/>
    <cellStyle name="Followed Hyperlink" xfId="5491" builtinId="9" hidden="1"/>
    <cellStyle name="Followed Hyperlink" xfId="7731" builtinId="9" hidden="1"/>
    <cellStyle name="Followed Hyperlink" xfId="7693" builtinId="9" hidden="1"/>
    <cellStyle name="Followed Hyperlink" xfId="7319" builtinId="9" hidden="1"/>
    <cellStyle name="Followed Hyperlink" xfId="5581" builtinId="9" hidden="1"/>
    <cellStyle name="Followed Hyperlink" xfId="7579" builtinId="9" hidden="1"/>
    <cellStyle name="Followed Hyperlink" xfId="266" builtinId="9" hidden="1"/>
    <cellStyle name="Followed Hyperlink" xfId="7503" builtinId="9" hidden="1"/>
    <cellStyle name="Followed Hyperlink" xfId="2769" builtinId="9" hidden="1"/>
    <cellStyle name="Followed Hyperlink" xfId="7427" builtinId="9" hidden="1"/>
    <cellStyle name="Followed Hyperlink" xfId="2735" builtinId="9" hidden="1"/>
    <cellStyle name="Followed Hyperlink" xfId="7351" builtinId="9" hidden="1"/>
    <cellStyle name="Followed Hyperlink" xfId="1651" builtinId="9" hidden="1"/>
    <cellStyle name="Followed Hyperlink" xfId="7275" builtinId="9" hidden="1"/>
    <cellStyle name="Followed Hyperlink" xfId="7237" builtinId="9" hidden="1"/>
    <cellStyle name="Followed Hyperlink" xfId="2291" builtinId="9" hidden="1"/>
    <cellStyle name="Followed Hyperlink" xfId="647" builtinId="9" hidden="1"/>
    <cellStyle name="Followed Hyperlink" xfId="7123" builtinId="9" hidden="1"/>
    <cellStyle name="Followed Hyperlink" xfId="6955" builtinId="9" hidden="1"/>
    <cellStyle name="Followed Hyperlink" xfId="7047" builtinId="9" hidden="1"/>
    <cellStyle name="Followed Hyperlink" xfId="7009" builtinId="9" hidden="1"/>
    <cellStyle name="Followed Hyperlink" xfId="1435" builtinId="9" hidden="1"/>
    <cellStyle name="Followed Hyperlink" xfId="6933" builtinId="9" hidden="1"/>
    <cellStyle name="Followed Hyperlink" xfId="4753" builtinId="9" hidden="1"/>
    <cellStyle name="Followed Hyperlink" xfId="6857" builtinId="9" hidden="1"/>
    <cellStyle name="Followed Hyperlink" xfId="4123" builtinId="9" hidden="1"/>
    <cellStyle name="Followed Hyperlink" xfId="234" builtinId="9" hidden="1"/>
    <cellStyle name="Followed Hyperlink" xfId="5231" builtinId="9" hidden="1"/>
    <cellStyle name="Followed Hyperlink" xfId="6705" builtinId="9" hidden="1"/>
    <cellStyle name="Followed Hyperlink" xfId="6667" builtinId="9" hidden="1"/>
    <cellStyle name="Followed Hyperlink" xfId="6629" builtinId="9" hidden="1"/>
    <cellStyle name="Followed Hyperlink" xfId="5949" builtinId="9" hidden="1"/>
    <cellStyle name="Followed Hyperlink" xfId="1133" builtinId="9" hidden="1"/>
    <cellStyle name="Followed Hyperlink" xfId="6515" builtinId="9" hidden="1"/>
    <cellStyle name="Followed Hyperlink" xfId="6477" builtinId="9" hidden="1"/>
    <cellStyle name="Followed Hyperlink" xfId="6439" builtinId="9" hidden="1"/>
    <cellStyle name="Followed Hyperlink" xfId="3273" builtinId="9" hidden="1"/>
    <cellStyle name="Followed Hyperlink" xfId="6363" builtinId="9" hidden="1"/>
    <cellStyle name="Followed Hyperlink" xfId="6325" builtinId="9" hidden="1"/>
    <cellStyle name="Followed Hyperlink" xfId="6287" builtinId="9" hidden="1"/>
    <cellStyle name="Followed Hyperlink" xfId="4239" builtinId="9" hidden="1"/>
    <cellStyle name="Followed Hyperlink" xfId="6211" builtinId="9" hidden="1"/>
    <cellStyle name="Followed Hyperlink" xfId="6173" builtinId="9" hidden="1"/>
    <cellStyle name="Followed Hyperlink" xfId="184" builtinId="9" hidden="1"/>
    <cellStyle name="Followed Hyperlink" xfId="6097" builtinId="9" hidden="1"/>
    <cellStyle name="Followed Hyperlink" xfId="6059" builtinId="9" hidden="1"/>
    <cellStyle name="Followed Hyperlink" xfId="6021" builtinId="9" hidden="1"/>
    <cellStyle name="Followed Hyperlink" xfId="5079" builtinId="9" hidden="1"/>
    <cellStyle name="Followed Hyperlink" xfId="1195" builtinId="9" hidden="1"/>
    <cellStyle name="Followed Hyperlink" xfId="7695" builtinId="9" hidden="1"/>
    <cellStyle name="Followed Hyperlink" xfId="5869" builtinId="9" hidden="1"/>
    <cellStyle name="Followed Hyperlink" xfId="7541" builtinId="9" hidden="1"/>
    <cellStyle name="Followed Hyperlink" xfId="5793" builtinId="9" hidden="1"/>
    <cellStyle name="Followed Hyperlink" xfId="5755" builtinId="9" hidden="1"/>
    <cellStyle name="Followed Hyperlink" xfId="5717" builtinId="9" hidden="1"/>
    <cellStyle name="Followed Hyperlink" xfId="5679" builtinId="9" hidden="1"/>
    <cellStyle name="Followed Hyperlink" xfId="7521" builtinId="9" hidden="1"/>
    <cellStyle name="Followed Hyperlink" xfId="6167" builtinId="9" hidden="1"/>
    <cellStyle name="Followed Hyperlink" xfId="1073" builtinId="9" hidden="1"/>
    <cellStyle name="Followed Hyperlink" xfId="3007" builtinId="9" hidden="1"/>
    <cellStyle name="Followed Hyperlink" xfId="5489" builtinId="9" hidden="1"/>
    <cellStyle name="Followed Hyperlink" xfId="1009" builtinId="9" hidden="1"/>
    <cellStyle name="Followed Hyperlink" xfId="5413" builtinId="9" hidden="1"/>
    <cellStyle name="Followed Hyperlink" xfId="5375" builtinId="9" hidden="1"/>
    <cellStyle name="Followed Hyperlink" xfId="2953" builtinId="9" hidden="1"/>
    <cellStyle name="Followed Hyperlink" xfId="6651" builtinId="9" hidden="1"/>
    <cellStyle name="Followed Hyperlink" xfId="3357" builtinId="9" hidden="1"/>
    <cellStyle name="Followed Hyperlink" xfId="5223" builtinId="9" hidden="1"/>
    <cellStyle name="Followed Hyperlink" xfId="3397" builtinId="9" hidden="1"/>
    <cellStyle name="Followed Hyperlink" xfId="5147" builtinId="9" hidden="1"/>
    <cellStyle name="Followed Hyperlink" xfId="1077" builtinId="9" hidden="1"/>
    <cellStyle name="Followed Hyperlink" xfId="6111" builtinId="9" hidden="1"/>
    <cellStyle name="Followed Hyperlink" xfId="5033" builtinId="9" hidden="1"/>
    <cellStyle name="Followed Hyperlink" xfId="4995" builtinId="9" hidden="1"/>
    <cellStyle name="Followed Hyperlink" xfId="4957" builtinId="9" hidden="1"/>
    <cellStyle name="Followed Hyperlink" xfId="6183" builtinId="9" hidden="1"/>
    <cellStyle name="Followed Hyperlink" xfId="5817" builtinId="9" hidden="1"/>
    <cellStyle name="Followed Hyperlink" xfId="4089" builtinId="9" hidden="1"/>
    <cellStyle name="Followed Hyperlink" xfId="4805" builtinId="9" hidden="1"/>
    <cellStyle name="Followed Hyperlink" xfId="4007" builtinId="9" hidden="1"/>
    <cellStyle name="Followed Hyperlink" xfId="4729" builtinId="9" hidden="1"/>
    <cellStyle name="Followed Hyperlink" xfId="4691" builtinId="9" hidden="1"/>
    <cellStyle name="Followed Hyperlink" xfId="6669" builtinId="9" hidden="1"/>
    <cellStyle name="Followed Hyperlink" xfId="5849" builtinId="9" hidden="1"/>
    <cellStyle name="Followed Hyperlink" xfId="4577" builtinId="9" hidden="1"/>
    <cellStyle name="Followed Hyperlink" xfId="4539" builtinId="9" hidden="1"/>
    <cellStyle name="Followed Hyperlink" xfId="4501" builtinId="9" hidden="1"/>
    <cellStyle name="Followed Hyperlink" xfId="4463" builtinId="9" hidden="1"/>
    <cellStyle name="Followed Hyperlink" xfId="1667" builtinId="9" hidden="1"/>
    <cellStyle name="Followed Hyperlink" xfId="4387" builtinId="9" hidden="1"/>
    <cellStyle name="Followed Hyperlink" xfId="3085" builtinId="9" hidden="1"/>
    <cellStyle name="Followed Hyperlink" xfId="2439" builtinId="9" hidden="1"/>
    <cellStyle name="Followed Hyperlink" xfId="4273" builtinId="9" hidden="1"/>
    <cellStyle name="Followed Hyperlink" xfId="6251" builtinId="9" hidden="1"/>
    <cellStyle name="Followed Hyperlink" xfId="4197" builtinId="9" hidden="1"/>
    <cellStyle name="Followed Hyperlink" xfId="3099" builtinId="9" hidden="1"/>
    <cellStyle name="Followed Hyperlink" xfId="7771" builtinId="9" hidden="1"/>
    <cellStyle name="Followed Hyperlink" xfId="4083" builtinId="9" hidden="1"/>
    <cellStyle name="Followed Hyperlink" xfId="2413" builtinId="9" hidden="1"/>
    <cellStyle name="Followed Hyperlink" xfId="613" builtinId="9" hidden="1"/>
    <cellStyle name="Followed Hyperlink" xfId="2951" builtinId="9" hidden="1"/>
    <cellStyle name="Followed Hyperlink" xfId="7373" builtinId="9" hidden="1"/>
    <cellStyle name="Followed Hyperlink" xfId="3893" builtinId="9" hidden="1"/>
    <cellStyle name="Followed Hyperlink" xfId="4029" builtinId="9" hidden="1"/>
    <cellStyle name="Followed Hyperlink" xfId="6841" builtinId="9" hidden="1"/>
    <cellStyle name="Followed Hyperlink" xfId="5827" builtinId="9" hidden="1"/>
    <cellStyle name="Followed Hyperlink" xfId="3741" builtinId="9" hidden="1"/>
    <cellStyle name="Followed Hyperlink" xfId="406" builtinId="9" hidden="1"/>
    <cellStyle name="Followed Hyperlink" xfId="3665" builtinId="9" hidden="1"/>
    <cellStyle name="Followed Hyperlink" xfId="5041" builtinId="9" hidden="1"/>
    <cellStyle name="Followed Hyperlink" xfId="3837" builtinId="9" hidden="1"/>
    <cellStyle name="Followed Hyperlink" xfId="6085" builtinId="9" hidden="1"/>
    <cellStyle name="Followed Hyperlink" xfId="380" builtinId="9" hidden="1"/>
    <cellStyle name="Followed Hyperlink" xfId="5155" builtinId="9" hidden="1"/>
    <cellStyle name="Followed Hyperlink" xfId="3437" builtinId="9" hidden="1"/>
    <cellStyle name="Followed Hyperlink" xfId="5355" builtinId="9" hidden="1"/>
    <cellStyle name="Followed Hyperlink" xfId="3361" builtinId="9" hidden="1"/>
    <cellStyle name="Followed Hyperlink" xfId="5403" builtinId="9" hidden="1"/>
    <cellStyle name="Followed Hyperlink" xfId="6769" builtinId="9" hidden="1"/>
    <cellStyle name="Followed Hyperlink" xfId="3247" builtinId="9" hidden="1"/>
    <cellStyle name="Followed Hyperlink" xfId="4321" builtinId="9" hidden="1"/>
    <cellStyle name="Followed Hyperlink" xfId="3171" builtinId="9" hidden="1"/>
    <cellStyle name="Followed Hyperlink" xfId="3133" builtinId="9" hidden="1"/>
    <cellStyle name="Followed Hyperlink" xfId="4827" builtinId="9" hidden="1"/>
    <cellStyle name="Followed Hyperlink" xfId="781" builtinId="9" hidden="1"/>
    <cellStyle name="Followed Hyperlink" xfId="1855" builtinId="9" hidden="1"/>
    <cellStyle name="Followed Hyperlink" xfId="2293" builtinId="9" hidden="1"/>
    <cellStyle name="Followed Hyperlink" xfId="4615" builtinId="9" hidden="1"/>
    <cellStyle name="Followed Hyperlink" xfId="2905" builtinId="9" hidden="1"/>
    <cellStyle name="Followed Hyperlink" xfId="2867" builtinId="9" hidden="1"/>
    <cellStyle name="Followed Hyperlink" xfId="2829" builtinId="9" hidden="1"/>
    <cellStyle name="Followed Hyperlink" xfId="6359" builtinId="9" hidden="1"/>
    <cellStyle name="Followed Hyperlink" xfId="3021" builtinId="9" hidden="1"/>
    <cellStyle name="Followed Hyperlink" xfId="2715" builtinId="9" hidden="1"/>
    <cellStyle name="Followed Hyperlink" xfId="2551" builtinId="9" hidden="1"/>
    <cellStyle name="Followed Hyperlink" xfId="2639" builtinId="9" hidden="1"/>
    <cellStyle name="Followed Hyperlink" xfId="2081" builtinId="9" hidden="1"/>
    <cellStyle name="Followed Hyperlink" xfId="2563" builtinId="9" hidden="1"/>
    <cellStyle name="Followed Hyperlink" xfId="2759" builtinId="9" hidden="1"/>
    <cellStyle name="Followed Hyperlink" xfId="6685" builtinId="9" hidden="1"/>
    <cellStyle name="Followed Hyperlink" xfId="2449" builtinId="9" hidden="1"/>
    <cellStyle name="Followed Hyperlink" xfId="4555" builtinId="9" hidden="1"/>
    <cellStyle name="Followed Hyperlink" xfId="2763" builtinId="9" hidden="1"/>
    <cellStyle name="Followed Hyperlink" xfId="5809" builtinId="9" hidden="1"/>
    <cellStyle name="Followed Hyperlink" xfId="2297" builtinId="9" hidden="1"/>
    <cellStyle name="Followed Hyperlink" xfId="2259" builtinId="9" hidden="1"/>
    <cellStyle name="Followed Hyperlink" xfId="6383" builtinId="9" hidden="1"/>
    <cellStyle name="Followed Hyperlink" xfId="2183" builtinId="9" hidden="1"/>
    <cellStyle name="Followed Hyperlink" xfId="609" builtinId="9" hidden="1"/>
    <cellStyle name="Followed Hyperlink" xfId="2107" builtinId="9" hidden="1"/>
    <cellStyle name="Followed Hyperlink" xfId="4145" builtinId="9" hidden="1"/>
    <cellStyle name="Followed Hyperlink" xfId="2031" builtinId="9" hidden="1"/>
    <cellStyle name="Followed Hyperlink" xfId="1993" builtinId="9" hidden="1"/>
    <cellStyle name="Followed Hyperlink" xfId="1955" builtinId="9" hidden="1"/>
    <cellStyle name="Followed Hyperlink" xfId="1917" builtinId="9" hidden="1"/>
    <cellStyle name="Followed Hyperlink" xfId="1879" builtinId="9" hidden="1"/>
    <cellStyle name="Followed Hyperlink" xfId="316" builtinId="9" hidden="1"/>
    <cellStyle name="Followed Hyperlink" xfId="1803" builtinId="9" hidden="1"/>
    <cellStyle name="Followed Hyperlink" xfId="1765" builtinId="9" hidden="1"/>
    <cellStyle name="Followed Hyperlink" xfId="6977" builtinId="9" hidden="1"/>
    <cellStyle name="Followed Hyperlink" xfId="1689" builtinId="9" hidden="1"/>
    <cellStyle name="Followed Hyperlink" xfId="7399" builtinId="9" hidden="1"/>
    <cellStyle name="Followed Hyperlink" xfId="7341" builtinId="9" hidden="1"/>
    <cellStyle name="Followed Hyperlink" xfId="4537" builtinId="9" hidden="1"/>
    <cellStyle name="Followed Hyperlink" xfId="1537" builtinId="9" hidden="1"/>
    <cellStyle name="Followed Hyperlink" xfId="6073" builtinId="9" hidden="1"/>
    <cellStyle name="Followed Hyperlink" xfId="1461" builtinId="9" hidden="1"/>
    <cellStyle name="Followed Hyperlink" xfId="1423" builtinId="9" hidden="1"/>
    <cellStyle name="Followed Hyperlink" xfId="1203" builtinId="9" hidden="1"/>
    <cellStyle name="Followed Hyperlink" xfId="3419" builtinId="9" hidden="1"/>
    <cellStyle name="Followed Hyperlink" xfId="1309" builtinId="9" hidden="1"/>
    <cellStyle name="Followed Hyperlink" xfId="1271" builtinId="9" hidden="1"/>
    <cellStyle name="Followed Hyperlink" xfId="1233" builtinId="9" hidden="1"/>
    <cellStyle name="Followed Hyperlink" xfId="6873" builtinId="9" hidden="1"/>
    <cellStyle name="Followed Hyperlink" xfId="1157" builtinId="9" hidden="1"/>
    <cellStyle name="Followed Hyperlink" xfId="6483" builtinId="9" hidden="1"/>
    <cellStyle name="Followed Hyperlink" xfId="3591" builtinId="9" hidden="1"/>
    <cellStyle name="Followed Hyperlink" xfId="1043" builtinId="9" hidden="1"/>
    <cellStyle name="Followed Hyperlink" xfId="1005" builtinId="9" hidden="1"/>
    <cellStyle name="Followed Hyperlink" xfId="967" builtinId="9" hidden="1"/>
    <cellStyle name="Followed Hyperlink" xfId="5885" builtinId="9" hidden="1"/>
    <cellStyle name="Followed Hyperlink" xfId="891" builtinId="9" hidden="1"/>
    <cellStyle name="Followed Hyperlink" xfId="66" builtinId="9" hidden="1"/>
    <cellStyle name="Followed Hyperlink" xfId="799" builtinId="9" hidden="1"/>
    <cellStyle name="Followed Hyperlink" xfId="1671" builtinId="9" hidden="1"/>
    <cellStyle name="Followed Hyperlink" xfId="6801" builtinId="9" hidden="1"/>
    <cellStyle name="Followed Hyperlink" xfId="701" builtinId="9" hidden="1"/>
    <cellStyle name="Followed Hyperlink" xfId="663" builtinId="9" hidden="1"/>
    <cellStyle name="Followed Hyperlink" xfId="625" builtinId="9" hidden="1"/>
    <cellStyle name="Followed Hyperlink" xfId="5797" builtinId="9" hidden="1"/>
    <cellStyle name="Followed Hyperlink" xfId="548" builtinId="9" hidden="1"/>
    <cellStyle name="Followed Hyperlink" xfId="1171" builtinId="9" hidden="1"/>
    <cellStyle name="Followed Hyperlink" xfId="3029" builtinId="9" hidden="1"/>
    <cellStyle name="Followed Hyperlink" xfId="6471" builtinId="9" hidden="1"/>
    <cellStyle name="Followed Hyperlink" xfId="396" builtinId="9" hidden="1"/>
    <cellStyle name="Followed Hyperlink" xfId="382" builtinId="9" hidden="1"/>
    <cellStyle name="Followed Hyperlink" xfId="2939" builtinId="9" hidden="1"/>
    <cellStyle name="Followed Hyperlink" xfId="282" builtinId="9" hidden="1"/>
    <cellStyle name="Followed Hyperlink" xfId="7733" builtinId="9" hidden="1"/>
    <cellStyle name="Followed Hyperlink" xfId="4337" builtinId="9" hidden="1"/>
    <cellStyle name="Followed Hyperlink" xfId="1279" builtinId="9" hidden="1"/>
    <cellStyle name="Followed Hyperlink" xfId="166" builtinId="9" hidden="1"/>
    <cellStyle name="Followed Hyperlink" xfId="8091" builtinId="9" hidden="1"/>
    <cellStyle name="Followed Hyperlink" xfId="278" builtinId="9" hidden="1"/>
    <cellStyle name="Followed Hyperlink" xfId="62" builtinId="9" hidden="1"/>
    <cellStyle name="Followed Hyperlink" xfId="114" builtinId="9" hidden="1"/>
    <cellStyle name="Followed Hyperlink" xfId="1175" builtinId="9" hidden="1"/>
    <cellStyle name="Followed Hyperlink" xfId="1055" builtinId="9" hidden="1"/>
    <cellStyle name="Followed Hyperlink" xfId="38" builtinId="9" hidden="1"/>
    <cellStyle name="Followed Hyperlink" xfId="154" builtinId="9" hidden="1"/>
    <cellStyle name="Followed Hyperlink" xfId="80" builtinId="9" hidden="1"/>
    <cellStyle name="Followed Hyperlink" xfId="310" builtinId="9" hidden="1"/>
    <cellStyle name="Followed Hyperlink" xfId="3317" builtinId="9" hidden="1"/>
    <cellStyle name="Followed Hyperlink" xfId="7349" builtinId="9" hidden="1"/>
    <cellStyle name="Followed Hyperlink" xfId="4861" builtinId="9" hidden="1"/>
    <cellStyle name="Followed Hyperlink" xfId="5577" builtinId="9" hidden="1"/>
    <cellStyle name="Followed Hyperlink" xfId="308" builtinId="9" hidden="1"/>
    <cellStyle name="Followed Hyperlink" xfId="7225" builtinId="9" hidden="1"/>
    <cellStyle name="Followed Hyperlink" xfId="384" builtinId="9" hidden="1"/>
    <cellStyle name="Followed Hyperlink" xfId="334" builtinId="9" hidden="1"/>
    <cellStyle name="Followed Hyperlink" xfId="460" builtinId="9" hidden="1"/>
    <cellStyle name="Followed Hyperlink" xfId="424" builtinId="9" hidden="1"/>
    <cellStyle name="Followed Hyperlink" xfId="536" builtinId="9" hidden="1"/>
    <cellStyle name="Followed Hyperlink" xfId="4799" builtinId="9" hidden="1"/>
    <cellStyle name="Followed Hyperlink" xfId="2873" builtinId="9" hidden="1"/>
    <cellStyle name="Followed Hyperlink" xfId="651" builtinId="9" hidden="1"/>
    <cellStyle name="Followed Hyperlink" xfId="3027" builtinId="9" hidden="1"/>
    <cellStyle name="Followed Hyperlink" xfId="7217" builtinId="9" hidden="1"/>
    <cellStyle name="Followed Hyperlink" xfId="7927" builtinId="9" hidden="1"/>
    <cellStyle name="Followed Hyperlink" xfId="2535" builtinId="9" hidden="1"/>
    <cellStyle name="Followed Hyperlink" xfId="1253" builtinId="9" hidden="1"/>
    <cellStyle name="Followed Hyperlink" xfId="5855" builtinId="9" hidden="1"/>
    <cellStyle name="Followed Hyperlink" xfId="2195" builtinId="9" hidden="1"/>
    <cellStyle name="Followed Hyperlink" xfId="955" builtinId="9" hidden="1"/>
    <cellStyle name="Followed Hyperlink" xfId="993" builtinId="9" hidden="1"/>
    <cellStyle name="Followed Hyperlink" xfId="1031" builtinId="9" hidden="1"/>
    <cellStyle name="Followed Hyperlink" xfId="7529" builtinId="9" hidden="1"/>
    <cellStyle name="Followed Hyperlink" xfId="1107" builtinId="9" hidden="1"/>
    <cellStyle name="Followed Hyperlink" xfId="3937" builtinId="9" hidden="1"/>
    <cellStyle name="Followed Hyperlink" xfId="2015" builtinId="9" hidden="1"/>
    <cellStyle name="Followed Hyperlink" xfId="478" builtinId="9" hidden="1"/>
    <cellStyle name="Followed Hyperlink" xfId="3409" builtinId="9" hidden="1"/>
    <cellStyle name="Followed Hyperlink" xfId="1019" builtinId="9" hidden="1"/>
    <cellStyle name="Followed Hyperlink" xfId="2209" builtinId="9" hidden="1"/>
    <cellStyle name="Followed Hyperlink" xfId="1373" builtinId="9" hidden="1"/>
    <cellStyle name="Followed Hyperlink" xfId="7723" builtinId="9" hidden="1"/>
    <cellStyle name="Followed Hyperlink" xfId="3567" builtinId="9" hidden="1"/>
    <cellStyle name="Followed Hyperlink" xfId="1487" builtinId="9" hidden="1"/>
    <cellStyle name="Followed Hyperlink" xfId="1525" builtinId="9" hidden="1"/>
    <cellStyle name="Followed Hyperlink" xfId="6581" builtinId="9" hidden="1"/>
    <cellStyle name="Followed Hyperlink" xfId="68" builtinId="9" hidden="1"/>
    <cellStyle name="Followed Hyperlink" xfId="1639" builtinId="9" hidden="1"/>
    <cellStyle name="Followed Hyperlink" xfId="5831" builtinId="9" hidden="1"/>
    <cellStyle name="Followed Hyperlink" xfId="2373" builtinId="9" hidden="1"/>
    <cellStyle name="Followed Hyperlink" xfId="2467" builtinId="9" hidden="1"/>
    <cellStyle name="Followed Hyperlink" xfId="1991" builtinId="9" hidden="1"/>
    <cellStyle name="Followed Hyperlink" xfId="4199" builtinId="9" hidden="1"/>
    <cellStyle name="Followed Hyperlink" xfId="1867" builtinId="9" hidden="1"/>
    <cellStyle name="Followed Hyperlink" xfId="3677" builtinId="9" hidden="1"/>
    <cellStyle name="Followed Hyperlink" xfId="1943" builtinId="9" hidden="1"/>
    <cellStyle name="Followed Hyperlink" xfId="1981" builtinId="9" hidden="1"/>
    <cellStyle name="Followed Hyperlink" xfId="5083" builtinId="9" hidden="1"/>
    <cellStyle name="Followed Hyperlink" xfId="2057" builtinId="9" hidden="1"/>
    <cellStyle name="Followed Hyperlink" xfId="2095" builtinId="9" hidden="1"/>
    <cellStyle name="Followed Hyperlink" xfId="2133" builtinId="9" hidden="1"/>
    <cellStyle name="Followed Hyperlink" xfId="2171" builtinId="9" hidden="1"/>
    <cellStyle name="Followed Hyperlink" xfId="2925" builtinId="9" hidden="1"/>
    <cellStyle name="Followed Hyperlink" xfId="2247" builtinId="9" hidden="1"/>
    <cellStyle name="Followed Hyperlink" xfId="741" builtinId="9" hidden="1"/>
    <cellStyle name="Followed Hyperlink" xfId="7839" builtinId="9" hidden="1"/>
    <cellStyle name="Followed Hyperlink" xfId="2361" builtinId="9" hidden="1"/>
    <cellStyle name="Followed Hyperlink" xfId="2399" builtinId="9" hidden="1"/>
    <cellStyle name="Followed Hyperlink" xfId="2437" builtinId="9" hidden="1"/>
    <cellStyle name="Followed Hyperlink" xfId="2475" builtinId="9" hidden="1"/>
    <cellStyle name="Followed Hyperlink" xfId="2309" builtinId="9" hidden="1"/>
    <cellStyle name="Followed Hyperlink" xfId="2393" builtinId="9" hidden="1"/>
    <cellStyle name="Followed Hyperlink" xfId="2841" builtinId="9" hidden="1"/>
    <cellStyle name="Followed Hyperlink" xfId="2627" builtinId="9" hidden="1"/>
    <cellStyle name="Followed Hyperlink" xfId="2427" builtinId="9" hidden="1"/>
    <cellStyle name="Followed Hyperlink" xfId="1857" builtinId="9" hidden="1"/>
    <cellStyle name="Followed Hyperlink" xfId="2741" builtinId="9" hidden="1"/>
    <cellStyle name="Followed Hyperlink" xfId="2779" builtinId="9" hidden="1"/>
    <cellStyle name="Followed Hyperlink" xfId="2817" builtinId="9" hidden="1"/>
    <cellStyle name="Followed Hyperlink" xfId="4101" builtinId="9" hidden="1"/>
    <cellStyle name="Followed Hyperlink" xfId="4941" builtinId="9" hidden="1"/>
    <cellStyle name="Followed Hyperlink" xfId="284" builtinId="9" hidden="1"/>
    <cellStyle name="Followed Hyperlink" xfId="2969" builtinId="9" hidden="1"/>
    <cellStyle name="Followed Hyperlink" xfId="7283" builtinId="9" hidden="1"/>
    <cellStyle name="Followed Hyperlink" xfId="3045" builtinId="9" hidden="1"/>
    <cellStyle name="Followed Hyperlink" xfId="3083" builtinId="9" hidden="1"/>
    <cellStyle name="Followed Hyperlink" xfId="1007" builtinId="9" hidden="1"/>
    <cellStyle name="Followed Hyperlink" xfId="2221" builtinId="9" hidden="1"/>
    <cellStyle name="Followed Hyperlink" xfId="2633" builtinId="9" hidden="1"/>
    <cellStyle name="Followed Hyperlink" xfId="3235" builtinId="9" hidden="1"/>
    <cellStyle name="Followed Hyperlink" xfId="721" builtinId="9" hidden="1"/>
    <cellStyle name="Followed Hyperlink" xfId="3311" builtinId="9" hidden="1"/>
    <cellStyle name="Followed Hyperlink" xfId="3349" builtinId="9" hidden="1"/>
    <cellStyle name="Followed Hyperlink" xfId="3387" builtinId="9" hidden="1"/>
    <cellStyle name="Followed Hyperlink" xfId="3561" builtinId="9" hidden="1"/>
    <cellStyle name="Followed Hyperlink" xfId="2069" builtinId="9" hidden="1"/>
    <cellStyle name="Followed Hyperlink" xfId="3501" builtinId="9" hidden="1"/>
    <cellStyle name="Followed Hyperlink" xfId="3539" builtinId="9" hidden="1"/>
    <cellStyle name="Followed Hyperlink" xfId="3577" builtinId="9" hidden="1"/>
    <cellStyle name="Followed Hyperlink" xfId="6019" builtinId="9" hidden="1"/>
    <cellStyle name="Followed Hyperlink" xfId="3653" builtinId="9" hidden="1"/>
    <cellStyle name="Followed Hyperlink" xfId="6403" builtinId="9" hidden="1"/>
    <cellStyle name="Followed Hyperlink" xfId="3729" builtinId="9" hidden="1"/>
    <cellStyle name="Followed Hyperlink" xfId="3767" builtinId="9" hidden="1"/>
    <cellStyle name="Followed Hyperlink" xfId="3805" builtinId="9" hidden="1"/>
    <cellStyle name="Followed Hyperlink" xfId="5229" builtinId="9" hidden="1"/>
    <cellStyle name="Followed Hyperlink" xfId="2771" builtinId="9" hidden="1"/>
    <cellStyle name="Followed Hyperlink" xfId="3919" builtinId="9" hidden="1"/>
    <cellStyle name="Followed Hyperlink" xfId="3957" builtinId="9" hidden="1"/>
    <cellStyle name="Followed Hyperlink" xfId="3995" builtinId="9" hidden="1"/>
    <cellStyle name="Followed Hyperlink" xfId="4033" builtinId="9" hidden="1"/>
    <cellStyle name="Followed Hyperlink" xfId="4071" builtinId="9" hidden="1"/>
    <cellStyle name="Followed Hyperlink" xfId="4109" builtinId="9" hidden="1"/>
    <cellStyle name="Followed Hyperlink" xfId="4147" builtinId="9" hidden="1"/>
    <cellStyle name="Followed Hyperlink" xfId="4185" builtinId="9" hidden="1"/>
    <cellStyle name="Followed Hyperlink" xfId="1389" builtinId="9" hidden="1"/>
    <cellStyle name="Followed Hyperlink" xfId="2305" builtinId="9" hidden="1"/>
    <cellStyle name="Followed Hyperlink" xfId="4049" builtinId="9" hidden="1"/>
    <cellStyle name="Followed Hyperlink" xfId="3907" builtinId="9" hidden="1"/>
    <cellStyle name="Followed Hyperlink" xfId="3673" builtinId="9" hidden="1"/>
    <cellStyle name="Followed Hyperlink" xfId="126" builtinId="9" hidden="1"/>
    <cellStyle name="Followed Hyperlink" xfId="3047" builtinId="9" hidden="1"/>
    <cellStyle name="Followed Hyperlink" xfId="7861" builtinId="9" hidden="1"/>
    <cellStyle name="Followed Hyperlink" xfId="4527" builtinId="9" hidden="1"/>
    <cellStyle name="Followed Hyperlink" xfId="4565" builtinId="9" hidden="1"/>
    <cellStyle name="Followed Hyperlink" xfId="7095" builtinId="9" hidden="1"/>
    <cellStyle name="Followed Hyperlink" xfId="3687" builtinId="9" hidden="1"/>
    <cellStyle name="Followed Hyperlink" xfId="4679" builtinId="9" hidden="1"/>
    <cellStyle name="Followed Hyperlink" xfId="4717" builtinId="9" hidden="1"/>
    <cellStyle name="Followed Hyperlink" xfId="4755" builtinId="9" hidden="1"/>
    <cellStyle name="Followed Hyperlink" xfId="4793" builtinId="9" hidden="1"/>
    <cellStyle name="Followed Hyperlink" xfId="4831" builtinId="9" hidden="1"/>
    <cellStyle name="Followed Hyperlink" xfId="254" builtinId="9" hidden="1"/>
    <cellStyle name="Followed Hyperlink" xfId="430" builtinId="9" hidden="1"/>
    <cellStyle name="Followed Hyperlink" xfId="4945" builtinId="9" hidden="1"/>
    <cellStyle name="Followed Hyperlink" xfId="4983" builtinId="9" hidden="1"/>
    <cellStyle name="Followed Hyperlink" xfId="7945" builtinId="9" hidden="1"/>
    <cellStyle name="Followed Hyperlink" xfId="5059" builtinId="9" hidden="1"/>
    <cellStyle name="Followed Hyperlink" xfId="5097" builtinId="9" hidden="1"/>
    <cellStyle name="Followed Hyperlink" xfId="6427" builtinId="9" hidden="1"/>
    <cellStyle name="Followed Hyperlink" xfId="2887" builtinId="9" hidden="1"/>
    <cellStyle name="Followed Hyperlink" xfId="3707" builtinId="9" hidden="1"/>
    <cellStyle name="Followed Hyperlink" xfId="1613" builtinId="9" hidden="1"/>
    <cellStyle name="Followed Hyperlink" xfId="5287" builtinId="9" hidden="1"/>
    <cellStyle name="Followed Hyperlink" xfId="5325" builtinId="9" hidden="1"/>
    <cellStyle name="Followed Hyperlink" xfId="5363" builtinId="9" hidden="1"/>
    <cellStyle name="Followed Hyperlink" xfId="5401" builtinId="9" hidden="1"/>
    <cellStyle name="Followed Hyperlink" xfId="1093" builtinId="9" hidden="1"/>
    <cellStyle name="Followed Hyperlink" xfId="5477" builtinId="9" hidden="1"/>
    <cellStyle name="Followed Hyperlink" xfId="4631" builtinId="9" hidden="1"/>
    <cellStyle name="Followed Hyperlink" xfId="7777" builtinId="9" hidden="1"/>
    <cellStyle name="Followed Hyperlink" xfId="2203" builtinId="9" hidden="1"/>
    <cellStyle name="Followed Hyperlink" xfId="5629" builtinId="9" hidden="1"/>
    <cellStyle name="Followed Hyperlink" xfId="3629" builtinId="9" hidden="1"/>
    <cellStyle name="Followed Hyperlink" xfId="6249" builtinId="9" hidden="1"/>
    <cellStyle name="Followed Hyperlink" xfId="5743" builtinId="9" hidden="1"/>
    <cellStyle name="Followed Hyperlink" xfId="1543" builtinId="9" hidden="1"/>
    <cellStyle name="Followed Hyperlink" xfId="146" builtinId="9" hidden="1"/>
    <cellStyle name="Followed Hyperlink" xfId="5171" builtinId="9" hidden="1"/>
    <cellStyle name="Followed Hyperlink" xfId="4339" builtinId="9" hidden="1"/>
    <cellStyle name="Followed Hyperlink" xfId="1743" builtinId="9" hidden="1"/>
    <cellStyle name="Followed Hyperlink" xfId="576" builtinId="9" hidden="1"/>
    <cellStyle name="Followed Hyperlink" xfId="1757" builtinId="9" hidden="1"/>
    <cellStyle name="Followed Hyperlink" xfId="4263" builtinId="9" hidden="1"/>
    <cellStyle name="Followed Hyperlink" xfId="6313" builtinId="9" hidden="1"/>
    <cellStyle name="Followed Hyperlink" xfId="3227" builtinId="9" hidden="1"/>
    <cellStyle name="Followed Hyperlink" xfId="4287" builtinId="9" hidden="1"/>
    <cellStyle name="Followed Hyperlink" xfId="5837" builtinId="9" hidden="1"/>
    <cellStyle name="Followed Hyperlink" xfId="6351" builtinId="9" hidden="1"/>
    <cellStyle name="Followed Hyperlink" xfId="4351" builtinId="9" hidden="1"/>
    <cellStyle name="Followed Hyperlink" xfId="4533" builtinId="9" hidden="1"/>
    <cellStyle name="Followed Hyperlink" xfId="7907" builtinId="9" hidden="1"/>
    <cellStyle name="Followed Hyperlink" xfId="3807" builtinId="9" hidden="1"/>
    <cellStyle name="Followed Hyperlink" xfId="5895" builtinId="9" hidden="1"/>
    <cellStyle name="Followed Hyperlink" xfId="32" builtinId="9" hidden="1"/>
    <cellStyle name="Followed Hyperlink" xfId="6503" builtinId="9" hidden="1"/>
    <cellStyle name="Followed Hyperlink" xfId="6541" builtinId="9" hidden="1"/>
    <cellStyle name="Followed Hyperlink" xfId="6579" builtinId="9" hidden="1"/>
    <cellStyle name="Followed Hyperlink" xfId="4979" builtinId="9" hidden="1"/>
    <cellStyle name="Followed Hyperlink" xfId="6655" builtinId="9" hidden="1"/>
    <cellStyle name="Followed Hyperlink" xfId="6693" builtinId="9" hidden="1"/>
    <cellStyle name="Followed Hyperlink" xfId="5169" builtinId="9" hidden="1"/>
    <cellStyle name="Followed Hyperlink" xfId="947" builtinId="9" hidden="1"/>
    <cellStyle name="Followed Hyperlink" xfId="649" builtinId="9" hidden="1"/>
    <cellStyle name="Followed Hyperlink" xfId="6845" builtinId="9" hidden="1"/>
    <cellStyle name="Followed Hyperlink" xfId="4523" builtinId="9" hidden="1"/>
    <cellStyle name="Followed Hyperlink" xfId="6921" builtinId="9" hidden="1"/>
    <cellStyle name="Followed Hyperlink" xfId="6959" builtinId="9" hidden="1"/>
    <cellStyle name="Followed Hyperlink" xfId="6997" builtinId="9" hidden="1"/>
    <cellStyle name="Followed Hyperlink" xfId="3315" builtinId="9" hidden="1"/>
    <cellStyle name="Followed Hyperlink" xfId="7073" builtinId="9" hidden="1"/>
    <cellStyle name="Followed Hyperlink" xfId="1675" builtinId="9" hidden="1"/>
    <cellStyle name="Followed Hyperlink" xfId="7149" builtinId="9" hidden="1"/>
    <cellStyle name="Followed Hyperlink" xfId="6209" builtinId="9" hidden="1"/>
    <cellStyle name="Followed Hyperlink" xfId="6999" builtinId="9" hidden="1"/>
    <cellStyle name="Followed Hyperlink" xfId="7263" builtinId="9" hidden="1"/>
    <cellStyle name="Followed Hyperlink" xfId="6225" builtinId="9" hidden="1"/>
    <cellStyle name="Followed Hyperlink" xfId="4695" builtinId="9" hidden="1"/>
    <cellStyle name="Followed Hyperlink" xfId="5239" builtinId="9" hidden="1"/>
    <cellStyle name="Followed Hyperlink" xfId="7415" builtinId="9" hidden="1"/>
    <cellStyle name="Followed Hyperlink" xfId="4633" builtinId="9" hidden="1"/>
    <cellStyle name="Followed Hyperlink" xfId="7491" builtinId="9" hidden="1"/>
    <cellStyle name="Followed Hyperlink" xfId="6621" builtinId="9" hidden="1"/>
    <cellStyle name="Followed Hyperlink" xfId="7567" builtinId="9" hidden="1"/>
    <cellStyle name="Followed Hyperlink" xfId="1377" builtinId="9" hidden="1"/>
    <cellStyle name="Followed Hyperlink" xfId="328" builtinId="9" hidden="1"/>
    <cellStyle name="Followed Hyperlink" xfId="7681" builtinId="9" hidden="1"/>
    <cellStyle name="Followed Hyperlink" xfId="7719" builtinId="9" hidden="1"/>
    <cellStyle name="Followed Hyperlink" xfId="7461" builtinId="9" hidden="1"/>
    <cellStyle name="Followed Hyperlink" xfId="7795" builtinId="9" hidden="1"/>
    <cellStyle name="Followed Hyperlink" xfId="7833" builtinId="9" hidden="1"/>
    <cellStyle name="Followed Hyperlink" xfId="320" builtinId="9" hidden="1"/>
    <cellStyle name="Followed Hyperlink" xfId="7909" builtinId="9" hidden="1"/>
    <cellStyle name="Followed Hyperlink" xfId="1223" builtinId="9" hidden="1"/>
    <cellStyle name="Followed Hyperlink" xfId="7985" builtinId="9" hidden="1"/>
    <cellStyle name="Followed Hyperlink" xfId="8023" builtinId="9" hidden="1"/>
    <cellStyle name="Followed Hyperlink" xfId="8061" builtinId="9" hidden="1"/>
    <cellStyle name="Followed Hyperlink" xfId="8099" builtinId="9" hidden="1"/>
    <cellStyle name="Followed Hyperlink" xfId="8141" builtinId="9" hidden="1"/>
    <cellStyle name="Followed Hyperlink" xfId="7435" builtinId="9" hidden="1"/>
    <cellStyle name="Followed Hyperlink" xfId="4743" builtinId="9" hidden="1"/>
    <cellStyle name="Followed Hyperlink" xfId="304" builtinId="9" hidden="1"/>
    <cellStyle name="Followed Hyperlink" xfId="8095" builtinId="9" hidden="1"/>
    <cellStyle name="Followed Hyperlink" xfId="8057" builtinId="9" hidden="1"/>
    <cellStyle name="Followed Hyperlink" xfId="847" builtinId="9" hidden="1"/>
    <cellStyle name="Followed Hyperlink" xfId="7981" builtinId="9" hidden="1"/>
    <cellStyle name="Followed Hyperlink" xfId="7943" builtinId="9" hidden="1"/>
    <cellStyle name="Followed Hyperlink" xfId="7905" builtinId="9" hidden="1"/>
    <cellStyle name="Followed Hyperlink" xfId="2405" builtinId="9" hidden="1"/>
    <cellStyle name="Followed Hyperlink" xfId="7829" builtinId="9" hidden="1"/>
    <cellStyle name="Followed Hyperlink" xfId="1501" builtinId="9" hidden="1"/>
    <cellStyle name="Followed Hyperlink" xfId="7753" builtinId="9" hidden="1"/>
    <cellStyle name="Followed Hyperlink" xfId="7715" builtinId="9" hidden="1"/>
    <cellStyle name="Followed Hyperlink" xfId="5659" builtinId="9" hidden="1"/>
    <cellStyle name="Followed Hyperlink" xfId="7639" builtinId="9" hidden="1"/>
    <cellStyle name="Followed Hyperlink" xfId="7601" builtinId="9" hidden="1"/>
    <cellStyle name="Followed Hyperlink" xfId="7563" builtinId="9" hidden="1"/>
    <cellStyle name="Followed Hyperlink" xfId="7525" builtinId="9" hidden="1"/>
    <cellStyle name="Followed Hyperlink" xfId="2117" builtinId="9" hidden="1"/>
    <cellStyle name="Followed Hyperlink" xfId="7449" builtinId="9" hidden="1"/>
    <cellStyle name="Followed Hyperlink" xfId="566" builtinId="9" hidden="1"/>
    <cellStyle name="Followed Hyperlink" xfId="2707" builtinId="9" hidden="1"/>
    <cellStyle name="Followed Hyperlink" xfId="6633" builtinId="9" hidden="1"/>
    <cellStyle name="Followed Hyperlink" xfId="6127" builtinId="9" hidden="1"/>
    <cellStyle name="Followed Hyperlink" xfId="3523" builtinId="9" hidden="1"/>
    <cellStyle name="Followed Hyperlink" xfId="4413" builtinId="9" hidden="1"/>
    <cellStyle name="Followed Hyperlink" xfId="5905" builtinId="9" hidden="1"/>
    <cellStyle name="Followed Hyperlink" xfId="5189" builtinId="9" hidden="1"/>
    <cellStyle name="Followed Hyperlink" xfId="3369" builtinId="9" hidden="1"/>
    <cellStyle name="Followed Hyperlink" xfId="1645" builtinId="9" hidden="1"/>
    <cellStyle name="Followed Hyperlink" xfId="8103" builtinId="9" hidden="1"/>
    <cellStyle name="Followed Hyperlink" xfId="6993" builtinId="9" hidden="1"/>
    <cellStyle name="Followed Hyperlink" xfId="2149" builtinId="9" hidden="1"/>
    <cellStyle name="Followed Hyperlink" xfId="472" builtinId="9" hidden="1"/>
    <cellStyle name="Followed Hyperlink" xfId="4221" builtinId="9" hidden="1"/>
    <cellStyle name="Followed Hyperlink" xfId="1051" builtinId="9" hidden="1"/>
    <cellStyle name="Followed Hyperlink" xfId="6505" builtinId="9" hidden="1"/>
    <cellStyle name="Followed Hyperlink" xfId="6765" builtinId="9" hidden="1"/>
    <cellStyle name="Followed Hyperlink" xfId="6727" builtinId="9" hidden="1"/>
    <cellStyle name="Followed Hyperlink" xfId="3847" builtinId="9" hidden="1"/>
    <cellStyle name="Followed Hyperlink" xfId="5043" builtinId="9" hidden="1"/>
    <cellStyle name="Followed Hyperlink" xfId="6991" builtinId="9" hidden="1"/>
    <cellStyle name="Followed Hyperlink" xfId="2055" builtinId="9" hidden="1"/>
    <cellStyle name="Followed Hyperlink" xfId="1451" builtinId="9" hidden="1"/>
    <cellStyle name="Followed Hyperlink" xfId="6499" builtinId="9" hidden="1"/>
    <cellStyle name="Followed Hyperlink" xfId="1731" builtinId="9" hidden="1"/>
    <cellStyle name="Followed Hyperlink" xfId="6423" builtinId="9" hidden="1"/>
    <cellStyle name="Followed Hyperlink" xfId="6385" builtinId="9" hidden="1"/>
    <cellStyle name="Followed Hyperlink" xfId="6347" builtinId="9" hidden="1"/>
    <cellStyle name="Followed Hyperlink" xfId="3905" builtinId="9" hidden="1"/>
    <cellStyle name="Followed Hyperlink" xfId="7735" builtinId="9" hidden="1"/>
    <cellStyle name="Followed Hyperlink" xfId="7975" builtinId="9" hidden="1"/>
    <cellStyle name="Followed Hyperlink" xfId="5741" builtinId="9" hidden="1"/>
    <cellStyle name="Followed Hyperlink" xfId="102" builtinId="9" hidden="1"/>
    <cellStyle name="Followed Hyperlink" xfId="6113" builtinId="9" hidden="1"/>
    <cellStyle name="Followed Hyperlink" xfId="6081" builtinId="9" hidden="1"/>
    <cellStyle name="Followed Hyperlink" xfId="6495" builtinId="9" hidden="1"/>
    <cellStyle name="Followed Hyperlink" xfId="3781" builtinId="9" hidden="1"/>
    <cellStyle name="Followed Hyperlink" xfId="8161" builtinId="9" hidden="1"/>
    <cellStyle name="Followed Hyperlink" xfId="5929" builtinId="9" hidden="1"/>
    <cellStyle name="Followed Hyperlink" xfId="7659" builtinId="9" hidden="1"/>
    <cellStyle name="Followed Hyperlink" xfId="5853" builtinId="9" hidden="1"/>
    <cellStyle name="Followed Hyperlink" xfId="5815" builtinId="9" hidden="1"/>
    <cellStyle name="Followed Hyperlink" xfId="5777" builtinId="9" hidden="1"/>
    <cellStyle name="Followed Hyperlink" xfId="5739" builtinId="9" hidden="1"/>
    <cellStyle name="Followed Hyperlink" xfId="5701" builtinId="9" hidden="1"/>
    <cellStyle name="Followed Hyperlink" xfId="5663" builtinId="9" hidden="1"/>
    <cellStyle name="Followed Hyperlink" xfId="5625" builtinId="9" hidden="1"/>
    <cellStyle name="Followed Hyperlink" xfId="1703" builtinId="9" hidden="1"/>
    <cellStyle name="Followed Hyperlink" xfId="5549" builtinId="9" hidden="1"/>
    <cellStyle name="Followed Hyperlink" xfId="8175" builtinId="9" hidden="1"/>
    <cellStyle name="Followed Hyperlink" xfId="7823" builtinId="9" hidden="1"/>
    <cellStyle name="Followed Hyperlink" xfId="5435" builtinId="9" hidden="1"/>
    <cellStyle name="Followed Hyperlink" xfId="7991" builtinId="9" hidden="1"/>
    <cellStyle name="Followed Hyperlink" xfId="6925" builtinId="9" hidden="1"/>
    <cellStyle name="Followed Hyperlink" xfId="418" builtinId="9" hidden="1"/>
    <cellStyle name="Followed Hyperlink" xfId="5283" builtinId="9" hidden="1"/>
    <cellStyle name="Followed Hyperlink" xfId="5245" builtinId="9" hidden="1"/>
    <cellStyle name="Followed Hyperlink" xfId="1213" builtinId="9" hidden="1"/>
    <cellStyle name="Followed Hyperlink" xfId="1819" builtinId="9" hidden="1"/>
    <cellStyle name="Followed Hyperlink" xfId="5131" builtinId="9" hidden="1"/>
    <cellStyle name="Followed Hyperlink" xfId="7591" builtinId="9" hidden="1"/>
    <cellStyle name="Followed Hyperlink" xfId="5819" builtinId="9" hidden="1"/>
    <cellStyle name="Followed Hyperlink" xfId="5017" builtinId="9" hidden="1"/>
    <cellStyle name="Followed Hyperlink" xfId="3615" builtinId="9" hidden="1"/>
    <cellStyle name="Followed Hyperlink" xfId="5851" builtinId="9" hidden="1"/>
    <cellStyle name="Followed Hyperlink" xfId="3425" builtinId="9" hidden="1"/>
    <cellStyle name="Followed Hyperlink" xfId="4865" builtinId="9" hidden="1"/>
    <cellStyle name="Followed Hyperlink" xfId="755" builtinId="9" hidden="1"/>
    <cellStyle name="Followed Hyperlink" xfId="4789" builtinId="9" hidden="1"/>
    <cellStyle name="Followed Hyperlink" xfId="4751" builtinId="9" hidden="1"/>
    <cellStyle name="Followed Hyperlink" xfId="4713" builtinId="9" hidden="1"/>
    <cellStyle name="Followed Hyperlink" xfId="3961" builtinId="9" hidden="1"/>
    <cellStyle name="Followed Hyperlink" xfId="665" builtinId="9" hidden="1"/>
    <cellStyle name="Followed Hyperlink" xfId="4989" builtinId="9" hidden="1"/>
    <cellStyle name="Followed Hyperlink" xfId="4561" builtinId="9" hidden="1"/>
    <cellStyle name="Followed Hyperlink" xfId="5775" builtinId="9" hidden="1"/>
    <cellStyle name="Followed Hyperlink" xfId="7609" builtinId="9" hidden="1"/>
    <cellStyle name="Followed Hyperlink" xfId="3855" builtinId="9" hidden="1"/>
    <cellStyle name="Followed Hyperlink" xfId="4409" builtinId="9" hidden="1"/>
    <cellStyle name="Followed Hyperlink" xfId="4371" builtinId="9" hidden="1"/>
    <cellStyle name="Followed Hyperlink" xfId="4333" builtinId="9" hidden="1"/>
    <cellStyle name="Followed Hyperlink" xfId="4295" builtinId="9" hidden="1"/>
    <cellStyle name="Followed Hyperlink" xfId="6897" builtinId="9" hidden="1"/>
    <cellStyle name="Followed Hyperlink" xfId="7339" builtinId="9" hidden="1"/>
    <cellStyle name="Followed Hyperlink" xfId="791" builtinId="9" hidden="1"/>
    <cellStyle name="Followed Hyperlink" xfId="4143" builtinId="9" hidden="1"/>
    <cellStyle name="Followed Hyperlink" xfId="3285" builtinId="9" hidden="1"/>
    <cellStyle name="Followed Hyperlink" xfId="4067" builtinId="9" hidden="1"/>
    <cellStyle name="Followed Hyperlink" xfId="4493" builtinId="9" hidden="1"/>
    <cellStyle name="Followed Hyperlink" xfId="3991" builtinId="9" hidden="1"/>
    <cellStyle name="Followed Hyperlink" xfId="6337" builtinId="9" hidden="1"/>
    <cellStyle name="Followed Hyperlink" xfId="3915" builtinId="9" hidden="1"/>
    <cellStyle name="Followed Hyperlink" xfId="3877" builtinId="9" hidden="1"/>
    <cellStyle name="Followed Hyperlink" xfId="3135" builtinId="9" hidden="1"/>
    <cellStyle name="Followed Hyperlink" xfId="3873" builtinId="9" hidden="1"/>
    <cellStyle name="Followed Hyperlink" xfId="3541" builtinId="9" hidden="1"/>
    <cellStyle name="Followed Hyperlink" xfId="3725" builtinId="9" hidden="1"/>
    <cellStyle name="Followed Hyperlink" xfId="3253" builtinId="9" hidden="1"/>
    <cellStyle name="Followed Hyperlink" xfId="6851" builtinId="9" hidden="1"/>
    <cellStyle name="Followed Hyperlink" xfId="2757" builtinId="9" hidden="1"/>
    <cellStyle name="Followed Hyperlink" xfId="3573" builtinId="9" hidden="1"/>
    <cellStyle name="Followed Hyperlink" xfId="3535" builtinId="9" hidden="1"/>
    <cellStyle name="Followed Hyperlink" xfId="3497" builtinId="9" hidden="1"/>
    <cellStyle name="Followed Hyperlink" xfId="3459" builtinId="9" hidden="1"/>
    <cellStyle name="Followed Hyperlink" xfId="3421" builtinId="9" hidden="1"/>
    <cellStyle name="Followed Hyperlink" xfId="3383" builtinId="9" hidden="1"/>
    <cellStyle name="Followed Hyperlink" xfId="5125" builtinId="9" hidden="1"/>
    <cellStyle name="Followed Hyperlink" xfId="4599" builtinId="9" hidden="1"/>
    <cellStyle name="Followed Hyperlink" xfId="3269" builtinId="9" hidden="1"/>
    <cellStyle name="Followed Hyperlink" xfId="7671" builtinId="9" hidden="1"/>
    <cellStyle name="Followed Hyperlink" xfId="3193" builtinId="9" hidden="1"/>
    <cellStyle name="Followed Hyperlink" xfId="3155" builtinId="9" hidden="1"/>
    <cellStyle name="Followed Hyperlink" xfId="3117" builtinId="9" hidden="1"/>
    <cellStyle name="Followed Hyperlink" xfId="5649" builtinId="9" hidden="1"/>
    <cellStyle name="Followed Hyperlink" xfId="3041" builtinId="9" hidden="1"/>
    <cellStyle name="Followed Hyperlink" xfId="1603" builtinId="9" hidden="1"/>
    <cellStyle name="Followed Hyperlink" xfId="2965" builtinId="9" hidden="1"/>
    <cellStyle name="Followed Hyperlink" xfId="2927" builtinId="9" hidden="1"/>
    <cellStyle name="Followed Hyperlink" xfId="7307" builtinId="9" hidden="1"/>
    <cellStyle name="Followed Hyperlink" xfId="2851" builtinId="9" hidden="1"/>
    <cellStyle name="Followed Hyperlink" xfId="2813" builtinId="9" hidden="1"/>
    <cellStyle name="Followed Hyperlink" xfId="2775" builtinId="9" hidden="1"/>
    <cellStyle name="Followed Hyperlink" xfId="8019" builtinId="9" hidden="1"/>
    <cellStyle name="Followed Hyperlink" xfId="2699" builtinId="9" hidden="1"/>
    <cellStyle name="Followed Hyperlink" xfId="871" builtinId="9" hidden="1"/>
    <cellStyle name="Followed Hyperlink" xfId="4341" builtinId="9" hidden="1"/>
    <cellStyle name="Followed Hyperlink" xfId="6309" builtinId="9" hidden="1"/>
    <cellStyle name="Followed Hyperlink" xfId="2547" builtinId="9" hidden="1"/>
    <cellStyle name="Followed Hyperlink" xfId="6689" builtinId="9" hidden="1"/>
    <cellStyle name="Followed Hyperlink" xfId="6307" builtinId="9" hidden="1"/>
    <cellStyle name="Followed Hyperlink" xfId="8043" builtinId="9" hidden="1"/>
    <cellStyle name="Followed Hyperlink" xfId="2395" builtinId="9" hidden="1"/>
    <cellStyle name="Followed Hyperlink" xfId="7425" builtinId="9" hidden="1"/>
    <cellStyle name="Followed Hyperlink" xfId="6315" builtinId="9" hidden="1"/>
    <cellStyle name="Followed Hyperlink" xfId="2281" builtinId="9" hidden="1"/>
    <cellStyle name="Followed Hyperlink" xfId="5429" builtinId="9" hidden="1"/>
    <cellStyle name="Followed Hyperlink" xfId="3333" builtinId="9" hidden="1"/>
    <cellStyle name="Followed Hyperlink" xfId="2543" builtinId="9" hidden="1"/>
    <cellStyle name="Followed Hyperlink" xfId="78" builtinId="9" hidden="1"/>
    <cellStyle name="Followed Hyperlink" xfId="2091" builtinId="9" hidden="1"/>
    <cellStyle name="Followed Hyperlink" xfId="2053" builtinId="9" hidden="1"/>
    <cellStyle name="Followed Hyperlink" xfId="6679" builtinId="9" hidden="1"/>
    <cellStyle name="Followed Hyperlink" xfId="3483" builtinId="9" hidden="1"/>
    <cellStyle name="Followed Hyperlink" xfId="1939" builtinId="9" hidden="1"/>
    <cellStyle name="Followed Hyperlink" xfId="4401" builtinId="9" hidden="1"/>
    <cellStyle name="Followed Hyperlink" xfId="1863" builtinId="9" hidden="1"/>
    <cellStyle name="Followed Hyperlink" xfId="5353" builtinId="9" hidden="1"/>
    <cellStyle name="Followed Hyperlink" xfId="1787" builtinId="9" hidden="1"/>
    <cellStyle name="Followed Hyperlink" xfId="1749" builtinId="9" hidden="1"/>
    <cellStyle name="Followed Hyperlink" xfId="5907" builtinId="9" hidden="1"/>
    <cellStyle name="Followed Hyperlink" xfId="7619" builtinId="9" hidden="1"/>
    <cellStyle name="Followed Hyperlink" xfId="1635" builtinId="9" hidden="1"/>
    <cellStyle name="Followed Hyperlink" xfId="1597" builtinId="9" hidden="1"/>
    <cellStyle name="Followed Hyperlink" xfId="1559" builtinId="9" hidden="1"/>
    <cellStyle name="Followed Hyperlink" xfId="7801" builtinId="9" hidden="1"/>
    <cellStyle name="Followed Hyperlink" xfId="6089" builtinId="9" hidden="1"/>
    <cellStyle name="Followed Hyperlink" xfId="1445" builtinId="9" hidden="1"/>
    <cellStyle name="Followed Hyperlink" xfId="2943" builtinId="9" hidden="1"/>
    <cellStyle name="Followed Hyperlink" xfId="572" builtinId="9" hidden="1"/>
    <cellStyle name="Followed Hyperlink" xfId="1331" builtinId="9" hidden="1"/>
    <cellStyle name="Followed Hyperlink" xfId="1293" builtinId="9" hidden="1"/>
    <cellStyle name="Followed Hyperlink" xfId="1255" builtinId="9" hidden="1"/>
    <cellStyle name="Followed Hyperlink" xfId="3403" builtinId="9" hidden="1"/>
    <cellStyle name="Followed Hyperlink" xfId="6759" builtinId="9" hidden="1"/>
    <cellStyle name="Followed Hyperlink" xfId="3555" builtinId="9" hidden="1"/>
    <cellStyle name="Followed Hyperlink" xfId="1103" builtinId="9" hidden="1"/>
    <cellStyle name="Followed Hyperlink" xfId="1649" builtinId="9" hidden="1"/>
    <cellStyle name="Followed Hyperlink" xfId="1027" builtinId="9" hidden="1"/>
    <cellStyle name="Followed Hyperlink" xfId="3841" builtinId="9" hidden="1"/>
    <cellStyle name="Followed Hyperlink" xfId="951" builtinId="9" hidden="1"/>
    <cellStyle name="Followed Hyperlink" xfId="5527" builtinId="9" hidden="1"/>
    <cellStyle name="Followed Hyperlink" xfId="6783" builtinId="9" hidden="1"/>
    <cellStyle name="Followed Hyperlink" xfId="837" builtinId="9" hidden="1"/>
    <cellStyle name="Followed Hyperlink" xfId="1695" builtinId="9" hidden="1"/>
    <cellStyle name="Followed Hyperlink" xfId="761" builtinId="9" hidden="1"/>
    <cellStyle name="Followed Hyperlink" xfId="302" builtinId="9" hidden="1"/>
    <cellStyle name="Followed Hyperlink" xfId="2011" builtinId="9" hidden="1"/>
    <cellStyle name="Followed Hyperlink" xfId="1997" builtinId="9" hidden="1"/>
    <cellStyle name="Followed Hyperlink" xfId="4819" builtinId="9" hidden="1"/>
    <cellStyle name="Followed Hyperlink" xfId="570" builtinId="9" hidden="1"/>
    <cellStyle name="Followed Hyperlink" xfId="532" builtinId="9" hidden="1"/>
    <cellStyle name="Followed Hyperlink" xfId="767" builtinId="9" hidden="1"/>
    <cellStyle name="Followed Hyperlink" xfId="7205" builtinId="9" hidden="1"/>
    <cellStyle name="Followed Hyperlink" xfId="8081" builtinId="9" hidden="1"/>
    <cellStyle name="Followed Hyperlink" xfId="5683" builtinId="9" hidden="1"/>
    <cellStyle name="Followed Hyperlink" xfId="6283" builtinId="9" hidden="1"/>
    <cellStyle name="Followed Hyperlink" xfId="3499" builtinId="9" hidden="1"/>
    <cellStyle name="Followed Hyperlink" xfId="6163" builtinId="9" hidden="1"/>
    <cellStyle name="Followed Hyperlink" xfId="228" builtinId="9" hidden="1"/>
    <cellStyle name="Followed Hyperlink" xfId="7489" builtinId="9" hidden="1"/>
    <cellStyle name="Followed Hyperlink" xfId="152" builtinId="9" hidden="1"/>
    <cellStyle name="Followed Hyperlink" xfId="178" builtinId="9" hidden="1"/>
    <cellStyle name="Followed Hyperlink" xfId="76" builtinId="9" hidden="1"/>
    <cellStyle name="Followed Hyperlink" xfId="286" builtinId="9" hidden="1"/>
    <cellStyle name="Followed Hyperlink" xfId="4629" builtinId="9" hidden="1"/>
    <cellStyle name="Followed Hyperlink" xfId="82" builtinId="9" hidden="1"/>
    <cellStyle name="Followed Hyperlink" xfId="10" builtinId="9" hidden="1"/>
    <cellStyle name="Followed Hyperlink" xfId="6529" builtinId="9" hidden="1"/>
    <cellStyle name="Followed Hyperlink" xfId="691" builtinId="9" hidden="1"/>
    <cellStyle name="Followed Hyperlink" xfId="186" builtinId="9" hidden="1"/>
    <cellStyle name="Followed Hyperlink" xfId="96" builtinId="9" hidden="1"/>
    <cellStyle name="Followed Hyperlink" xfId="342" builtinId="9" hidden="1"/>
    <cellStyle name="Followed Hyperlink" xfId="1429" builtinId="9" hidden="1"/>
    <cellStyle name="Followed Hyperlink" xfId="3371" builtinId="9" hidden="1"/>
    <cellStyle name="Followed Hyperlink" xfId="2411" builtinId="9" hidden="1"/>
    <cellStyle name="Followed Hyperlink" xfId="1375" builtinId="9" hidden="1"/>
    <cellStyle name="Followed Hyperlink" xfId="1905" builtinId="9" hidden="1"/>
    <cellStyle name="Followed Hyperlink" xfId="3451" builtinId="9" hidden="1"/>
    <cellStyle name="Followed Hyperlink" xfId="400" builtinId="9" hidden="1"/>
    <cellStyle name="Followed Hyperlink" xfId="1061" builtinId="9" hidden="1"/>
    <cellStyle name="Followed Hyperlink" xfId="2249" builtinId="9" hidden="1"/>
    <cellStyle name="Followed Hyperlink" xfId="514" builtinId="9" hidden="1"/>
    <cellStyle name="Followed Hyperlink" xfId="2431" builtinId="9" hidden="1"/>
    <cellStyle name="Followed Hyperlink" xfId="959" builtinId="9" hidden="1"/>
    <cellStyle name="Followed Hyperlink" xfId="629" builtinId="9" hidden="1"/>
    <cellStyle name="Followed Hyperlink" xfId="667" builtinId="9" hidden="1"/>
    <cellStyle name="Followed Hyperlink" xfId="705" builtinId="9" hidden="1"/>
    <cellStyle name="Followed Hyperlink" xfId="5719" builtinId="9" hidden="1"/>
    <cellStyle name="Followed Hyperlink" xfId="5337" builtinId="9" hidden="1"/>
    <cellStyle name="Followed Hyperlink" xfId="1609" builtinId="9" hidden="1"/>
    <cellStyle name="Followed Hyperlink" xfId="857" builtinId="9" hidden="1"/>
    <cellStyle name="Followed Hyperlink" xfId="2687" builtinId="9" hidden="1"/>
    <cellStyle name="Followed Hyperlink" xfId="933" builtinId="9" hidden="1"/>
    <cellStyle name="Followed Hyperlink" xfId="971" builtinId="9" hidden="1"/>
    <cellStyle name="Followed Hyperlink" xfId="1681" builtinId="9" hidden="1"/>
    <cellStyle name="Followed Hyperlink" xfId="4959" builtinId="9" hidden="1"/>
    <cellStyle name="Followed Hyperlink" xfId="5157" builtinId="9" hidden="1"/>
    <cellStyle name="Followed Hyperlink" xfId="1123" builtinId="9" hidden="1"/>
    <cellStyle name="Followed Hyperlink" xfId="1161" builtinId="9" hidden="1"/>
    <cellStyle name="Followed Hyperlink" xfId="743" builtinId="9" hidden="1"/>
    <cellStyle name="Followed Hyperlink" xfId="599" builtinId="9" hidden="1"/>
    <cellStyle name="Followed Hyperlink" xfId="6265" builtinId="9" hidden="1"/>
    <cellStyle name="Followed Hyperlink" xfId="1313" builtinId="9" hidden="1"/>
    <cellStyle name="Followed Hyperlink" xfId="1351" builtinId="9" hidden="1"/>
    <cellStyle name="Followed Hyperlink" xfId="5603" builtinId="9" hidden="1"/>
    <cellStyle name="Followed Hyperlink" xfId="1427" builtinId="9" hidden="1"/>
    <cellStyle name="Followed Hyperlink" xfId="1465" builtinId="9" hidden="1"/>
    <cellStyle name="Followed Hyperlink" xfId="1791" builtinId="9" hidden="1"/>
    <cellStyle name="Followed Hyperlink" xfId="5535" builtinId="9" hidden="1"/>
    <cellStyle name="Followed Hyperlink" xfId="1579" builtinId="9" hidden="1"/>
    <cellStyle name="Followed Hyperlink" xfId="1617" builtinId="9" hidden="1"/>
    <cellStyle name="Followed Hyperlink" xfId="1655" builtinId="9" hidden="1"/>
    <cellStyle name="Followed Hyperlink" xfId="3367" builtinId="9" hidden="1"/>
    <cellStyle name="Followed Hyperlink" xfId="7363" builtinId="9" hidden="1"/>
    <cellStyle name="Followed Hyperlink" xfId="1769" builtinId="9" hidden="1"/>
    <cellStyle name="Followed Hyperlink" xfId="5697" builtinId="9" hidden="1"/>
    <cellStyle name="Followed Hyperlink" xfId="1845" builtinId="9" hidden="1"/>
    <cellStyle name="Followed Hyperlink" xfId="2035" builtinId="9" hidden="1"/>
    <cellStyle name="Followed Hyperlink" xfId="4647" builtinId="9" hidden="1"/>
    <cellStyle name="Followed Hyperlink" xfId="6943" builtinId="9" hidden="1"/>
    <cellStyle name="Followed Hyperlink" xfId="1359" builtinId="9" hidden="1"/>
    <cellStyle name="Followed Hyperlink" xfId="1459" builtinId="9" hidden="1"/>
    <cellStyle name="Followed Hyperlink" xfId="2073" builtinId="9" hidden="1"/>
    <cellStyle name="Followed Hyperlink" xfId="2123" builtinId="9" hidden="1"/>
    <cellStyle name="Followed Hyperlink" xfId="2409" builtinId="9" hidden="1"/>
    <cellStyle name="Followed Hyperlink" xfId="2423" builtinId="9" hidden="1"/>
    <cellStyle name="Followed Hyperlink" xfId="2225" builtinId="9" hidden="1"/>
    <cellStyle name="Followed Hyperlink" xfId="2263" builtinId="9" hidden="1"/>
    <cellStyle name="Followed Hyperlink" xfId="2301" builtinId="9" hidden="1"/>
    <cellStyle name="Followed Hyperlink" xfId="4115" builtinId="9" hidden="1"/>
    <cellStyle name="Followed Hyperlink" xfId="2935" builtinId="9" hidden="1"/>
    <cellStyle name="Followed Hyperlink" xfId="3607" builtinId="9" hidden="1"/>
    <cellStyle name="Followed Hyperlink" xfId="2453" builtinId="9" hidden="1"/>
    <cellStyle name="Followed Hyperlink" xfId="4307" builtinId="9" hidden="1"/>
    <cellStyle name="Followed Hyperlink" xfId="6813" builtinId="9" hidden="1"/>
    <cellStyle name="Followed Hyperlink" xfId="2567" builtinId="9" hidden="1"/>
    <cellStyle name="Followed Hyperlink" xfId="2605" builtinId="9" hidden="1"/>
    <cellStyle name="Followed Hyperlink" xfId="2643" builtinId="9" hidden="1"/>
    <cellStyle name="Followed Hyperlink" xfId="8073" builtinId="9" hidden="1"/>
    <cellStyle name="Followed Hyperlink" xfId="2719" builtinId="9" hidden="1"/>
    <cellStyle name="Followed Hyperlink" xfId="534" builtinId="9" hidden="1"/>
    <cellStyle name="Followed Hyperlink" xfId="4749" builtinId="9" hidden="1"/>
    <cellStyle name="Followed Hyperlink" xfId="5857" builtinId="9" hidden="1"/>
    <cellStyle name="Followed Hyperlink" xfId="2871" builtinId="9" hidden="1"/>
    <cellStyle name="Followed Hyperlink" xfId="2909" builtinId="9" hidden="1"/>
    <cellStyle name="Followed Hyperlink" xfId="6419" builtinId="9" hidden="1"/>
    <cellStyle name="Followed Hyperlink" xfId="2985" builtinId="9" hidden="1"/>
    <cellStyle name="Followed Hyperlink" xfId="7453" builtinId="9" hidden="1"/>
    <cellStyle name="Followed Hyperlink" xfId="3061" builtinId="9" hidden="1"/>
    <cellStyle name="Followed Hyperlink" xfId="456" builtinId="9" hidden="1"/>
    <cellStyle name="Followed Hyperlink" xfId="4421" builtinId="9" hidden="1"/>
    <cellStyle name="Followed Hyperlink" xfId="3175" builtinId="9" hidden="1"/>
    <cellStyle name="Followed Hyperlink" xfId="2331" builtinId="9" hidden="1"/>
    <cellStyle name="Followed Hyperlink" xfId="5721" builtinId="9" hidden="1"/>
    <cellStyle name="Followed Hyperlink" xfId="3289" builtinId="9" hidden="1"/>
    <cellStyle name="Followed Hyperlink" xfId="3519" builtinId="9" hidden="1"/>
    <cellStyle name="Followed Hyperlink" xfId="3365" builtinId="9" hidden="1"/>
    <cellStyle name="Followed Hyperlink" xfId="2085" builtinId="9" hidden="1"/>
    <cellStyle name="Followed Hyperlink" xfId="3441" builtinId="9" hidden="1"/>
    <cellStyle name="Followed Hyperlink" xfId="4139" builtinId="9" hidden="1"/>
    <cellStyle name="Followed Hyperlink" xfId="6611" builtinId="9" hidden="1"/>
    <cellStyle name="Followed Hyperlink" xfId="5997" builtinId="9" hidden="1"/>
    <cellStyle name="Followed Hyperlink" xfId="3593" builtinId="9" hidden="1"/>
    <cellStyle name="Followed Hyperlink" xfId="3631" builtinId="9" hidden="1"/>
    <cellStyle name="Followed Hyperlink" xfId="3669" builtinId="9" hidden="1"/>
    <cellStyle name="Followed Hyperlink" xfId="1899" builtinId="9" hidden="1"/>
    <cellStyle name="Followed Hyperlink" xfId="3745" builtinId="9" hidden="1"/>
    <cellStyle name="Followed Hyperlink" xfId="3783" builtinId="9" hidden="1"/>
    <cellStyle name="Followed Hyperlink" xfId="7841" builtinId="9" hidden="1"/>
    <cellStyle name="Followed Hyperlink" xfId="3859" builtinId="9" hidden="1"/>
    <cellStyle name="Followed Hyperlink" xfId="3897" builtinId="9" hidden="1"/>
    <cellStyle name="Followed Hyperlink" xfId="2681" builtinId="9" hidden="1"/>
    <cellStyle name="Followed Hyperlink" xfId="3973" builtinId="9" hidden="1"/>
    <cellStyle name="Followed Hyperlink" xfId="4011" builtinId="9" hidden="1"/>
    <cellStyle name="Followed Hyperlink" xfId="434" builtinId="9" hidden="1"/>
    <cellStyle name="Followed Hyperlink" xfId="4543" builtinId="9" hidden="1"/>
    <cellStyle name="Followed Hyperlink" xfId="4125" builtinId="9" hidden="1"/>
    <cellStyle name="Followed Hyperlink" xfId="4163" builtinId="9" hidden="1"/>
    <cellStyle name="Followed Hyperlink" xfId="4201" builtinId="9" hidden="1"/>
    <cellStyle name="Followed Hyperlink" xfId="8177" builtinId="9" hidden="1"/>
    <cellStyle name="Followed Hyperlink" xfId="4277" builtinId="9" hidden="1"/>
    <cellStyle name="Followed Hyperlink" xfId="4767" builtinId="9" hidden="1"/>
    <cellStyle name="Followed Hyperlink" xfId="6161" builtinId="9" hidden="1"/>
    <cellStyle name="Followed Hyperlink" xfId="4391" builtinId="9" hidden="1"/>
    <cellStyle name="Followed Hyperlink" xfId="2455" builtinId="9" hidden="1"/>
    <cellStyle name="Followed Hyperlink" xfId="4467" builtinId="9" hidden="1"/>
    <cellStyle name="Followed Hyperlink" xfId="929" builtinId="9" hidden="1"/>
    <cellStyle name="Followed Hyperlink" xfId="6561" builtinId="9" hidden="1"/>
    <cellStyle name="Followed Hyperlink" xfId="4581" builtinId="9" hidden="1"/>
    <cellStyle name="Followed Hyperlink" xfId="4619" builtinId="9" hidden="1"/>
    <cellStyle name="Followed Hyperlink" xfId="1237" builtinId="9" hidden="1"/>
    <cellStyle name="Followed Hyperlink" xfId="132" builtinId="9" hidden="1"/>
    <cellStyle name="Followed Hyperlink" xfId="4733" builtinId="9" hidden="1"/>
    <cellStyle name="Followed Hyperlink" xfId="4771" builtinId="9" hidden="1"/>
    <cellStyle name="Followed Hyperlink" xfId="4809" builtinId="9" hidden="1"/>
    <cellStyle name="Followed Hyperlink" xfId="4847" builtinId="9" hidden="1"/>
    <cellStyle name="Followed Hyperlink" xfId="4885" builtinId="9" hidden="1"/>
    <cellStyle name="Followed Hyperlink" xfId="4923" builtinId="9" hidden="1"/>
    <cellStyle name="Followed Hyperlink" xfId="4961" builtinId="9" hidden="1"/>
    <cellStyle name="Followed Hyperlink" xfId="4225" builtinId="9" hidden="1"/>
    <cellStyle name="Followed Hyperlink" xfId="1277" builtinId="9" hidden="1"/>
    <cellStyle name="Followed Hyperlink" xfId="5075" builtinId="9" hidden="1"/>
    <cellStyle name="Followed Hyperlink" xfId="3985" builtinId="9" hidden="1"/>
    <cellStyle name="Followed Hyperlink" xfId="2581" builtinId="9" hidden="1"/>
    <cellStyle name="Followed Hyperlink" xfId="2211" builtinId="9" hidden="1"/>
    <cellStyle name="Followed Hyperlink" xfId="6029" builtinId="9" hidden="1"/>
    <cellStyle name="Followed Hyperlink" xfId="6079" builtinId="9" hidden="1"/>
    <cellStyle name="Followed Hyperlink" xfId="821" builtinId="9" hidden="1"/>
    <cellStyle name="Followed Hyperlink" xfId="5341" builtinId="9" hidden="1"/>
    <cellStyle name="Followed Hyperlink" xfId="5379" builtinId="9" hidden="1"/>
    <cellStyle name="Followed Hyperlink" xfId="2083" builtinId="9" hidden="1"/>
    <cellStyle name="Followed Hyperlink" xfId="5455" builtinId="9" hidden="1"/>
    <cellStyle name="Followed Hyperlink" xfId="5493" builtinId="9" hidden="1"/>
    <cellStyle name="Followed Hyperlink" xfId="5531" builtinId="9" hidden="1"/>
    <cellStyle name="Followed Hyperlink" xfId="5569" builtinId="9" hidden="1"/>
    <cellStyle name="Followed Hyperlink" xfId="6365" builtinId="9" hidden="1"/>
    <cellStyle name="Followed Hyperlink" xfId="5971" builtinId="9" hidden="1"/>
    <cellStyle name="Followed Hyperlink" xfId="7957" builtinId="9" hidden="1"/>
    <cellStyle name="Followed Hyperlink" xfId="3017" builtinId="9" hidden="1"/>
    <cellStyle name="Followed Hyperlink" xfId="5759" builtinId="9" hidden="1"/>
    <cellStyle name="Followed Hyperlink" xfId="6779" builtinId="9" hidden="1"/>
    <cellStyle name="Followed Hyperlink" xfId="5835" builtinId="9" hidden="1"/>
    <cellStyle name="Followed Hyperlink" xfId="5873" builtinId="9" hidden="1"/>
    <cellStyle name="Followed Hyperlink" xfId="2897" builtinId="9" hidden="1"/>
    <cellStyle name="Followed Hyperlink" xfId="6859" builtinId="9" hidden="1"/>
    <cellStyle name="Followed Hyperlink" xfId="4219" builtinId="9" hidden="1"/>
    <cellStyle name="Followed Hyperlink" xfId="6025" builtinId="9" hidden="1"/>
    <cellStyle name="Followed Hyperlink" xfId="6063" builtinId="9" hidden="1"/>
    <cellStyle name="Followed Hyperlink" xfId="2219" builtinId="9" hidden="1"/>
    <cellStyle name="Followed Hyperlink" xfId="6139" builtinId="9" hidden="1"/>
    <cellStyle name="Followed Hyperlink" xfId="4097" builtinId="9" hidden="1"/>
    <cellStyle name="Followed Hyperlink" xfId="6215" builtinId="9" hidden="1"/>
    <cellStyle name="Followed Hyperlink" xfId="6253" builtinId="9" hidden="1"/>
    <cellStyle name="Followed Hyperlink" xfId="6291" builtinId="9" hidden="1"/>
    <cellStyle name="Followed Hyperlink" xfId="6329" builtinId="9" hidden="1"/>
    <cellStyle name="Followed Hyperlink" xfId="5321" builtinId="9" hidden="1"/>
    <cellStyle name="Followed Hyperlink" xfId="6405" builtinId="9" hidden="1"/>
    <cellStyle name="Followed Hyperlink" xfId="164" builtinId="9" hidden="1"/>
    <cellStyle name="Followed Hyperlink" xfId="3953" builtinId="9" hidden="1"/>
    <cellStyle name="Followed Hyperlink" xfId="6797" builtinId="9" hidden="1"/>
    <cellStyle name="Followed Hyperlink" xfId="4685" builtinId="9" hidden="1"/>
    <cellStyle name="Followed Hyperlink" xfId="4103" builtinId="9" hidden="1"/>
    <cellStyle name="Followed Hyperlink" xfId="8145" builtinId="9" hidden="1"/>
    <cellStyle name="Followed Hyperlink" xfId="2561" builtinId="9" hidden="1"/>
    <cellStyle name="Followed Hyperlink" xfId="6709" builtinId="9" hidden="1"/>
    <cellStyle name="Followed Hyperlink" xfId="6747" builtinId="9" hidden="1"/>
    <cellStyle name="Followed Hyperlink" xfId="8079" builtinId="9" hidden="1"/>
    <cellStyle name="Followed Hyperlink" xfId="6823" builtinId="9" hidden="1"/>
    <cellStyle name="Followed Hyperlink" xfId="6861" builtinId="9" hidden="1"/>
    <cellStyle name="Followed Hyperlink" xfId="6899" builtinId="9" hidden="1"/>
    <cellStyle name="Followed Hyperlink" xfId="6937" builtinId="9" hidden="1"/>
    <cellStyle name="Followed Hyperlink" xfId="6847" builtinId="9" hidden="1"/>
    <cellStyle name="Followed Hyperlink" xfId="2981" builtinId="9" hidden="1"/>
    <cellStyle name="Followed Hyperlink" xfId="3695" builtinId="9" hidden="1"/>
    <cellStyle name="Followed Hyperlink" xfId="4621" builtinId="9" hidden="1"/>
    <cellStyle name="Followed Hyperlink" xfId="7127" builtinId="9" hidden="1"/>
    <cellStyle name="Followed Hyperlink" xfId="7165" builtinId="9" hidden="1"/>
    <cellStyle name="Followed Hyperlink" xfId="7203" builtinId="9" hidden="1"/>
    <cellStyle name="Followed Hyperlink" xfId="7241" builtinId="9" hidden="1"/>
    <cellStyle name="Followed Hyperlink" xfId="991" builtinId="9" hidden="1"/>
    <cellStyle name="Followed Hyperlink" xfId="7317" builtinId="9" hidden="1"/>
    <cellStyle name="Followed Hyperlink" xfId="7107" builtinId="9" hidden="1"/>
    <cellStyle name="Followed Hyperlink" xfId="7393" builtinId="9" hidden="1"/>
    <cellStyle name="Followed Hyperlink" xfId="7431" builtinId="9" hidden="1"/>
    <cellStyle name="Followed Hyperlink" xfId="3399" builtinId="9" hidden="1"/>
    <cellStyle name="Followed Hyperlink" xfId="7507" builtinId="9" hidden="1"/>
    <cellStyle name="Followed Hyperlink" xfId="7545" builtinId="9" hidden="1"/>
    <cellStyle name="Followed Hyperlink" xfId="7583" builtinId="9" hidden="1"/>
    <cellStyle name="Followed Hyperlink" xfId="6235" builtinId="9" hidden="1"/>
    <cellStyle name="Followed Hyperlink" xfId="2443" builtinId="9" hidden="1"/>
    <cellStyle name="Followed Hyperlink" xfId="4943" builtinId="9" hidden="1"/>
    <cellStyle name="Followed Hyperlink" xfId="5781" builtinId="9" hidden="1"/>
    <cellStyle name="Followed Hyperlink" xfId="7773" builtinId="9" hidden="1"/>
    <cellStyle name="Followed Hyperlink" xfId="3765" builtinId="9" hidden="1"/>
    <cellStyle name="Followed Hyperlink" xfId="3817" builtinId="9" hidden="1"/>
    <cellStyle name="Followed Hyperlink" xfId="1877" builtinId="9" hidden="1"/>
    <cellStyle name="Followed Hyperlink" xfId="7925" builtinId="9" hidden="1"/>
    <cellStyle name="Followed Hyperlink" xfId="7963" builtinId="9" hidden="1"/>
    <cellStyle name="Followed Hyperlink" xfId="6263" builtinId="9" hidden="1"/>
    <cellStyle name="Followed Hyperlink" xfId="8039" builtinId="9" hidden="1"/>
    <cellStyle name="Followed Hyperlink" xfId="777" builtinId="9" hidden="1"/>
    <cellStyle name="Followed Hyperlink" xfId="8115" builtinId="9" hidden="1"/>
    <cellStyle name="Followed Hyperlink" xfId="8157" builtinId="9" hidden="1"/>
    <cellStyle name="Followed Hyperlink" xfId="8196" builtinId="9" hidden="1"/>
    <cellStyle name="Followed Hyperlink" xfId="4891" builtinId="9" hidden="1"/>
    <cellStyle name="Followed Hyperlink" xfId="3731" builtinId="9" hidden="1"/>
    <cellStyle name="Followed Hyperlink" xfId="1291" builtinId="9" hidden="1"/>
    <cellStyle name="Followed Hyperlink" xfId="6255" builtinId="9" hidden="1"/>
    <cellStyle name="Followed Hyperlink" xfId="5967" builtinId="9" hidden="1"/>
    <cellStyle name="Followed Hyperlink" xfId="3105" builtinId="9" hidden="1"/>
    <cellStyle name="Followed Hyperlink" xfId="1573" builtinId="9" hidden="1"/>
    <cellStyle name="Followed Hyperlink" xfId="7889" builtinId="9" hidden="1"/>
    <cellStyle name="Followed Hyperlink" xfId="7851" builtinId="9" hidden="1"/>
    <cellStyle name="Followed Hyperlink" xfId="4669" builtinId="9" hidden="1"/>
    <cellStyle name="Followed Hyperlink" xfId="8127" builtinId="9" hidden="1"/>
    <cellStyle name="Followed Hyperlink" xfId="5787" builtinId="9" hidden="1"/>
    <cellStyle name="Followed Hyperlink" xfId="2637" builtinId="9" hidden="1"/>
    <cellStyle name="Followed Hyperlink" xfId="7661" builtinId="9" hidden="1"/>
    <cellStyle name="Followed Hyperlink" xfId="4665" builtinId="9" hidden="1"/>
    <cellStyle name="Followed Hyperlink" xfId="7585" builtinId="9" hidden="1"/>
    <cellStyle name="Followed Hyperlink" xfId="7547" builtinId="9" hidden="1"/>
    <cellStyle name="Followed Hyperlink" xfId="7509" builtinId="9" hidden="1"/>
    <cellStyle name="Followed Hyperlink" xfId="879" builtinId="9" hidden="1"/>
    <cellStyle name="Followed Hyperlink" xfId="7433" builtinId="9" hidden="1"/>
    <cellStyle name="Followed Hyperlink" xfId="7395" builtinId="9" hidden="1"/>
    <cellStyle name="Followed Hyperlink" xfId="7357" builtinId="9" hidden="1"/>
    <cellStyle name="Followed Hyperlink" xfId="6237" builtinId="9" hidden="1"/>
    <cellStyle name="Followed Hyperlink" xfId="3715" builtinId="9" hidden="1"/>
    <cellStyle name="Followed Hyperlink" xfId="7739" builtinId="9" hidden="1"/>
    <cellStyle name="Followed Hyperlink" xfId="5423" builtinId="9" hidden="1"/>
    <cellStyle name="Followed Hyperlink" xfId="4149" builtinId="9" hidden="1"/>
    <cellStyle name="Followed Hyperlink" xfId="3959" builtinId="9" hidden="1"/>
    <cellStyle name="Followed Hyperlink" xfId="827" builtinId="9" hidden="1"/>
    <cellStyle name="Followed Hyperlink" xfId="7015" builtinId="9" hidden="1"/>
    <cellStyle name="Followed Hyperlink" xfId="6009" builtinId="9" hidden="1"/>
    <cellStyle name="Followed Hyperlink" xfId="2777" builtinId="9" hidden="1"/>
    <cellStyle name="Followed Hyperlink" xfId="6939" builtinId="9" hidden="1"/>
    <cellStyle name="Followed Hyperlink" xfId="6901" builtinId="9" hidden="1"/>
    <cellStyle name="Followed Hyperlink" xfId="5609" builtinId="9" hidden="1"/>
    <cellStyle name="Followed Hyperlink" xfId="7215" builtinId="9" hidden="1"/>
    <cellStyle name="Followed Hyperlink" xfId="6787" builtinId="9" hidden="1"/>
    <cellStyle name="Followed Hyperlink" xfId="6749" builtinId="9" hidden="1"/>
    <cellStyle name="Followed Hyperlink" xfId="5513" builtinId="9" hidden="1"/>
    <cellStyle name="Followed Hyperlink" xfId="6673" builtinId="9" hidden="1"/>
    <cellStyle name="Followed Hyperlink" xfId="2781" builtinId="9" hidden="1"/>
    <cellStyle name="Followed Hyperlink" xfId="4327" builtinId="9" hidden="1"/>
    <cellStyle name="Followed Hyperlink" xfId="6559" builtinId="9" hidden="1"/>
    <cellStyle name="Followed Hyperlink" xfId="6521" builtinId="9" hidden="1"/>
    <cellStyle name="Followed Hyperlink" xfId="7677" builtinId="9" hidden="1"/>
    <cellStyle name="Followed Hyperlink" xfId="6445" builtinId="9" hidden="1"/>
    <cellStyle name="Followed Hyperlink" xfId="6407" builtinId="9" hidden="1"/>
    <cellStyle name="Followed Hyperlink" xfId="5897" builtinId="9" hidden="1"/>
    <cellStyle name="Followed Hyperlink" xfId="6331" builtinId="9" hidden="1"/>
    <cellStyle name="Followed Hyperlink" xfId="6293" builtinId="9" hidden="1"/>
    <cellStyle name="Followed Hyperlink" xfId="6665" builtinId="9" hidden="1"/>
    <cellStyle name="Followed Hyperlink" xfId="5927" builtinId="9" hidden="1"/>
    <cellStyle name="Followed Hyperlink" xfId="1627" builtinId="9" hidden="1"/>
    <cellStyle name="Followed Hyperlink" xfId="6141" builtinId="9" hidden="1"/>
    <cellStyle name="Followed Hyperlink" xfId="3775" builtinId="9" hidden="1"/>
    <cellStyle name="Followed Hyperlink" xfId="6065" builtinId="9" hidden="1"/>
    <cellStyle name="Followed Hyperlink" xfId="4651" builtinId="9" hidden="1"/>
    <cellStyle name="Followed Hyperlink" xfId="6527" builtinId="9" hidden="1"/>
    <cellStyle name="Followed Hyperlink" xfId="7089" builtinId="9" hidden="1"/>
    <cellStyle name="Followed Hyperlink" xfId="2493" builtinId="9" hidden="1"/>
    <cellStyle name="Followed Hyperlink" xfId="5875" builtinId="9" hidden="1"/>
    <cellStyle name="Followed Hyperlink" xfId="1319" builtinId="9" hidden="1"/>
    <cellStyle name="Followed Hyperlink" xfId="5799" builtinId="9" hidden="1"/>
    <cellStyle name="Followed Hyperlink" xfId="5761" builtinId="9" hidden="1"/>
    <cellStyle name="Followed Hyperlink" xfId="5723" builtinId="9" hidden="1"/>
    <cellStyle name="Followed Hyperlink" xfId="5685" builtinId="9" hidden="1"/>
    <cellStyle name="Followed Hyperlink" xfId="3601" builtinId="9" hidden="1"/>
    <cellStyle name="Followed Hyperlink" xfId="3055" builtinId="9" hidden="1"/>
    <cellStyle name="Followed Hyperlink" xfId="6107" builtinId="9" hidden="1"/>
    <cellStyle name="Followed Hyperlink" xfId="5533" builtinId="9" hidden="1"/>
    <cellStyle name="Followed Hyperlink" xfId="5495" builtinId="9" hidden="1"/>
    <cellStyle name="Followed Hyperlink" xfId="5457" builtinId="9" hidden="1"/>
    <cellStyle name="Followed Hyperlink" xfId="5167" builtinId="9" hidden="1"/>
    <cellStyle name="Followed Hyperlink" xfId="5381" builtinId="9" hidden="1"/>
    <cellStyle name="Followed Hyperlink" xfId="5343" builtinId="9" hidden="1"/>
    <cellStyle name="Followed Hyperlink" xfId="7587" builtinId="9" hidden="1"/>
    <cellStyle name="Followed Hyperlink" xfId="4227" builtinId="9" hidden="1"/>
    <cellStyle name="Followed Hyperlink" xfId="7423" builtinId="9" hidden="1"/>
    <cellStyle name="Followed Hyperlink" xfId="5191" builtinId="9" hidden="1"/>
    <cellStyle name="Followed Hyperlink" xfId="5091" builtinId="9" hidden="1"/>
    <cellStyle name="Followed Hyperlink" xfId="5583" builtinId="9" hidden="1"/>
    <cellStyle name="Followed Hyperlink" xfId="1275" builtinId="9" hidden="1"/>
    <cellStyle name="Followed Hyperlink" xfId="2949" builtinId="9" hidden="1"/>
    <cellStyle name="Followed Hyperlink" xfId="7965" builtinId="9" hidden="1"/>
    <cellStyle name="Followed Hyperlink" xfId="4963" builtinId="9" hidden="1"/>
    <cellStyle name="Followed Hyperlink" xfId="2155" builtinId="9" hidden="1"/>
    <cellStyle name="Followed Hyperlink" xfId="7209" builtinId="9" hidden="1"/>
    <cellStyle name="Followed Hyperlink" xfId="6305" builtinId="9" hidden="1"/>
    <cellStyle name="Followed Hyperlink" xfId="5591" builtinId="9" hidden="1"/>
    <cellStyle name="Followed Hyperlink" xfId="4773" builtinId="9" hidden="1"/>
    <cellStyle name="Followed Hyperlink" xfId="4701" builtinId="9" hidden="1"/>
    <cellStyle name="Followed Hyperlink" xfId="5383" builtinId="9" hidden="1"/>
    <cellStyle name="Followed Hyperlink" xfId="4659" builtinId="9" hidden="1"/>
    <cellStyle name="Followed Hyperlink" xfId="1385" builtinId="9" hidden="1"/>
    <cellStyle name="Followed Hyperlink" xfId="4583" builtinId="9" hidden="1"/>
    <cellStyle name="Followed Hyperlink" xfId="4545" builtinId="9" hidden="1"/>
    <cellStyle name="Followed Hyperlink" xfId="3553" builtinId="9" hidden="1"/>
    <cellStyle name="Followed Hyperlink" xfId="4469" builtinId="9" hidden="1"/>
    <cellStyle name="Followed Hyperlink" xfId="4431" builtinId="9" hidden="1"/>
    <cellStyle name="Followed Hyperlink" xfId="1047" builtinId="9" hidden="1"/>
    <cellStyle name="Followed Hyperlink" xfId="1283" builtinId="9" hidden="1"/>
    <cellStyle name="Followed Hyperlink" xfId="4317" builtinId="9" hidden="1"/>
    <cellStyle name="Followed Hyperlink" xfId="4279" builtinId="9" hidden="1"/>
    <cellStyle name="Followed Hyperlink" xfId="4241" builtinId="9" hidden="1"/>
    <cellStyle name="Followed Hyperlink" xfId="8029" builtinId="9" hidden="1"/>
    <cellStyle name="Followed Hyperlink" xfId="4165" builtinId="9" hidden="1"/>
    <cellStyle name="Followed Hyperlink" xfId="4127" builtinId="9" hidden="1"/>
    <cellStyle name="Followed Hyperlink" xfId="5731" builtinId="9" hidden="1"/>
    <cellStyle name="Followed Hyperlink" xfId="4051" builtinId="9" hidden="1"/>
    <cellStyle name="Followed Hyperlink" xfId="4425" builtinId="9" hidden="1"/>
    <cellStyle name="Followed Hyperlink" xfId="3975" builtinId="9" hidden="1"/>
    <cellStyle name="Followed Hyperlink" xfId="372" builtinId="9" hidden="1"/>
    <cellStyle name="Followed Hyperlink" xfId="3899" builtinId="9" hidden="1"/>
    <cellStyle name="Followed Hyperlink" xfId="3861" builtinId="9" hidden="1"/>
    <cellStyle name="Followed Hyperlink" xfId="3823" builtinId="9" hidden="1"/>
    <cellStyle name="Followed Hyperlink" xfId="3785" builtinId="9" hidden="1"/>
    <cellStyle name="Followed Hyperlink" xfId="699" builtinId="9" hidden="1"/>
    <cellStyle name="Followed Hyperlink" xfId="1369" builtinId="9" hidden="1"/>
    <cellStyle name="Followed Hyperlink" xfId="3671" builtinId="9" hidden="1"/>
    <cellStyle name="Followed Hyperlink" xfId="3633" builtinId="9" hidden="1"/>
    <cellStyle name="Followed Hyperlink" xfId="3595" builtinId="9" hidden="1"/>
    <cellStyle name="Followed Hyperlink" xfId="3557" builtinId="9" hidden="1"/>
    <cellStyle name="Followed Hyperlink" xfId="2365" builtinId="9" hidden="1"/>
    <cellStyle name="Followed Hyperlink" xfId="4315" builtinId="9" hidden="1"/>
    <cellStyle name="Followed Hyperlink" xfId="3443" builtinId="9" hidden="1"/>
    <cellStyle name="Followed Hyperlink" xfId="1127" builtinId="9" hidden="1"/>
    <cellStyle name="Followed Hyperlink" xfId="1521" builtinId="9" hidden="1"/>
    <cellStyle name="Followed Hyperlink" xfId="3723" builtinId="9" hidden="1"/>
    <cellStyle name="Followed Hyperlink" xfId="1637" builtinId="9" hidden="1"/>
    <cellStyle name="Followed Hyperlink" xfId="2273" builtinId="9" hidden="1"/>
    <cellStyle name="Followed Hyperlink" xfId="7245" builtinId="9" hidden="1"/>
    <cellStyle name="Followed Hyperlink" xfId="7097" builtinId="9" hidden="1"/>
    <cellStyle name="Followed Hyperlink" xfId="3139" builtinId="9" hidden="1"/>
    <cellStyle name="Followed Hyperlink" xfId="3101" builtinId="9" hidden="1"/>
    <cellStyle name="Followed Hyperlink" xfId="4173" builtinId="9" hidden="1"/>
    <cellStyle name="Followed Hyperlink" xfId="6743" builtinId="9" hidden="1"/>
    <cellStyle name="Followed Hyperlink" xfId="2987" builtinId="9" hidden="1"/>
    <cellStyle name="Followed Hyperlink" xfId="212" builtinId="9" hidden="1"/>
    <cellStyle name="Followed Hyperlink" xfId="2911" builtinId="9" hidden="1"/>
    <cellStyle name="Followed Hyperlink" xfId="1297" builtinId="9" hidden="1"/>
    <cellStyle name="Followed Hyperlink" xfId="2471" builtinId="9" hidden="1"/>
    <cellStyle name="Followed Hyperlink" xfId="6071" builtinId="9" hidden="1"/>
    <cellStyle name="Followed Hyperlink" xfId="6903" builtinId="9" hidden="1"/>
    <cellStyle name="Followed Hyperlink" xfId="6279" builtinId="9" hidden="1"/>
    <cellStyle name="Followed Hyperlink" xfId="2683" builtinId="9" hidden="1"/>
    <cellStyle name="Followed Hyperlink" xfId="715" builtinId="9" hidden="1"/>
    <cellStyle name="Followed Hyperlink" xfId="2607" builtinId="9" hidden="1"/>
    <cellStyle name="Followed Hyperlink" xfId="4703" builtinId="9" hidden="1"/>
    <cellStyle name="Followed Hyperlink" xfId="2531" builtinId="9" hidden="1"/>
    <cellStyle name="Followed Hyperlink" xfId="1433" builtinId="9" hidden="1"/>
    <cellStyle name="Followed Hyperlink" xfId="2573" builtinId="9" hidden="1"/>
    <cellStyle name="Followed Hyperlink" xfId="2417" builtinId="9" hidden="1"/>
    <cellStyle name="Followed Hyperlink" xfId="2379" builtinId="9" hidden="1"/>
    <cellStyle name="Followed Hyperlink" xfId="1755" builtinId="9" hidden="1"/>
    <cellStyle name="Followed Hyperlink" xfId="3353" builtinId="9" hidden="1"/>
    <cellStyle name="Followed Hyperlink" xfId="941" builtinId="9" hidden="1"/>
    <cellStyle name="Followed Hyperlink" xfId="7247" builtinId="9" hidden="1"/>
    <cellStyle name="Followed Hyperlink" xfId="2189" builtinId="9" hidden="1"/>
    <cellStyle name="Followed Hyperlink" xfId="2151" builtinId="9" hidden="1"/>
    <cellStyle name="Followed Hyperlink" xfId="6729" builtinId="9" hidden="1"/>
    <cellStyle name="Followed Hyperlink" xfId="2075" builtinId="9" hidden="1"/>
    <cellStyle name="Followed Hyperlink" xfId="1515" builtinId="9" hidden="1"/>
    <cellStyle name="Followed Hyperlink" xfId="1999" builtinId="9" hidden="1"/>
    <cellStyle name="Followed Hyperlink" xfId="1961" builtinId="9" hidden="1"/>
    <cellStyle name="Followed Hyperlink" xfId="4549" builtinId="9" hidden="1"/>
    <cellStyle name="Followed Hyperlink" xfId="5525" builtinId="9" hidden="1"/>
    <cellStyle name="Followed Hyperlink" xfId="1847" builtinId="9" hidden="1"/>
    <cellStyle name="Followed Hyperlink" xfId="1809" builtinId="9" hidden="1"/>
    <cellStyle name="Followed Hyperlink" xfId="198" builtinId="9" hidden="1"/>
    <cellStyle name="Followed Hyperlink" xfId="1733" builtinId="9" hidden="1"/>
    <cellStyle name="Followed Hyperlink" xfId="1663" builtinId="9" hidden="1"/>
    <cellStyle name="Followed Hyperlink" xfId="1657" builtinId="9" hidden="1"/>
    <cellStyle name="Followed Hyperlink" xfId="3407" builtinId="9" hidden="1"/>
    <cellStyle name="Followed Hyperlink" xfId="5779" builtinId="9" hidden="1"/>
    <cellStyle name="Followed Hyperlink" xfId="2717" builtinId="9" hidden="1"/>
    <cellStyle name="Followed Hyperlink" xfId="1505" builtinId="9" hidden="1"/>
    <cellStyle name="Followed Hyperlink" xfId="1467" builtinId="9" hidden="1"/>
    <cellStyle name="Followed Hyperlink" xfId="3323" builtinId="9" hidden="1"/>
    <cellStyle name="Followed Hyperlink" xfId="1391" builtinId="9" hidden="1"/>
    <cellStyle name="Followed Hyperlink" xfId="5671" builtinId="9" hidden="1"/>
    <cellStyle name="Followed Hyperlink" xfId="1315" builtinId="9" hidden="1"/>
    <cellStyle name="Followed Hyperlink" xfId="4285" builtinId="9" hidden="1"/>
    <cellStyle name="Followed Hyperlink" xfId="4725" builtinId="9" hidden="1"/>
    <cellStyle name="Followed Hyperlink" xfId="2991" builtinId="9" hidden="1"/>
    <cellStyle name="Followed Hyperlink" xfId="1163" builtinId="9" hidden="1"/>
    <cellStyle name="Followed Hyperlink" xfId="4113" builtinId="9" hidden="1"/>
    <cellStyle name="Followed Hyperlink" xfId="2407" builtinId="9" hidden="1"/>
    <cellStyle name="Followed Hyperlink" xfId="1049" builtinId="9" hidden="1"/>
    <cellStyle name="Followed Hyperlink" xfId="6123" builtinId="9" hidden="1"/>
    <cellStyle name="Followed Hyperlink" xfId="1087" builtinId="9" hidden="1"/>
    <cellStyle name="Followed Hyperlink" xfId="3377" builtinId="9" hidden="1"/>
    <cellStyle name="Followed Hyperlink" xfId="897" builtinId="9" hidden="1"/>
    <cellStyle name="Followed Hyperlink" xfId="859" builtinId="9" hidden="1"/>
    <cellStyle name="Followed Hyperlink" xfId="7141" builtinId="9" hidden="1"/>
    <cellStyle name="Followed Hyperlink" xfId="831" builtinId="9" hidden="1"/>
    <cellStyle name="Followed Hyperlink" xfId="745" builtinId="9" hidden="1"/>
    <cellStyle name="Followed Hyperlink" xfId="5943" builtinId="9" hidden="1"/>
    <cellStyle name="Followed Hyperlink" xfId="669" builtinId="9" hidden="1"/>
    <cellStyle name="Followed Hyperlink" xfId="631" builtinId="9" hidden="1"/>
    <cellStyle name="Followed Hyperlink" xfId="593" builtinId="9" hidden="1"/>
    <cellStyle name="Followed Hyperlink" xfId="853" builtinId="9" hidden="1"/>
    <cellStyle name="Followed Hyperlink" xfId="516" builtinId="9" hidden="1"/>
    <cellStyle name="Followed Hyperlink" xfId="7645" builtinId="9" hidden="1"/>
    <cellStyle name="Followed Hyperlink" xfId="1687" builtinId="9" hidden="1"/>
    <cellStyle name="Followed Hyperlink" xfId="2623" builtinId="9" hidden="1"/>
    <cellStyle name="Followed Hyperlink" xfId="364" builtinId="9" hidden="1"/>
    <cellStyle name="Followed Hyperlink" xfId="398" builtinId="9" hidden="1"/>
    <cellStyle name="Followed Hyperlink" xfId="288" builtinId="9" hidden="1"/>
    <cellStyle name="Followed Hyperlink" xfId="136" builtinId="9" hidden="1"/>
    <cellStyle name="Followed Hyperlink" xfId="1191" builtinId="9" hidden="1"/>
    <cellStyle name="Followed Hyperlink" xfId="623" builtinId="9" hidden="1"/>
    <cellStyle name="Followed Hyperlink" xfId="1381" builtinId="9" hidden="1"/>
    <cellStyle name="Followed Hyperlink" xfId="190" builtinId="9" hidden="1"/>
    <cellStyle name="Followed Hyperlink" xfId="4345" builtinId="9" hidden="1"/>
    <cellStyle name="Followed Hyperlink" xfId="294" builtinId="9" hidden="1"/>
    <cellStyle name="Followed Hyperlink" xfId="36" builtinId="9" hidden="1"/>
    <cellStyle name="Followed Hyperlink" xfId="2415" builtinId="9" hidden="1"/>
    <cellStyle name="Followed Hyperlink" xfId="22" builtinId="9" hidden="1"/>
    <cellStyle name="Followed Hyperlink" xfId="2175" builtinId="9" hidden="1"/>
    <cellStyle name="Followed Hyperlink" xfId="6605" builtinId="9" hidden="1"/>
    <cellStyle name="Followed Hyperlink" xfId="142" builtinId="9" hidden="1"/>
    <cellStyle name="Followed Hyperlink" xfId="4579" builtinId="9" hidden="1"/>
    <cellStyle name="Followed Hyperlink" xfId="374" builtinId="9" hidden="1"/>
    <cellStyle name="Followed Hyperlink" xfId="188" builtinId="9" hidden="1"/>
    <cellStyle name="Followed Hyperlink" xfId="226" builtinId="9" hidden="1"/>
    <cellStyle name="Followed Hyperlink" xfId="264" builtinId="9" hidden="1"/>
    <cellStyle name="Followed Hyperlink" xfId="687" builtinId="9" hidden="1"/>
    <cellStyle name="Followed Hyperlink" xfId="340" builtinId="9" hidden="1"/>
    <cellStyle name="Followed Hyperlink" xfId="6699" builtinId="9" hidden="1"/>
    <cellStyle name="Followed Hyperlink" xfId="416" builtinId="9" hidden="1"/>
    <cellStyle name="Followed Hyperlink" xfId="1621" builtinId="9" hidden="1"/>
    <cellStyle name="Followed Hyperlink" xfId="587" builtinId="9" hidden="1"/>
    <cellStyle name="Followed Hyperlink" xfId="6597" builtinId="9" hidden="1"/>
    <cellStyle name="Followed Hyperlink" xfId="6599" builtinId="9" hidden="1"/>
    <cellStyle name="Followed Hyperlink" xfId="5165" builtinId="9" hidden="1"/>
    <cellStyle name="Followed Hyperlink" xfId="645" builtinId="9" hidden="1"/>
    <cellStyle name="Followed Hyperlink" xfId="683" builtinId="9" hidden="1"/>
    <cellStyle name="Followed Hyperlink" xfId="2635" builtinId="9" hidden="1"/>
    <cellStyle name="Followed Hyperlink" xfId="1869" builtinId="9" hidden="1"/>
    <cellStyle name="Followed Hyperlink" xfId="797" builtinId="9" hidden="1"/>
    <cellStyle name="Followed Hyperlink" xfId="835" builtinId="9" hidden="1"/>
    <cellStyle name="Followed Hyperlink" xfId="4893" builtinId="9" hidden="1"/>
    <cellStyle name="Followed Hyperlink" xfId="735" builtinId="9" hidden="1"/>
    <cellStyle name="Followed Hyperlink" xfId="949" builtinId="9" hidden="1"/>
    <cellStyle name="Followed Hyperlink" xfId="987" builtinId="9" hidden="1"/>
    <cellStyle name="Followed Hyperlink" xfId="1025" builtinId="9" hidden="1"/>
    <cellStyle name="Followed Hyperlink" xfId="915" builtinId="9" hidden="1"/>
    <cellStyle name="Followed Hyperlink" xfId="5327" builtinId="9" hidden="1"/>
    <cellStyle name="Followed Hyperlink" xfId="1139" builtinId="9" hidden="1"/>
    <cellStyle name="Followed Hyperlink" xfId="3191" builtinId="9" hidden="1"/>
    <cellStyle name="Followed Hyperlink" xfId="6721" builtinId="9" hidden="1"/>
    <cellStyle name="Followed Hyperlink" xfId="4383" builtinId="9" hidden="1"/>
    <cellStyle name="Followed Hyperlink" xfId="5811" builtinId="9" hidden="1"/>
    <cellStyle name="Followed Hyperlink" xfId="6133" builtinId="9" hidden="1"/>
    <cellStyle name="Followed Hyperlink" xfId="1367" builtinId="9" hidden="1"/>
    <cellStyle name="Followed Hyperlink" xfId="1405" builtinId="9" hidden="1"/>
    <cellStyle name="Followed Hyperlink" xfId="6119" builtinId="9" hidden="1"/>
    <cellStyle name="Followed Hyperlink" xfId="2519" builtinId="9" hidden="1"/>
    <cellStyle name="Followed Hyperlink" xfId="1885" builtinId="9" hidden="1"/>
    <cellStyle name="Followed Hyperlink" xfId="1557" builtinId="9" hidden="1"/>
    <cellStyle name="Followed Hyperlink" xfId="464" builtinId="9" hidden="1"/>
    <cellStyle name="Followed Hyperlink" xfId="1633" builtinId="9" hidden="1"/>
    <cellStyle name="Followed Hyperlink" xfId="5135" builtinId="9" hidden="1"/>
    <cellStyle name="Followed Hyperlink" xfId="1977" builtinId="9" hidden="1"/>
    <cellStyle name="Followed Hyperlink" xfId="2571" builtinId="9" hidden="1"/>
    <cellStyle name="Followed Hyperlink" xfId="2389" builtinId="9" hidden="1"/>
    <cellStyle name="Followed Hyperlink" xfId="4609" builtinId="9" hidden="1"/>
    <cellStyle name="Followed Hyperlink" xfId="1861" builtinId="9" hidden="1"/>
    <cellStyle name="Followed Hyperlink" xfId="4455" builtinId="9" hidden="1"/>
    <cellStyle name="Followed Hyperlink" xfId="1937" builtinId="9" hidden="1"/>
    <cellStyle name="Followed Hyperlink" xfId="1975" builtinId="9" hidden="1"/>
    <cellStyle name="Followed Hyperlink" xfId="2013" builtinId="9" hidden="1"/>
    <cellStyle name="Followed Hyperlink" xfId="2051" builtinId="9" hidden="1"/>
    <cellStyle name="Followed Hyperlink" xfId="2089" builtinId="9" hidden="1"/>
    <cellStyle name="Followed Hyperlink" xfId="2127" builtinId="9" hidden="1"/>
    <cellStyle name="Followed Hyperlink" xfId="5735" builtinId="9" hidden="1"/>
    <cellStyle name="Followed Hyperlink" xfId="1261" builtinId="9" hidden="1"/>
    <cellStyle name="Followed Hyperlink" xfId="1701" builtinId="9" hidden="1"/>
    <cellStyle name="Followed Hyperlink" xfId="2279" builtinId="9" hidden="1"/>
    <cellStyle name="Followed Hyperlink" xfId="2317" builtinId="9" hidden="1"/>
    <cellStyle name="Followed Hyperlink" xfId="7939" builtinId="9" hidden="1"/>
    <cellStyle name="Followed Hyperlink" xfId="6931" builtinId="9" hidden="1"/>
    <cellStyle name="Followed Hyperlink" xfId="4095" builtinId="9" hidden="1"/>
    <cellStyle name="Followed Hyperlink" xfId="5213" builtinId="9" hidden="1"/>
    <cellStyle name="Followed Hyperlink" xfId="1023" builtinId="9" hidden="1"/>
    <cellStyle name="Followed Hyperlink" xfId="4519" builtinId="9" hidden="1"/>
    <cellStyle name="Followed Hyperlink" xfId="6883" builtinId="9" hidden="1"/>
    <cellStyle name="Followed Hyperlink" xfId="2485" builtinId="9" hidden="1"/>
    <cellStyle name="Followed Hyperlink" xfId="2103" builtinId="9" hidden="1"/>
    <cellStyle name="Followed Hyperlink" xfId="2697" builtinId="9" hidden="1"/>
    <cellStyle name="Followed Hyperlink" xfId="4483" builtinId="9" hidden="1"/>
    <cellStyle name="Followed Hyperlink" xfId="2773" builtinId="9" hidden="1"/>
    <cellStyle name="Followed Hyperlink" xfId="2811" builtinId="9" hidden="1"/>
    <cellStyle name="Followed Hyperlink" xfId="2849" builtinId="9" hidden="1"/>
    <cellStyle name="Followed Hyperlink" xfId="873" builtinId="9" hidden="1"/>
    <cellStyle name="Followed Hyperlink" xfId="6045" builtinId="9" hidden="1"/>
    <cellStyle name="Followed Hyperlink" xfId="7199" builtinId="9" hidden="1"/>
    <cellStyle name="Followed Hyperlink" xfId="3001" builtinId="9" hidden="1"/>
    <cellStyle name="Followed Hyperlink" xfId="3039" builtinId="9" hidden="1"/>
    <cellStyle name="Followed Hyperlink" xfId="7483" builtinId="9" hidden="1"/>
    <cellStyle name="Followed Hyperlink" xfId="3115" builtinId="9" hidden="1"/>
    <cellStyle name="Followed Hyperlink" xfId="3153" builtinId="9" hidden="1"/>
    <cellStyle name="Followed Hyperlink" xfId="3157" builtinId="9" hidden="1"/>
    <cellStyle name="Followed Hyperlink" xfId="3867" builtinId="9" hidden="1"/>
    <cellStyle name="Followed Hyperlink" xfId="202" builtinId="9" hidden="1"/>
    <cellStyle name="Followed Hyperlink" xfId="3305" builtinId="9" hidden="1"/>
    <cellStyle name="Followed Hyperlink" xfId="3343" builtinId="9" hidden="1"/>
    <cellStyle name="Followed Hyperlink" xfId="7569" builtinId="9" hidden="1"/>
    <cellStyle name="Followed Hyperlink" xfId="4657" builtinId="9" hidden="1"/>
    <cellStyle name="Followed Hyperlink" xfId="3457" builtinId="9" hidden="1"/>
    <cellStyle name="Followed Hyperlink" xfId="4811" builtinId="9" hidden="1"/>
    <cellStyle name="Followed Hyperlink" xfId="3533" builtinId="9" hidden="1"/>
    <cellStyle name="Followed Hyperlink" xfId="4999" builtinId="9" hidden="1"/>
    <cellStyle name="Followed Hyperlink" xfId="7559" builtinId="9" hidden="1"/>
    <cellStyle name="Followed Hyperlink" xfId="4047" builtinId="9" hidden="1"/>
    <cellStyle name="Followed Hyperlink" xfId="843" builtinId="9" hidden="1"/>
    <cellStyle name="Followed Hyperlink" xfId="7921" builtinId="9" hidden="1"/>
    <cellStyle name="Followed Hyperlink" xfId="3063" builtinId="9" hidden="1"/>
    <cellStyle name="Followed Hyperlink" xfId="3799" builtinId="9" hidden="1"/>
    <cellStyle name="Followed Hyperlink" xfId="4393" builtinId="9" hidden="1"/>
    <cellStyle name="Followed Hyperlink" xfId="7419" builtinId="9" hidden="1"/>
    <cellStyle name="Followed Hyperlink" xfId="3913" builtinId="9" hidden="1"/>
    <cellStyle name="Followed Hyperlink" xfId="3951" builtinId="9" hidden="1"/>
    <cellStyle name="Followed Hyperlink" xfId="5295" builtinId="9" hidden="1"/>
    <cellStyle name="Followed Hyperlink" xfId="4027" builtinId="9" hidden="1"/>
    <cellStyle name="Followed Hyperlink" xfId="244" builtinId="9" hidden="1"/>
    <cellStyle name="Followed Hyperlink" xfId="6153" builtinId="9" hidden="1"/>
    <cellStyle name="Followed Hyperlink" xfId="6013" builtinId="9" hidden="1"/>
    <cellStyle name="Followed Hyperlink" xfId="4179" builtinId="9" hidden="1"/>
    <cellStyle name="Followed Hyperlink" xfId="4217" builtinId="9" hidden="1"/>
    <cellStyle name="Followed Hyperlink" xfId="4255" builtinId="9" hidden="1"/>
    <cellStyle name="Followed Hyperlink" xfId="4045" builtinId="9" hidden="1"/>
    <cellStyle name="Followed Hyperlink" xfId="4331" builtinId="9" hidden="1"/>
    <cellStyle name="Followed Hyperlink" xfId="4369" builtinId="9" hidden="1"/>
    <cellStyle name="Followed Hyperlink" xfId="4407" builtinId="9" hidden="1"/>
    <cellStyle name="Followed Hyperlink" xfId="4445" builtinId="9" hidden="1"/>
    <cellStyle name="Followed Hyperlink" xfId="5915" builtinId="9" hidden="1"/>
    <cellStyle name="Followed Hyperlink" xfId="4521" builtinId="9" hidden="1"/>
    <cellStyle name="Followed Hyperlink" xfId="4559" builtinId="9" hidden="1"/>
    <cellStyle name="Followed Hyperlink" xfId="3011" builtinId="9" hidden="1"/>
    <cellStyle name="Followed Hyperlink" xfId="1547" builtinId="9" hidden="1"/>
    <cellStyle name="Followed Hyperlink" xfId="7485" builtinId="9" hidden="1"/>
    <cellStyle name="Followed Hyperlink" xfId="641" builtinId="9" hidden="1"/>
    <cellStyle name="Followed Hyperlink" xfId="589" builtinId="9" hidden="1"/>
    <cellStyle name="Followed Hyperlink" xfId="4787" builtinId="9" hidden="1"/>
    <cellStyle name="Followed Hyperlink" xfId="4653" builtinId="9" hidden="1"/>
    <cellStyle name="Followed Hyperlink" xfId="4863" builtinId="9" hidden="1"/>
    <cellStyle name="Followed Hyperlink" xfId="2355" builtinId="9" hidden="1"/>
    <cellStyle name="Followed Hyperlink" xfId="4939" builtinId="9" hidden="1"/>
    <cellStyle name="Followed Hyperlink" xfId="5039" builtinId="9" hidden="1"/>
    <cellStyle name="Followed Hyperlink" xfId="5015" builtinId="9" hidden="1"/>
    <cellStyle name="Followed Hyperlink" xfId="5053" builtinId="9" hidden="1"/>
    <cellStyle name="Followed Hyperlink" xfId="4683" builtinId="9" hidden="1"/>
    <cellStyle name="Followed Hyperlink" xfId="5129" builtinId="9" hidden="1"/>
    <cellStyle name="Followed Hyperlink" xfId="4851" builtinId="9" hidden="1"/>
    <cellStyle name="Followed Hyperlink" xfId="5205" builtinId="9" hidden="1"/>
    <cellStyle name="Followed Hyperlink" xfId="5747" builtinId="9" hidden="1"/>
    <cellStyle name="Followed Hyperlink" xfId="5281" builtinId="9" hidden="1"/>
    <cellStyle name="Followed Hyperlink" xfId="5319" builtinId="9" hidden="1"/>
    <cellStyle name="Followed Hyperlink" xfId="4349" builtinId="9" hidden="1"/>
    <cellStyle name="Followed Hyperlink" xfId="4919" builtinId="9" hidden="1"/>
    <cellStyle name="Followed Hyperlink" xfId="5433" builtinId="9" hidden="1"/>
    <cellStyle name="Followed Hyperlink" xfId="3779" builtinId="9" hidden="1"/>
    <cellStyle name="Followed Hyperlink" xfId="5509" builtinId="9" hidden="1"/>
    <cellStyle name="Followed Hyperlink" xfId="5547" builtinId="9" hidden="1"/>
    <cellStyle name="Followed Hyperlink" xfId="5585" builtinId="9" hidden="1"/>
    <cellStyle name="Followed Hyperlink" xfId="5623" builtinId="9" hidden="1"/>
    <cellStyle name="Followed Hyperlink" xfId="5661" builtinId="9" hidden="1"/>
    <cellStyle name="Followed Hyperlink" xfId="5699" builtinId="9" hidden="1"/>
    <cellStyle name="Followed Hyperlink" xfId="5737" builtinId="9" hidden="1"/>
    <cellStyle name="Followed Hyperlink" xfId="8117" builtinId="9" hidden="1"/>
    <cellStyle name="Followed Hyperlink" xfId="5813" builtinId="9" hidden="1"/>
    <cellStyle name="Followed Hyperlink" xfId="6437" builtinId="9" hidden="1"/>
    <cellStyle name="Followed Hyperlink" xfId="5889" builtinId="9" hidden="1"/>
    <cellStyle name="Followed Hyperlink" xfId="635" builtinId="9" hidden="1"/>
    <cellStyle name="Followed Hyperlink" xfId="8109" builtinId="9" hidden="1"/>
    <cellStyle name="Followed Hyperlink" xfId="6003" builtinId="9" hidden="1"/>
    <cellStyle name="Followed Hyperlink" xfId="6041" builtinId="9" hidden="1"/>
    <cellStyle name="Followed Hyperlink" xfId="1753" builtinId="9" hidden="1"/>
    <cellStyle name="Followed Hyperlink" xfId="3969" builtinId="9" hidden="1"/>
    <cellStyle name="Followed Hyperlink" xfId="6155" builtinId="9" hidden="1"/>
    <cellStyle name="Followed Hyperlink" xfId="5219" builtinId="9" hidden="1"/>
    <cellStyle name="Followed Hyperlink" xfId="6231" builtinId="9" hidden="1"/>
    <cellStyle name="Followed Hyperlink" xfId="1785" builtinId="9" hidden="1"/>
    <cellStyle name="Followed Hyperlink" xfId="2079" builtinId="9" hidden="1"/>
    <cellStyle name="Followed Hyperlink" xfId="3103" builtinId="9" hidden="1"/>
    <cellStyle name="Followed Hyperlink" xfId="4507" builtinId="9" hidden="1"/>
    <cellStyle name="Followed Hyperlink" xfId="6421" builtinId="9" hidden="1"/>
    <cellStyle name="Followed Hyperlink" xfId="5331" builtinId="9" hidden="1"/>
    <cellStyle name="Followed Hyperlink" xfId="4985" builtinId="9" hidden="1"/>
    <cellStyle name="Followed Hyperlink" xfId="6535" builtinId="9" hidden="1"/>
    <cellStyle name="Followed Hyperlink" xfId="6573" builtinId="9" hidden="1"/>
    <cellStyle name="Followed Hyperlink" xfId="1507" builtinId="9" hidden="1"/>
    <cellStyle name="Followed Hyperlink" xfId="5709" builtinId="9" hidden="1"/>
    <cellStyle name="Followed Hyperlink" xfId="6687" builtinId="9" hidden="1"/>
    <cellStyle name="Followed Hyperlink" xfId="6725" builtinId="9" hidden="1"/>
    <cellStyle name="Followed Hyperlink" xfId="6763" builtinId="9" hidden="1"/>
    <cellStyle name="Followed Hyperlink" xfId="4003" builtinId="9" hidden="1"/>
    <cellStyle name="Followed Hyperlink" xfId="6839" builtinId="9" hidden="1"/>
    <cellStyle name="Followed Hyperlink" xfId="6877" builtinId="9" hidden="1"/>
    <cellStyle name="Followed Hyperlink" xfId="7187" builtinId="9" hidden="1"/>
    <cellStyle name="Followed Hyperlink" xfId="4253" builtinId="9" hidden="1"/>
    <cellStyle name="Followed Hyperlink" xfId="4203" builtinId="9" hidden="1"/>
    <cellStyle name="Followed Hyperlink" xfId="5471" builtinId="9" hidden="1"/>
    <cellStyle name="Followed Hyperlink" xfId="7067" builtinId="9" hidden="1"/>
    <cellStyle name="Followed Hyperlink" xfId="7105" builtinId="9" hidden="1"/>
    <cellStyle name="Followed Hyperlink" xfId="7143" builtinId="9" hidden="1"/>
    <cellStyle name="Followed Hyperlink" xfId="7181" builtinId="9" hidden="1"/>
    <cellStyle name="Followed Hyperlink" xfId="7219" builtinId="9" hidden="1"/>
    <cellStyle name="Followed Hyperlink" xfId="7257" builtinId="9" hidden="1"/>
    <cellStyle name="Followed Hyperlink" xfId="4281" builtinId="9" hidden="1"/>
    <cellStyle name="Followed Hyperlink" xfId="6217" builtinId="9" hidden="1"/>
    <cellStyle name="Followed Hyperlink" xfId="7371" builtinId="9" hidden="1"/>
    <cellStyle name="Followed Hyperlink" xfId="2737" builtinId="9" hidden="1"/>
    <cellStyle name="Followed Hyperlink" xfId="3513" builtinId="9" hidden="1"/>
    <cellStyle name="Followed Hyperlink" xfId="4347" builtinId="9" hidden="1"/>
    <cellStyle name="Followed Hyperlink" xfId="7523" builtinId="9" hidden="1"/>
    <cellStyle name="Followed Hyperlink" xfId="7561" builtinId="9" hidden="1"/>
    <cellStyle name="Followed Hyperlink" xfId="7599" builtinId="9" hidden="1"/>
    <cellStyle name="Followed Hyperlink" xfId="6595" builtinId="9" hidden="1"/>
    <cellStyle name="Followed Hyperlink" xfId="7675" builtinId="9" hidden="1"/>
    <cellStyle name="Followed Hyperlink" xfId="7713" builtinId="9" hidden="1"/>
    <cellStyle name="Followed Hyperlink" xfId="5861" builtinId="9" hidden="1"/>
    <cellStyle name="Followed Hyperlink" xfId="2285" builtinId="9" hidden="1"/>
    <cellStyle name="Followed Hyperlink" xfId="5607" builtinId="9" hidden="1"/>
    <cellStyle name="Followed Hyperlink" xfId="6435" builtinId="9" hidden="1"/>
    <cellStyle name="Followed Hyperlink" xfId="7903" builtinId="9" hidden="1"/>
    <cellStyle name="Followed Hyperlink" xfId="7941" builtinId="9" hidden="1"/>
    <cellStyle name="Followed Hyperlink" xfId="7979" builtinId="9" hidden="1"/>
    <cellStyle name="Followed Hyperlink" xfId="1715" builtinId="9" hidden="1"/>
    <cellStyle name="Followed Hyperlink" xfId="8055" builtinId="9" hidden="1"/>
    <cellStyle name="Followed Hyperlink" xfId="1089" builtinId="9" hidden="1"/>
    <cellStyle name="Followed Hyperlink" xfId="8135" builtinId="9" hidden="1"/>
    <cellStyle name="Followed Hyperlink" xfId="8173" builtinId="9" hidden="1"/>
    <cellStyle name="Followed Hyperlink" xfId="8181" builtinId="9" hidden="1"/>
    <cellStyle name="Followed Hyperlink" xfId="8143" builtinId="9" hidden="1"/>
    <cellStyle name="Followed Hyperlink" xfId="8101" builtinId="9" hidden="1"/>
    <cellStyle name="Followed Hyperlink" xfId="8063" builtinId="9" hidden="1"/>
    <cellStyle name="Followed Hyperlink" xfId="8025" builtinId="9" hidden="1"/>
    <cellStyle name="Followed Hyperlink" xfId="6703" builtinId="9" hidden="1"/>
    <cellStyle name="Followed Hyperlink" xfId="7949" builtinId="9" hidden="1"/>
    <cellStyle name="Followed Hyperlink" xfId="7911" builtinId="9" hidden="1"/>
    <cellStyle name="Followed Hyperlink" xfId="2843" builtinId="9" hidden="1"/>
    <cellStyle name="Followed Hyperlink" xfId="7389" builtinId="9" hidden="1"/>
    <cellStyle name="Followed Hyperlink" xfId="4675" builtinId="9" hidden="1"/>
    <cellStyle name="Followed Hyperlink" xfId="4741" builtinId="9" hidden="1"/>
    <cellStyle name="Followed Hyperlink" xfId="8167" builtinId="9" hidden="1"/>
    <cellStyle name="Followed Hyperlink" xfId="6043" builtinId="9" hidden="1"/>
    <cellStyle name="Followed Hyperlink" xfId="7879" builtinId="9" hidden="1"/>
    <cellStyle name="Followed Hyperlink" xfId="6867" builtinId="9" hidden="1"/>
    <cellStyle name="Followed Hyperlink" xfId="7411" builtinId="9" hidden="1"/>
    <cellStyle name="Followed Hyperlink" xfId="7531" builtinId="9" hidden="1"/>
    <cellStyle name="Followed Hyperlink" xfId="318" builtinId="9" hidden="1"/>
    <cellStyle name="Followed Hyperlink" xfId="5177" builtinId="9" hidden="1"/>
    <cellStyle name="Followed Hyperlink" xfId="6159" builtinId="9" hidden="1"/>
    <cellStyle name="Followed Hyperlink" xfId="7379" builtinId="9" hidden="1"/>
    <cellStyle name="Followed Hyperlink" xfId="597" builtinId="9" hidden="1"/>
    <cellStyle name="Followed Hyperlink" xfId="7303" builtinId="9" hidden="1"/>
    <cellStyle name="Followed Hyperlink" xfId="7265" builtinId="9" hidden="1"/>
    <cellStyle name="Followed Hyperlink" xfId="7269" builtinId="9" hidden="1"/>
    <cellStyle name="Followed Hyperlink" xfId="7189" builtinId="9" hidden="1"/>
    <cellStyle name="Followed Hyperlink" xfId="7151" builtinId="9" hidden="1"/>
    <cellStyle name="Followed Hyperlink" xfId="2129" builtinId="9" hidden="1"/>
    <cellStyle name="Followed Hyperlink" xfId="7075" builtinId="9" hidden="1"/>
    <cellStyle name="Followed Hyperlink" xfId="7439" builtinId="9" hidden="1"/>
    <cellStyle name="Followed Hyperlink" xfId="544" builtinId="9" hidden="1"/>
    <cellStyle name="Followed Hyperlink" xfId="6961" builtinId="9" hidden="1"/>
    <cellStyle name="Followed Hyperlink" xfId="6923" builtinId="9" hidden="1"/>
    <cellStyle name="Followed Hyperlink" xfId="6885" builtinId="9" hidden="1"/>
    <cellStyle name="Followed Hyperlink" xfId="2369" builtinId="9" hidden="1"/>
    <cellStyle name="Followed Hyperlink" xfId="6809" builtinId="9" hidden="1"/>
    <cellStyle name="Followed Hyperlink" xfId="1995" builtinId="9" hidden="1"/>
    <cellStyle name="Followed Hyperlink" xfId="6733" builtinId="9" hidden="1"/>
    <cellStyle name="Followed Hyperlink" xfId="6301" builtinId="9" hidden="1"/>
    <cellStyle name="Followed Hyperlink" xfId="6657" builtinId="9" hidden="1"/>
    <cellStyle name="Followed Hyperlink" xfId="6619" builtinId="9" hidden="1"/>
    <cellStyle name="Followed Hyperlink" xfId="574" builtinId="9" hidden="1"/>
    <cellStyle name="Followed Hyperlink" xfId="6543" builtinId="9" hidden="1"/>
    <cellStyle name="Followed Hyperlink" xfId="927" builtinId="9" hidden="1"/>
    <cellStyle name="Followed Hyperlink" xfId="6467" builtinId="9" hidden="1"/>
    <cellStyle name="Followed Hyperlink" xfId="6429" builtinId="9" hidden="1"/>
    <cellStyle name="Followed Hyperlink" xfId="6391" builtinId="9" hidden="1"/>
    <cellStyle name="Followed Hyperlink" xfId="6353" builtinId="9" hidden="1"/>
    <cellStyle name="Followed Hyperlink" xfId="989" builtinId="9" hidden="1"/>
    <cellStyle name="Followed Hyperlink" xfId="428" builtinId="9" hidden="1"/>
    <cellStyle name="Followed Hyperlink" xfId="2879" builtinId="9" hidden="1"/>
    <cellStyle name="Followed Hyperlink" xfId="6201" builtinId="9" hidden="1"/>
    <cellStyle name="Followed Hyperlink" xfId="5065" builtinId="9" hidden="1"/>
    <cellStyle name="Followed Hyperlink" xfId="6125" builtinId="9" hidden="1"/>
    <cellStyle name="Followed Hyperlink" xfId="2665" builtinId="9" hidden="1"/>
    <cellStyle name="Followed Hyperlink" xfId="3465" builtinId="9" hidden="1"/>
    <cellStyle name="Followed Hyperlink" xfId="6011" builtinId="9" hidden="1"/>
    <cellStyle name="Followed Hyperlink" xfId="5839" builtinId="9" hidden="1"/>
    <cellStyle name="Followed Hyperlink" xfId="54" builtinId="9" hidden="1"/>
    <cellStyle name="Followed Hyperlink" xfId="7479" builtinId="9" hidden="1"/>
    <cellStyle name="Followed Hyperlink" xfId="5733" builtinId="9" hidden="1"/>
    <cellStyle name="Followed Hyperlink" xfId="3291" builtinId="9" hidden="1"/>
    <cellStyle name="Followed Hyperlink" xfId="7227" builtinId="9" hidden="1"/>
    <cellStyle name="Followed Hyperlink" xfId="5745" builtinId="9" hidden="1"/>
    <cellStyle name="Followed Hyperlink" xfId="5707" builtinId="9" hidden="1"/>
    <cellStyle name="Followed Hyperlink" xfId="5669" builtinId="9" hidden="1"/>
    <cellStyle name="Followed Hyperlink" xfId="12" builtinId="9" hidden="1"/>
    <cellStyle name="Followed Hyperlink" xfId="5593" builtinId="9" hidden="1"/>
    <cellStyle name="Followed Hyperlink" xfId="5555" builtinId="9" hidden="1"/>
    <cellStyle name="Followed Hyperlink" xfId="5517" builtinId="9" hidden="1"/>
    <cellStyle name="Followed Hyperlink" xfId="6101" builtinId="9" hidden="1"/>
    <cellStyle name="Followed Hyperlink" xfId="2251" builtinId="9" hidden="1"/>
    <cellStyle name="Followed Hyperlink" xfId="3843" builtinId="9" hidden="1"/>
    <cellStyle name="Followed Hyperlink" xfId="5365" builtinId="9" hidden="1"/>
    <cellStyle name="Followed Hyperlink" xfId="5979" builtinId="9" hidden="1"/>
    <cellStyle name="Followed Hyperlink" xfId="7057" builtinId="9" hidden="1"/>
    <cellStyle name="Followed Hyperlink" xfId="6117" builtinId="9" hidden="1"/>
    <cellStyle name="Followed Hyperlink" xfId="765" builtinId="9" hidden="1"/>
    <cellStyle name="Followed Hyperlink" xfId="5175" builtinId="9" hidden="1"/>
    <cellStyle name="Followed Hyperlink" xfId="4471" builtinId="9" hidden="1"/>
    <cellStyle name="Followed Hyperlink" xfId="5099" builtinId="9" hidden="1"/>
    <cellStyle name="Followed Hyperlink" xfId="5061" builtinId="9" hidden="1"/>
    <cellStyle name="Followed Hyperlink" xfId="5023" builtinId="9" hidden="1"/>
    <cellStyle name="Followed Hyperlink" xfId="7323" builtinId="9" hidden="1"/>
    <cellStyle name="Followed Hyperlink" xfId="4947" builtinId="9" hidden="1"/>
    <cellStyle name="Followed Hyperlink" xfId="3821" builtinId="9" hidden="1"/>
    <cellStyle name="Followed Hyperlink" xfId="4871" builtinId="9" hidden="1"/>
    <cellStyle name="Followed Hyperlink" xfId="4833" builtinId="9" hidden="1"/>
    <cellStyle name="Followed Hyperlink" xfId="5081" builtinId="9" hidden="1"/>
    <cellStyle name="Followed Hyperlink" xfId="3151" builtinId="9" hidden="1"/>
    <cellStyle name="Followed Hyperlink" xfId="4719" builtinId="9" hidden="1"/>
    <cellStyle name="Followed Hyperlink" xfId="358" builtinId="9" hidden="1"/>
    <cellStyle name="Followed Hyperlink" xfId="7717" builtinId="9" hidden="1"/>
    <cellStyle name="Followed Hyperlink" xfId="5977" builtinId="9" hidden="1"/>
    <cellStyle name="Followed Hyperlink" xfId="466" builtinId="9" hidden="1"/>
    <cellStyle name="Followed Hyperlink" xfId="7641" builtinId="9" hidden="1"/>
    <cellStyle name="Followed Hyperlink" xfId="4643" builtinId="9" hidden="1"/>
    <cellStyle name="Followed Hyperlink" xfId="3551" builtinId="9" hidden="1"/>
    <cellStyle name="Followed Hyperlink" xfId="6591" builtinId="9" hidden="1"/>
    <cellStyle name="Followed Hyperlink" xfId="1219" builtinId="9" hidden="1"/>
    <cellStyle name="Followed Hyperlink" xfId="3503" builtinId="9" hidden="1"/>
    <cellStyle name="Followed Hyperlink" xfId="3579" builtinId="9" hidden="1"/>
    <cellStyle name="Followed Hyperlink" xfId="314" builtinId="9" hidden="1"/>
    <cellStyle name="Followed Hyperlink" xfId="7793" builtinId="9" hidden="1"/>
    <cellStyle name="Followed Hyperlink" xfId="352" builtinId="9" hidden="1"/>
    <cellStyle name="Followed Hyperlink" xfId="3693" builtinId="9" hidden="1"/>
    <cellStyle name="Followed Hyperlink" xfId="7831" builtinId="9" hidden="1"/>
    <cellStyle name="Followed Hyperlink" xfId="6519" builtinId="9" hidden="1"/>
    <cellStyle name="Followed Hyperlink" xfId="276" builtinId="9" hidden="1"/>
    <cellStyle name="Followed Hyperlink" xfId="7745" builtinId="9" hidden="1"/>
    <cellStyle name="Followed Hyperlink" xfId="5193" builtinId="9" hidden="1"/>
    <cellStyle name="Followed Hyperlink" xfId="4645" builtinId="9" hidden="1"/>
    <cellStyle name="Followed Hyperlink" xfId="5373" builtinId="9" hidden="1"/>
    <cellStyle name="Followed Hyperlink" xfId="3617" builtinId="9" hidden="1"/>
    <cellStyle name="Followed Hyperlink" xfId="823" builtinId="9" hidden="1"/>
    <cellStyle name="Followed Hyperlink" xfId="7617" builtinId="9" hidden="1"/>
    <cellStyle name="Followed Hyperlink" xfId="1747" builtinId="9" hidden="1"/>
    <cellStyle name="Followed Hyperlink" xfId="7253" builtinId="9" hidden="1"/>
    <cellStyle name="Followed Hyperlink" xfId="1079" builtinId="9" hidden="1"/>
    <cellStyle name="Followed Hyperlink" xfId="504" builtinId="9" hidden="1"/>
    <cellStyle name="Followed Hyperlink" xfId="1329" builtinId="9" hidden="1"/>
    <cellStyle name="Followed Hyperlink" xfId="7679" builtinId="9" hidden="1"/>
    <cellStyle name="Followed Hyperlink" xfId="3493" builtinId="9" hidden="1"/>
    <cellStyle name="Followed Hyperlink" xfId="4529" builtinId="9" hidden="1"/>
    <cellStyle name="Followed Hyperlink" xfId="7755" builtinId="9" hidden="1"/>
    <cellStyle name="Followed Hyperlink" xfId="130" builtinId="9" hidden="1"/>
    <cellStyle name="Followed Hyperlink" xfId="3351" builtinId="9" hidden="1"/>
    <cellStyle name="Followed Hyperlink" xfId="3313" builtinId="9" hidden="1"/>
    <cellStyle name="Followed Hyperlink" xfId="3275" builtinId="9" hidden="1"/>
    <cellStyle name="Followed Hyperlink" xfId="3237" builtinId="9" hidden="1"/>
    <cellStyle name="Followed Hyperlink" xfId="1177" builtinId="9" hidden="1"/>
    <cellStyle name="Followed Hyperlink" xfId="3161" builtinId="9" hidden="1"/>
    <cellStyle name="Followed Hyperlink" xfId="3123" builtinId="9" hidden="1"/>
    <cellStyle name="Followed Hyperlink" xfId="6361" builtinId="9" hidden="1"/>
    <cellStyle name="Followed Hyperlink" xfId="1795" builtinId="9" hidden="1"/>
    <cellStyle name="Followed Hyperlink" xfId="3009" builtinId="9" hidden="1"/>
    <cellStyle name="Followed Hyperlink" xfId="2971" builtinId="9" hidden="1"/>
    <cellStyle name="Followed Hyperlink" xfId="2933" builtinId="9" hidden="1"/>
    <cellStyle name="Followed Hyperlink" xfId="4451" builtinId="9" hidden="1"/>
    <cellStyle name="Followed Hyperlink" xfId="5981" builtinId="9" hidden="1"/>
    <cellStyle name="Followed Hyperlink" xfId="3711" builtinId="9" hidden="1"/>
    <cellStyle name="Followed Hyperlink" xfId="1959" builtinId="9" hidden="1"/>
    <cellStyle name="Followed Hyperlink" xfId="591" builtinId="9" hidden="1"/>
    <cellStyle name="Followed Hyperlink" xfId="1363" builtinId="9" hidden="1"/>
    <cellStyle name="Followed Hyperlink" xfId="2667" builtinId="9" hidden="1"/>
    <cellStyle name="Followed Hyperlink" xfId="2629" builtinId="9" hidden="1"/>
    <cellStyle name="Followed Hyperlink" xfId="216" builtinId="9" hidden="1"/>
    <cellStyle name="Followed Hyperlink" xfId="7273" builtinId="9" hidden="1"/>
    <cellStyle name="Followed Hyperlink" xfId="2515" builtinId="9" hidden="1"/>
    <cellStyle name="Followed Hyperlink" xfId="2477" builtinId="9" hidden="1"/>
    <cellStyle name="Followed Hyperlink" xfId="2093" builtinId="9" hidden="1"/>
    <cellStyle name="Followed Hyperlink" xfId="2401" builtinId="9" hidden="1"/>
    <cellStyle name="Followed Hyperlink" xfId="2363" builtinId="9" hidden="1"/>
    <cellStyle name="Followed Hyperlink" xfId="2325" builtinId="9" hidden="1"/>
    <cellStyle name="Followed Hyperlink" xfId="2287" builtinId="9" hidden="1"/>
    <cellStyle name="Followed Hyperlink" xfId="6695" builtinId="9" hidden="1"/>
    <cellStyle name="Followed Hyperlink" xfId="2341" builtinId="9" hidden="1"/>
    <cellStyle name="Followed Hyperlink" xfId="2173" builtinId="9" hidden="1"/>
    <cellStyle name="Followed Hyperlink" xfId="2135" builtinId="9" hidden="1"/>
    <cellStyle name="Followed Hyperlink" xfId="3415" builtinId="9" hidden="1"/>
    <cellStyle name="Followed Hyperlink" xfId="2059" builtinId="9" hidden="1"/>
    <cellStyle name="Followed Hyperlink" xfId="2021" builtinId="9" hidden="1"/>
    <cellStyle name="Followed Hyperlink" xfId="5559" builtinId="9" hidden="1"/>
    <cellStyle name="Followed Hyperlink" xfId="3901" builtinId="9" hidden="1"/>
    <cellStyle name="Followed Hyperlink" xfId="5641" builtinId="9" hidden="1"/>
    <cellStyle name="Followed Hyperlink" xfId="2321" builtinId="9" hidden="1"/>
    <cellStyle name="Followed Hyperlink" xfId="1831" builtinId="9" hidden="1"/>
    <cellStyle name="Followed Hyperlink" xfId="1793" builtinId="9" hidden="1"/>
    <cellStyle name="Followed Hyperlink" xfId="6829" builtinId="9" hidden="1"/>
    <cellStyle name="Followed Hyperlink" xfId="3869" builtinId="9" hidden="1"/>
    <cellStyle name="Followed Hyperlink" xfId="1679" builtinId="9" hidden="1"/>
    <cellStyle name="Followed Hyperlink" xfId="6929" builtinId="9" hidden="1"/>
    <cellStyle name="Followed Hyperlink" xfId="210" builtinId="9" hidden="1"/>
    <cellStyle name="Followed Hyperlink" xfId="5841" builtinId="9" hidden="1"/>
    <cellStyle name="Followed Hyperlink" xfId="1527" builtinId="9" hidden="1"/>
    <cellStyle name="Followed Hyperlink" xfId="1489" builtinId="9" hidden="1"/>
    <cellStyle name="Followed Hyperlink" xfId="2357" builtinId="9" hidden="1"/>
    <cellStyle name="Followed Hyperlink" xfId="7053" builtinId="9" hidden="1"/>
    <cellStyle name="Followed Hyperlink" xfId="1887" builtinId="9" hidden="1"/>
    <cellStyle name="Followed Hyperlink" xfId="1337" builtinId="9" hidden="1"/>
    <cellStyle name="Followed Hyperlink" xfId="1299" builtinId="9" hidden="1"/>
    <cellStyle name="Followed Hyperlink" xfId="3077" builtinId="9" hidden="1"/>
    <cellStyle name="Followed Hyperlink" xfId="6875" builtinId="9" hidden="1"/>
    <cellStyle name="Followed Hyperlink" xfId="1185" builtinId="9" hidden="1"/>
    <cellStyle name="Followed Hyperlink" xfId="1147" builtinId="9" hidden="1"/>
    <cellStyle name="Followed Hyperlink" xfId="2819" builtinId="9" hidden="1"/>
    <cellStyle name="Followed Hyperlink" xfId="1071" builtinId="9" hidden="1"/>
    <cellStyle name="Followed Hyperlink" xfId="723" builtinId="9" hidden="1"/>
    <cellStyle name="Followed Hyperlink" xfId="6487" builtinId="9" hidden="1"/>
    <cellStyle name="Followed Hyperlink" xfId="957" builtinId="9" hidden="1"/>
    <cellStyle name="Followed Hyperlink" xfId="919" builtinId="9" hidden="1"/>
    <cellStyle name="Followed Hyperlink" xfId="881" builtinId="9" hidden="1"/>
    <cellStyle name="Followed Hyperlink" xfId="3769" builtinId="9" hidden="1"/>
    <cellStyle name="Followed Hyperlink" xfId="1397" builtinId="9" hidden="1"/>
    <cellStyle name="Followed Hyperlink" xfId="2751" builtinId="9" hidden="1"/>
    <cellStyle name="Followed Hyperlink" xfId="729" builtinId="9" hidden="1"/>
    <cellStyle name="Followed Hyperlink" xfId="7549" builtinId="9" hidden="1"/>
    <cellStyle name="Followed Hyperlink" xfId="653" builtinId="9" hidden="1"/>
    <cellStyle name="Followed Hyperlink" xfId="615" builtinId="9" hidden="1"/>
    <cellStyle name="Followed Hyperlink" xfId="707" builtinId="9" hidden="1"/>
    <cellStyle name="Followed Hyperlink" xfId="7683" builtinId="9" hidden="1"/>
    <cellStyle name="Followed Hyperlink" xfId="500" builtinId="9" hidden="1"/>
    <cellStyle name="Followed Hyperlink" xfId="4459" builtinId="9" hidden="1"/>
    <cellStyle name="Followed Hyperlink" xfId="2511" builtinId="9" hidden="1"/>
    <cellStyle name="Followed Hyperlink" xfId="5359" builtinId="9" hidden="1"/>
    <cellStyle name="Followed Hyperlink" xfId="348" builtinId="9" hidden="1"/>
    <cellStyle name="Followed Hyperlink" xfId="7607" builtinId="9" hidden="1"/>
    <cellStyle name="Followed Hyperlink" xfId="272" builtinId="9" hidden="1"/>
    <cellStyle name="Followed Hyperlink" xfId="1265" builtinId="9" hidden="1"/>
    <cellStyle name="Followed Hyperlink" xfId="196" builtinId="9" hidden="1"/>
    <cellStyle name="Followed Hyperlink" xfId="1119" builtinId="9" hidden="1"/>
    <cellStyle name="Followed Hyperlink" xfId="120" builtinId="9" hidden="1"/>
    <cellStyle name="Followed Hyperlink" xfId="3245" builtinId="9" hidden="1"/>
    <cellStyle name="Followed Hyperlink" xfId="42" builtinId="9" hidden="1"/>
    <cellStyle name="Followed Hyperlink" xfId="3909" builtinId="9" hidden="1"/>
    <cellStyle name="Followed Hyperlink" xfId="1449" builtinId="9" hidden="1"/>
    <cellStyle name="Followed Hyperlink" xfId="74" builtinId="9" hidden="1"/>
    <cellStyle name="Followed Hyperlink" xfId="6833" builtinId="9" hidden="1"/>
    <cellStyle name="Followed Hyperlink" xfId="542" builtinId="9" hidden="1"/>
    <cellStyle name="Followed Hyperlink" xfId="675" builtinId="9" hidden="1"/>
    <cellStyle name="Followed Hyperlink" xfId="194" builtinId="9" hidden="1"/>
    <cellStyle name="Followed Hyperlink" xfId="128" builtinId="9" hidden="1"/>
    <cellStyle name="Followed Hyperlink" xfId="7935" builtinId="9" hidden="1"/>
    <cellStyle name="Followed Hyperlink" xfId="204" builtinId="9" hidden="1"/>
    <cellStyle name="Followed Hyperlink" xfId="242" builtinId="9" hidden="1"/>
    <cellStyle name="Followed Hyperlink" xfId="1759" builtinId="9" hidden="1"/>
    <cellStyle name="Followed Hyperlink" xfId="3145" builtinId="9" hidden="1"/>
    <cellStyle name="Followed Hyperlink" xfId="356" builtinId="9" hidden="1"/>
    <cellStyle name="Followed Hyperlink" xfId="3303" builtinId="9" hidden="1"/>
    <cellStyle name="Followed Hyperlink" xfId="432" builtinId="9" hidden="1"/>
    <cellStyle name="Followed Hyperlink" xfId="2181" builtinId="9" hidden="1"/>
    <cellStyle name="Followed Hyperlink" xfId="508" builtinId="9" hidden="1"/>
    <cellStyle name="Followed Hyperlink" xfId="546" builtinId="9" hidden="1"/>
    <cellStyle name="Followed Hyperlink" xfId="4875" builtinId="9" hidden="1"/>
    <cellStyle name="Followed Hyperlink" xfId="5983" builtinId="9" hidden="1"/>
    <cellStyle name="Followed Hyperlink" xfId="661" builtinId="9" hidden="1"/>
    <cellStyle name="Followed Hyperlink" xfId="7651" builtinId="9" hidden="1"/>
    <cellStyle name="Followed Hyperlink" xfId="3067" builtinId="9" hidden="1"/>
    <cellStyle name="Followed Hyperlink" xfId="775" builtinId="9" hidden="1"/>
    <cellStyle name="Followed Hyperlink" xfId="813" builtinId="9" hidden="1"/>
    <cellStyle name="Followed Hyperlink" xfId="851" builtinId="9" hidden="1"/>
    <cellStyle name="Followed Hyperlink" xfId="889" builtinId="9" hidden="1"/>
    <cellStyle name="Followed Hyperlink" xfId="1951" builtinId="9" hidden="1"/>
    <cellStyle name="Followed Hyperlink" xfId="5001" builtinId="9" hidden="1"/>
    <cellStyle name="Followed Hyperlink" xfId="1003" builtinId="9" hidden="1"/>
    <cellStyle name="Followed Hyperlink" xfId="1041" builtinId="9" hidden="1"/>
    <cellStyle name="Followed Hyperlink" xfId="709" builtinId="9" hidden="1"/>
    <cellStyle name="Followed Hyperlink" xfId="1117" builtinId="9" hidden="1"/>
    <cellStyle name="Followed Hyperlink" xfId="7703" builtinId="9" hidden="1"/>
    <cellStyle name="Followed Hyperlink" xfId="1193" builtinId="9" hidden="1"/>
    <cellStyle name="Followed Hyperlink" xfId="1231" builtinId="9" hidden="1"/>
    <cellStyle name="Followed Hyperlink" xfId="1269" builtinId="9" hidden="1"/>
    <cellStyle name="Followed Hyperlink" xfId="921" builtinId="9" hidden="1"/>
    <cellStyle name="Followed Hyperlink" xfId="4299" builtinId="9" hidden="1"/>
    <cellStyle name="Followed Hyperlink" xfId="1383" builtinId="9" hidden="1"/>
    <cellStyle name="Followed Hyperlink" xfId="1421" builtinId="9" hidden="1"/>
    <cellStyle name="Followed Hyperlink" xfId="1129" builtinId="9" hidden="1"/>
    <cellStyle name="Followed Hyperlink" xfId="1199" builtinId="9" hidden="1"/>
    <cellStyle name="Followed Hyperlink" xfId="3199" builtinId="9" hidden="1"/>
    <cellStyle name="Followed Hyperlink" xfId="5479" builtinId="9" hidden="1"/>
    <cellStyle name="Followed Hyperlink" xfId="1611" builtinId="9" hidden="1"/>
    <cellStyle name="Followed Hyperlink" xfId="3053" builtinId="9" hidden="1"/>
    <cellStyle name="Followed Hyperlink" xfId="5077" builtinId="9" hidden="1"/>
    <cellStyle name="Followed Hyperlink" xfId="4065" builtinId="9" hidden="1"/>
    <cellStyle name="Followed Hyperlink" xfId="6805" builtinId="9" hidden="1"/>
    <cellStyle name="Followed Hyperlink" xfId="7111" builtinId="9" hidden="1"/>
    <cellStyle name="Followed Hyperlink" xfId="4497" builtinId="9" hidden="1"/>
    <cellStyle name="Followed Hyperlink" xfId="7493" builtinId="9" hidden="1"/>
    <cellStyle name="Followed Hyperlink" xfId="3453" builtinId="9" hidden="1"/>
    <cellStyle name="Followed Hyperlink" xfId="4509" builtinId="9" hidden="1"/>
    <cellStyle name="Followed Hyperlink" xfId="5541" builtinId="9" hidden="1"/>
    <cellStyle name="Followed Hyperlink" xfId="5941" builtinId="9" hidden="1"/>
    <cellStyle name="Followed Hyperlink" xfId="6417" builtinId="9" hidden="1"/>
    <cellStyle name="Followed Hyperlink" xfId="6803" builtinId="9" hidden="1"/>
    <cellStyle name="Followed Hyperlink" xfId="5475" builtinId="9" hidden="1"/>
    <cellStyle name="Followed Hyperlink" xfId="3355" builtinId="9" hidden="1"/>
    <cellStyle name="Followed Hyperlink" xfId="7763" builtinId="9" hidden="1"/>
    <cellStyle name="Followed Hyperlink" xfId="112" builtinId="9" hidden="1"/>
    <cellStyle name="Followed Hyperlink" xfId="2295" builtinId="9" hidden="1"/>
    <cellStyle name="Followed Hyperlink" xfId="2333" builtinId="9" hidden="1"/>
    <cellStyle name="Followed Hyperlink" xfId="2371" builtinId="9" hidden="1"/>
    <cellStyle name="Followed Hyperlink" xfId="4363" builtinId="9" hidden="1"/>
    <cellStyle name="Followed Hyperlink" xfId="3229" builtinId="9" hidden="1"/>
    <cellStyle name="Followed Hyperlink" xfId="1011" builtinId="9" hidden="1"/>
    <cellStyle name="Followed Hyperlink" xfId="2523" builtinId="9" hidden="1"/>
    <cellStyle name="Followed Hyperlink" xfId="7877" builtinId="9" hidden="1"/>
    <cellStyle name="Followed Hyperlink" xfId="2599" builtinId="9" hidden="1"/>
    <cellStyle name="Followed Hyperlink" xfId="2167" builtinId="9" hidden="1"/>
    <cellStyle name="Followed Hyperlink" xfId="2675" builtinId="9" hidden="1"/>
    <cellStyle name="Followed Hyperlink" xfId="3309" builtinId="9" hidden="1"/>
    <cellStyle name="Followed Hyperlink" xfId="4929" builtinId="9" hidden="1"/>
    <cellStyle name="Followed Hyperlink" xfId="2789" builtinId="9" hidden="1"/>
    <cellStyle name="Followed Hyperlink" xfId="2593" builtinId="9" hidden="1"/>
    <cellStyle name="Followed Hyperlink" xfId="2865" builtinId="9" hidden="1"/>
    <cellStyle name="Followed Hyperlink" xfId="2903" builtinId="9" hidden="1"/>
    <cellStyle name="Followed Hyperlink" xfId="7759" builtinId="9" hidden="1"/>
    <cellStyle name="Followed Hyperlink" xfId="2979" builtinId="9" hidden="1"/>
    <cellStyle name="Followed Hyperlink" xfId="6233" builtinId="9" hidden="1"/>
    <cellStyle name="Followed Hyperlink" xfId="689" builtinId="9" hidden="1"/>
    <cellStyle name="Followed Hyperlink" xfId="2337" builtinId="9" hidden="1"/>
    <cellStyle name="Followed Hyperlink" xfId="3131" builtinId="9" hidden="1"/>
    <cellStyle name="Followed Hyperlink" xfId="4175" builtinId="9" hidden="1"/>
    <cellStyle name="Followed Hyperlink" xfId="3207" builtinId="9" hidden="1"/>
    <cellStyle name="Followed Hyperlink" xfId="2967" builtinId="9" hidden="1"/>
    <cellStyle name="Followed Hyperlink" xfId="4275" builtinId="9" hidden="1"/>
    <cellStyle name="Followed Hyperlink" xfId="3321" builtinId="9" hidden="1"/>
    <cellStyle name="Followed Hyperlink" xfId="4835" builtinId="9" hidden="1"/>
    <cellStyle name="Followed Hyperlink" xfId="3527" builtinId="9" hidden="1"/>
    <cellStyle name="Followed Hyperlink" xfId="3435" builtinId="9" hidden="1"/>
    <cellStyle name="Followed Hyperlink" xfId="3473" builtinId="9" hidden="1"/>
    <cellStyle name="Followed Hyperlink" xfId="3895" builtinId="9" hidden="1"/>
    <cellStyle name="Followed Hyperlink" xfId="3549" builtinId="9" hidden="1"/>
    <cellStyle name="Followed Hyperlink" xfId="4159" builtinId="9" hidden="1"/>
    <cellStyle name="Followed Hyperlink" xfId="3625" builtinId="9" hidden="1"/>
    <cellStyle name="Followed Hyperlink" xfId="3663" builtinId="9" hidden="1"/>
    <cellStyle name="Followed Hyperlink" xfId="7875" builtinId="9" hidden="1"/>
    <cellStyle name="Followed Hyperlink" xfId="3739" builtinId="9" hidden="1"/>
    <cellStyle name="Followed Hyperlink" xfId="849" builtinId="9" hidden="1"/>
    <cellStyle name="Followed Hyperlink" xfId="5551" builtinId="9" hidden="1"/>
    <cellStyle name="Followed Hyperlink" xfId="368" builtinId="9" hidden="1"/>
    <cellStyle name="Followed Hyperlink" xfId="3891" builtinId="9" hidden="1"/>
    <cellStyle name="Followed Hyperlink" xfId="4837" builtinId="9" hidden="1"/>
    <cellStyle name="Followed Hyperlink" xfId="7441" builtinId="9" hidden="1"/>
    <cellStyle name="Followed Hyperlink" xfId="270" builtinId="9" hidden="1"/>
    <cellStyle name="Followed Hyperlink" xfId="4043" builtinId="9" hidden="1"/>
    <cellStyle name="Followed Hyperlink" xfId="4093" builtinId="9" hidden="1"/>
    <cellStyle name="Followed Hyperlink" xfId="4909" builtinId="9" hidden="1"/>
    <cellStyle name="Followed Hyperlink" xfId="4157" builtinId="9" hidden="1"/>
    <cellStyle name="Followed Hyperlink" xfId="4195" builtinId="9" hidden="1"/>
    <cellStyle name="Followed Hyperlink" xfId="3329" builtinId="9" hidden="1"/>
    <cellStyle name="Followed Hyperlink" xfId="1933" builtinId="9" hidden="1"/>
    <cellStyle name="Followed Hyperlink" xfId="7627" builtinId="9" hidden="1"/>
    <cellStyle name="Followed Hyperlink" xfId="2165" builtinId="9" hidden="1"/>
    <cellStyle name="Followed Hyperlink" xfId="70" builtinId="9" hidden="1"/>
    <cellStyle name="Followed Hyperlink" xfId="4423" builtinId="9" hidden="1"/>
    <cellStyle name="Followed Hyperlink" xfId="4461" builtinId="9" hidden="1"/>
    <cellStyle name="Followed Hyperlink" xfId="1409" builtinId="9" hidden="1"/>
    <cellStyle name="Followed Hyperlink" xfId="1001" builtinId="9" hidden="1"/>
    <cellStyle name="Followed Hyperlink" xfId="4575" builtinId="9" hidden="1"/>
    <cellStyle name="Followed Hyperlink" xfId="4613" builtinId="9" hidden="1"/>
    <cellStyle name="Followed Hyperlink" xfId="4265" builtinId="9" hidden="1"/>
    <cellStyle name="Followed Hyperlink" xfId="4689" builtinId="9" hidden="1"/>
    <cellStyle name="Followed Hyperlink" xfId="3337" builtinId="9" hidden="1"/>
    <cellStyle name="Followed Hyperlink" xfId="4765" builtinId="9" hidden="1"/>
    <cellStyle name="Followed Hyperlink" xfId="5315" builtinId="9" hidden="1"/>
    <cellStyle name="Followed Hyperlink" xfId="4841" builtinId="9" hidden="1"/>
    <cellStyle name="Followed Hyperlink" xfId="3389" builtinId="9" hidden="1"/>
    <cellStyle name="Followed Hyperlink" xfId="4917" builtinId="9" hidden="1"/>
    <cellStyle name="Followed Hyperlink" xfId="4955" builtinId="9" hidden="1"/>
    <cellStyle name="Followed Hyperlink" xfId="4993" builtinId="9" hidden="1"/>
    <cellStyle name="Followed Hyperlink" xfId="5031" builtinId="9" hidden="1"/>
    <cellStyle name="Followed Hyperlink" xfId="5069" builtinId="9" hidden="1"/>
    <cellStyle name="Followed Hyperlink" xfId="5107" builtinId="9" hidden="1"/>
    <cellStyle name="Followed Hyperlink" xfId="3471" builtinId="9" hidden="1"/>
    <cellStyle name="Followed Hyperlink" xfId="8131" builtinId="9" hidden="1"/>
    <cellStyle name="Followed Hyperlink" xfId="5221" builtinId="9" hidden="1"/>
    <cellStyle name="Followed Hyperlink" xfId="5259" builtinId="9" hidden="1"/>
    <cellStyle name="Followed Hyperlink" xfId="14" builtinId="9" hidden="1"/>
    <cellStyle name="Followed Hyperlink" xfId="2061" builtinId="9" hidden="1"/>
    <cellStyle name="Followed Hyperlink" xfId="673" builtinId="9" hidden="1"/>
    <cellStyle name="Followed Hyperlink" xfId="5411" builtinId="9" hidden="1"/>
    <cellStyle name="Followed Hyperlink" xfId="5449" builtinId="9" hidden="1"/>
    <cellStyle name="Followed Hyperlink" xfId="5487" builtinId="9" hidden="1"/>
    <cellStyle name="Followed Hyperlink" xfId="336" builtinId="9" hidden="1"/>
    <cellStyle name="Followed Hyperlink" xfId="386" builtinId="9" hidden="1"/>
    <cellStyle name="Followed Hyperlink" xfId="2469" builtinId="9" hidden="1"/>
    <cellStyle name="Followed Hyperlink" xfId="1539" builtinId="9" hidden="1"/>
    <cellStyle name="Followed Hyperlink" xfId="903" builtinId="9" hidden="1"/>
    <cellStyle name="Followed Hyperlink" xfId="5715" builtinId="9" hidden="1"/>
    <cellStyle name="Followed Hyperlink" xfId="5753" builtinId="9" hidden="1"/>
    <cellStyle name="Followed Hyperlink" xfId="5791" builtinId="9" hidden="1"/>
    <cellStyle name="Followed Hyperlink" xfId="5829" builtinId="9" hidden="1"/>
    <cellStyle name="Followed Hyperlink" xfId="5867" builtinId="9" hidden="1"/>
    <cellStyle name="Followed Hyperlink" xfId="2491" builtinId="9" hidden="1"/>
    <cellStyle name="Followed Hyperlink" xfId="2889" builtinId="9" hidden="1"/>
    <cellStyle name="Followed Hyperlink" xfId="3703" builtinId="9" hidden="1"/>
    <cellStyle name="Followed Hyperlink" xfId="5945" builtinId="9" hidden="1"/>
    <cellStyle name="Followed Hyperlink" xfId="6057" builtinId="9" hidden="1"/>
    <cellStyle name="Followed Hyperlink" xfId="6095" builtinId="9" hidden="1"/>
    <cellStyle name="Followed Hyperlink" xfId="1137" builtinId="9" hidden="1"/>
    <cellStyle name="Followed Hyperlink" xfId="162" builtinId="9" hidden="1"/>
    <cellStyle name="Followed Hyperlink" xfId="4681" builtinId="9" hidden="1"/>
    <cellStyle name="Followed Hyperlink" xfId="6247" builtinId="9" hidden="1"/>
    <cellStyle name="Followed Hyperlink" xfId="6285" builtinId="9" hidden="1"/>
    <cellStyle name="Followed Hyperlink" xfId="92" builtinId="9" hidden="1"/>
    <cellStyle name="Followed Hyperlink" xfId="7295" builtinId="9" hidden="1"/>
    <cellStyle name="Followed Hyperlink" xfId="3205" builtinId="9" hidden="1"/>
    <cellStyle name="Followed Hyperlink" xfId="4617" builtinId="9" hidden="1"/>
    <cellStyle name="Followed Hyperlink" xfId="2421" builtinId="9" hidden="1"/>
    <cellStyle name="Followed Hyperlink" xfId="6915" builtinId="9" hidden="1"/>
    <cellStyle name="Followed Hyperlink" xfId="6551" builtinId="9" hidden="1"/>
    <cellStyle name="Followed Hyperlink" xfId="6589" builtinId="9" hidden="1"/>
    <cellStyle name="Followed Hyperlink" xfId="5515" builtinId="9" hidden="1"/>
    <cellStyle name="Followed Hyperlink" xfId="1575" builtinId="9" hidden="1"/>
    <cellStyle name="Followed Hyperlink" xfId="6261" builtinId="9" hidden="1"/>
    <cellStyle name="Followed Hyperlink" xfId="6741" builtinId="9" hidden="1"/>
    <cellStyle name="Followed Hyperlink" xfId="376" builtinId="9" hidden="1"/>
    <cellStyle name="Followed Hyperlink" xfId="6817" builtinId="9" hidden="1"/>
    <cellStyle name="Followed Hyperlink" xfId="6855" builtinId="9" hidden="1"/>
    <cellStyle name="Followed Hyperlink" xfId="6893" builtinId="9" hidden="1"/>
    <cellStyle name="Followed Hyperlink" xfId="855" builtinId="9" hidden="1"/>
    <cellStyle name="Followed Hyperlink" xfId="7987" builtinId="9" hidden="1"/>
    <cellStyle name="Followed Hyperlink" xfId="3057" builtinId="9" hidden="1"/>
    <cellStyle name="Followed Hyperlink" xfId="1395" builtinId="9" hidden="1"/>
    <cellStyle name="Followed Hyperlink" xfId="7083" builtinId="9" hidden="1"/>
    <cellStyle name="Followed Hyperlink" xfId="6341" builtinId="9" hidden="1"/>
    <cellStyle name="Followed Hyperlink" xfId="7159" builtinId="9" hidden="1"/>
    <cellStyle name="Followed Hyperlink" xfId="7197" builtinId="9" hidden="1"/>
    <cellStyle name="Followed Hyperlink" xfId="4965" builtinId="9" hidden="1"/>
    <cellStyle name="Followed Hyperlink" xfId="4769" builtinId="9" hidden="1"/>
    <cellStyle name="Followed Hyperlink" xfId="7311" builtinId="9" hidden="1"/>
    <cellStyle name="Followed Hyperlink" xfId="1101" builtinId="9" hidden="1"/>
    <cellStyle name="Followed Hyperlink" xfId="7387" builtinId="9" hidden="1"/>
    <cellStyle name="Followed Hyperlink" xfId="7775" builtinId="9" hidden="1"/>
    <cellStyle name="Followed Hyperlink" xfId="7463" builtinId="9" hidden="1"/>
    <cellStyle name="Followed Hyperlink" xfId="7501" builtinId="9" hidden="1"/>
    <cellStyle name="Followed Hyperlink" xfId="7539" builtinId="9" hidden="1"/>
    <cellStyle name="Followed Hyperlink" xfId="7577" builtinId="9" hidden="1"/>
    <cellStyle name="Followed Hyperlink" xfId="5437" builtinId="9" hidden="1"/>
    <cellStyle name="Followed Hyperlink" xfId="7653" builtinId="9" hidden="1"/>
    <cellStyle name="Followed Hyperlink" xfId="7691" builtinId="9" hidden="1"/>
    <cellStyle name="Followed Hyperlink" xfId="7729" builtinId="9" hidden="1"/>
    <cellStyle name="Followed Hyperlink" xfId="7767" builtinId="9" hidden="1"/>
    <cellStyle name="Followed Hyperlink" xfId="2525" builtinId="9" hidden="1"/>
    <cellStyle name="Followed Hyperlink" xfId="7843" builtinId="9" hidden="1"/>
    <cellStyle name="Followed Hyperlink" xfId="1641" builtinId="9" hidden="1"/>
    <cellStyle name="Followed Hyperlink" xfId="7919" builtinId="9" hidden="1"/>
    <cellStyle name="Followed Hyperlink" xfId="1647" builtinId="9" hidden="1"/>
    <cellStyle name="Followed Hyperlink" xfId="26" builtinId="9" hidden="1"/>
    <cellStyle name="Followed Hyperlink" xfId="8033" builtinId="9" hidden="1"/>
    <cellStyle name="Followed Hyperlink" xfId="2027" builtinId="9" hidden="1"/>
    <cellStyle name="Followed Hyperlink" xfId="6635" builtinId="9" hidden="1"/>
    <cellStyle name="Followed Hyperlink" xfId="8151" builtinId="9" hidden="1"/>
    <cellStyle name="Followed Hyperlink" xfId="8189" builtinId="9" hidden="1"/>
    <cellStyle name="Followed Hyperlink" xfId="8165" builtinId="9" hidden="1"/>
    <cellStyle name="Followed Hyperlink" xfId="7333" builtinId="9" hidden="1"/>
    <cellStyle name="Followed Hyperlink" xfId="7313" builtinId="9" hidden="1"/>
    <cellStyle name="Followed Hyperlink" xfId="8047" builtinId="9" hidden="1"/>
    <cellStyle name="Followed Hyperlink" xfId="8009" builtinId="9" hidden="1"/>
    <cellStyle name="Followed Hyperlink" xfId="3645" builtinId="9" hidden="1"/>
    <cellStyle name="Followed Hyperlink" xfId="7933" builtinId="9" hidden="1"/>
    <cellStyle name="Followed Hyperlink" xfId="7895" builtinId="9" hidden="1"/>
    <cellStyle name="Followed Hyperlink" xfId="2481" builtinId="9" hidden="1"/>
    <cellStyle name="Followed Hyperlink" xfId="7819" builtinId="9" hidden="1"/>
    <cellStyle name="Followed Hyperlink" xfId="7781" builtinId="9" hidden="1"/>
    <cellStyle name="Followed Hyperlink" xfId="6335" builtinId="9" hidden="1"/>
    <cellStyle name="Followed Hyperlink" xfId="7667" builtinId="9" hidden="1"/>
    <cellStyle name="Followed Hyperlink" xfId="7811" builtinId="9" hidden="1"/>
    <cellStyle name="Followed Hyperlink" xfId="556" builtinId="9" hidden="1"/>
    <cellStyle name="Followed Hyperlink" xfId="7147" builtinId="9" hidden="1"/>
    <cellStyle name="Followed Hyperlink" xfId="7099" builtinId="9" hidden="1"/>
    <cellStyle name="Followed Hyperlink" xfId="7515" builtinId="9" hidden="1"/>
    <cellStyle name="Followed Hyperlink" xfId="5267" builtinId="9" hidden="1"/>
    <cellStyle name="Followed Hyperlink" xfId="6571" builtinId="9" hidden="1"/>
    <cellStyle name="Followed Hyperlink" xfId="3933" builtinId="9" hidden="1"/>
    <cellStyle name="Followed Hyperlink" xfId="2617" builtinId="9" hidden="1"/>
    <cellStyle name="Followed Hyperlink" xfId="4601" builtinId="9" hidden="1"/>
    <cellStyle name="Followed Hyperlink" xfId="5579" builtinId="9" hidden="1"/>
    <cellStyle name="Followed Hyperlink" xfId="7701" builtinId="9" hidden="1"/>
    <cellStyle name="Followed Hyperlink" xfId="7211" builtinId="9" hidden="1"/>
    <cellStyle name="Followed Hyperlink" xfId="7173" builtinId="9" hidden="1"/>
    <cellStyle name="Followed Hyperlink" xfId="7135" builtinId="9" hidden="1"/>
    <cellStyle name="Followed Hyperlink" xfId="1143" builtinId="9" hidden="1"/>
    <cellStyle name="Followed Hyperlink" xfId="7059" builtinId="9" hidden="1"/>
    <cellStyle name="Followed Hyperlink" xfId="7021" builtinId="9" hidden="1"/>
    <cellStyle name="Followed Hyperlink" xfId="6983" builtinId="9" hidden="1"/>
    <cellStyle name="Followed Hyperlink" xfId="6945" builtinId="9" hidden="1"/>
    <cellStyle name="Followed Hyperlink" xfId="6907" builtinId="9" hidden="1"/>
    <cellStyle name="Followed Hyperlink" xfId="5587" builtinId="9" hidden="1"/>
    <cellStyle name="Followed Hyperlink" xfId="6831" builtinId="9" hidden="1"/>
    <cellStyle name="Followed Hyperlink" xfId="6793" builtinId="9" hidden="1"/>
    <cellStyle name="Followed Hyperlink" xfId="6069" builtinId="9" hidden="1"/>
    <cellStyle name="Followed Hyperlink" xfId="6717" builtinId="9" hidden="1"/>
    <cellStyle name="Followed Hyperlink" xfId="7121" builtinId="9" hidden="1"/>
    <cellStyle name="Followed Hyperlink" xfId="6641" builtinId="9" hidden="1"/>
    <cellStyle name="Followed Hyperlink" xfId="6603" builtinId="9" hidden="1"/>
    <cellStyle name="Followed Hyperlink" xfId="4121" builtinId="9" hidden="1"/>
    <cellStyle name="Followed Hyperlink" xfId="977" builtinId="9" hidden="1"/>
    <cellStyle name="Followed Hyperlink" xfId="6489" builtinId="9" hidden="1"/>
    <cellStyle name="Followed Hyperlink" xfId="6451" builtinId="9" hidden="1"/>
    <cellStyle name="Followed Hyperlink" xfId="875" builtinId="9" hidden="1"/>
    <cellStyle name="Followed Hyperlink" xfId="6375" builtinId="9" hidden="1"/>
    <cellStyle name="Followed Hyperlink" xfId="6399" builtinId="9" hidden="1"/>
    <cellStyle name="Followed Hyperlink" xfId="6299" builtinId="9" hidden="1"/>
    <cellStyle name="Followed Hyperlink" xfId="7565" builtinId="9" hidden="1"/>
    <cellStyle name="Followed Hyperlink" xfId="5021" builtinId="9" hidden="1"/>
    <cellStyle name="Followed Hyperlink" xfId="6185" builtinId="9" hidden="1"/>
    <cellStyle name="Followed Hyperlink" xfId="6147" builtinId="9" hidden="1"/>
    <cellStyle name="Followed Hyperlink" xfId="7243" builtinId="9" hidden="1"/>
    <cellStyle name="Followed Hyperlink" xfId="3271" builtinId="9" hidden="1"/>
    <cellStyle name="Followed Hyperlink" xfId="5247" builtinId="9" hidden="1"/>
    <cellStyle name="Followed Hyperlink" xfId="5995" builtinId="9" hidden="1"/>
    <cellStyle name="Followed Hyperlink" xfId="5957" builtinId="9" hidden="1"/>
    <cellStyle name="Followed Hyperlink" xfId="5919" builtinId="9" hidden="1"/>
    <cellStyle name="Followed Hyperlink" xfId="1307" builtinId="9" hidden="1"/>
    <cellStyle name="Followed Hyperlink" xfId="1705" builtinId="9" hidden="1"/>
    <cellStyle name="Followed Hyperlink" xfId="5805" builtinId="9" hidden="1"/>
    <cellStyle name="Followed Hyperlink" xfId="5767" builtinId="9" hidden="1"/>
    <cellStyle name="Followed Hyperlink" xfId="1033" builtinId="9" hidden="1"/>
    <cellStyle name="Followed Hyperlink" xfId="5691" builtinId="9" hidden="1"/>
    <cellStyle name="Followed Hyperlink" xfId="5653" builtinId="9" hidden="1"/>
    <cellStyle name="Followed Hyperlink" xfId="5615" builtinId="9" hidden="1"/>
    <cellStyle name="Followed Hyperlink" xfId="1583" builtinId="9" hidden="1"/>
    <cellStyle name="Followed Hyperlink" xfId="280" builtinId="9" hidden="1"/>
    <cellStyle name="Followed Hyperlink" xfId="5501" builtinId="9" hidden="1"/>
    <cellStyle name="Followed Hyperlink" xfId="5463" builtinId="9" hidden="1"/>
    <cellStyle name="Followed Hyperlink" xfId="5425" builtinId="9" hidden="1"/>
    <cellStyle name="Followed Hyperlink" xfId="1807" builtinId="9" hidden="1"/>
    <cellStyle name="Followed Hyperlink" xfId="7857" builtinId="9" hidden="1"/>
    <cellStyle name="Followed Hyperlink" xfId="7637" builtinId="9" hidden="1"/>
    <cellStyle name="Followed Hyperlink" xfId="5273" builtinId="9" hidden="1"/>
    <cellStyle name="Followed Hyperlink" xfId="3701" builtinId="9" hidden="1"/>
    <cellStyle name="Followed Hyperlink" xfId="5197" builtinId="9" hidden="1"/>
    <cellStyle name="Followed Hyperlink" xfId="5159" builtinId="9" hidden="1"/>
    <cellStyle name="Followed Hyperlink" xfId="5121" builtinId="9" hidden="1"/>
    <cellStyle name="Followed Hyperlink" xfId="2941" builtinId="9" hidden="1"/>
    <cellStyle name="Followed Hyperlink" xfId="5045" builtinId="9" hidden="1"/>
    <cellStyle name="Followed Hyperlink" xfId="3705" builtinId="9" hidden="1"/>
    <cellStyle name="Followed Hyperlink" xfId="4969" builtinId="9" hidden="1"/>
    <cellStyle name="Followed Hyperlink" xfId="232" builtinId="9" hidden="1"/>
    <cellStyle name="Followed Hyperlink" xfId="3479" builtinId="9" hidden="1"/>
    <cellStyle name="Followed Hyperlink" xfId="4855" builtinId="9" hidden="1"/>
    <cellStyle name="Followed Hyperlink" xfId="4133" builtinId="9" hidden="1"/>
    <cellStyle name="Followed Hyperlink" xfId="1469" builtinId="9" hidden="1"/>
    <cellStyle name="Followed Hyperlink" xfId="7997" builtinId="9" hidden="1"/>
    <cellStyle name="Followed Hyperlink" xfId="3689" builtinId="9" hidden="1"/>
    <cellStyle name="Followed Hyperlink" xfId="7737" builtinId="9" hidden="1"/>
    <cellStyle name="Followed Hyperlink" xfId="4627" builtinId="9" hidden="1"/>
    <cellStyle name="Followed Hyperlink" xfId="7797" builtinId="9" hidden="1"/>
    <cellStyle name="Followed Hyperlink" xfId="5461" builtinId="9" hidden="1"/>
    <cellStyle name="Followed Hyperlink" xfId="4513" builtinId="9" hidden="1"/>
    <cellStyle name="Followed Hyperlink" xfId="6731" builtinId="9" hidden="1"/>
    <cellStyle name="Followed Hyperlink" xfId="7345" builtinId="9" hidden="1"/>
    <cellStyle name="Followed Hyperlink" xfId="5151" builtinId="9" hidden="1"/>
    <cellStyle name="Followed Hyperlink" xfId="3019" builtinId="9" hidden="1"/>
    <cellStyle name="Followed Hyperlink" xfId="222" builtinId="9" hidden="1"/>
    <cellStyle name="Followed Hyperlink" xfId="5865" builtinId="9" hidden="1"/>
    <cellStyle name="Followed Hyperlink" xfId="4247" builtinId="9" hidden="1"/>
    <cellStyle name="Followed Hyperlink" xfId="4209" builtinId="9" hidden="1"/>
    <cellStyle name="Followed Hyperlink" xfId="4171" builtinId="9" hidden="1"/>
    <cellStyle name="Followed Hyperlink" xfId="248" builtinId="9" hidden="1"/>
    <cellStyle name="Followed Hyperlink" xfId="2961" builtinId="9" hidden="1"/>
    <cellStyle name="Followed Hyperlink" xfId="4057" builtinId="9" hidden="1"/>
    <cellStyle name="Followed Hyperlink" xfId="7031" builtinId="9" hidden="1"/>
    <cellStyle name="Followed Hyperlink" xfId="3981" builtinId="9" hidden="1"/>
    <cellStyle name="Followed Hyperlink" xfId="3943" builtinId="9" hidden="1"/>
    <cellStyle name="Followed Hyperlink" xfId="1601" builtinId="9" hidden="1"/>
    <cellStyle name="Followed Hyperlink" xfId="7517" builtinId="9" hidden="1"/>
    <cellStyle name="Followed Hyperlink" xfId="5303" builtinId="9" hidden="1"/>
    <cellStyle name="Followed Hyperlink" xfId="3791" builtinId="9" hidden="1"/>
    <cellStyle name="Followed Hyperlink" xfId="749" builtinId="9" hidden="1"/>
    <cellStyle name="Followed Hyperlink" xfId="5613" builtinId="9" hidden="1"/>
    <cellStyle name="Followed Hyperlink" xfId="580" builtinId="9" hidden="1"/>
    <cellStyle name="Followed Hyperlink" xfId="3639" builtinId="9" hidden="1"/>
    <cellStyle name="Followed Hyperlink" xfId="4677" builtinId="9" hidden="1"/>
    <cellStyle name="Followed Hyperlink" xfId="3563" builtinId="9" hidden="1"/>
    <cellStyle name="Followed Hyperlink" xfId="3525" builtinId="9" hidden="1"/>
    <cellStyle name="Followed Hyperlink" xfId="4505" builtinId="9" hidden="1"/>
    <cellStyle name="Followed Hyperlink" xfId="6443" builtinId="9" hidden="1"/>
    <cellStyle name="Followed Hyperlink" xfId="1081" builtinId="9" hidden="1"/>
    <cellStyle name="Followed Hyperlink" xfId="3373" builtinId="9" hidden="1"/>
    <cellStyle name="Followed Hyperlink" xfId="3335" builtinId="9" hidden="1"/>
    <cellStyle name="Followed Hyperlink" xfId="3297" builtinId="9" hidden="1"/>
    <cellStyle name="Followed Hyperlink" xfId="3259" builtinId="9" hidden="1"/>
    <cellStyle name="Followed Hyperlink" xfId="3221" builtinId="9" hidden="1"/>
    <cellStyle name="Followed Hyperlink" xfId="3183" builtinId="9" hidden="1"/>
    <cellStyle name="Followed Hyperlink" xfId="1841" builtinId="9" hidden="1"/>
    <cellStyle name="Followed Hyperlink" xfId="717" builtinId="9" hidden="1"/>
    <cellStyle name="Followed Hyperlink" xfId="3069" builtinId="9" hidden="1"/>
    <cellStyle name="Followed Hyperlink" xfId="4141" builtinId="9" hidden="1"/>
    <cellStyle name="Followed Hyperlink" xfId="2993" builtinId="9" hidden="1"/>
    <cellStyle name="Followed Hyperlink" xfId="2955" builtinId="9" hidden="1"/>
    <cellStyle name="Followed Hyperlink" xfId="2917" builtinId="9" hidden="1"/>
    <cellStyle name="Followed Hyperlink" xfId="5951" builtinId="9" hidden="1"/>
    <cellStyle name="Followed Hyperlink" xfId="5243" builtinId="9" hidden="1"/>
    <cellStyle name="Followed Hyperlink" xfId="1211" builtinId="9" hidden="1"/>
    <cellStyle name="Followed Hyperlink" xfId="2765" builtinId="9" hidden="1"/>
    <cellStyle name="Followed Hyperlink" xfId="2727" builtinId="9" hidden="1"/>
    <cellStyle name="Followed Hyperlink" xfId="2689" builtinId="9" hidden="1"/>
    <cellStyle name="Followed Hyperlink" xfId="2651" builtinId="9" hidden="1"/>
    <cellStyle name="Followed Hyperlink" xfId="2613" builtinId="9" hidden="1"/>
    <cellStyle name="Followed Hyperlink" xfId="2575" builtinId="9" hidden="1"/>
    <cellStyle name="Followed Hyperlink" xfId="2537" builtinId="9" hidden="1"/>
    <cellStyle name="Followed Hyperlink" xfId="6871" builtinId="9" hidden="1"/>
    <cellStyle name="Followed Hyperlink" xfId="727" builtinId="9" hidden="1"/>
    <cellStyle name="Followed Hyperlink" xfId="2801" builtinId="9" hidden="1"/>
    <cellStyle name="Followed Hyperlink" xfId="5507" builtinId="9" hidden="1"/>
    <cellStyle name="Followed Hyperlink" xfId="7175" builtinId="9" hidden="1"/>
    <cellStyle name="Followed Hyperlink" xfId="5143" builtinId="9" hidden="1"/>
    <cellStyle name="Followed Hyperlink" xfId="2271" builtinId="9" hidden="1"/>
    <cellStyle name="Followed Hyperlink" xfId="2233" builtinId="9" hidden="1"/>
    <cellStyle name="Followed Hyperlink" xfId="3363" builtinId="9" hidden="1"/>
    <cellStyle name="Followed Hyperlink" xfId="2157" builtinId="9" hidden="1"/>
    <cellStyle name="Followed Hyperlink" xfId="2119" builtinId="9" hidden="1"/>
    <cellStyle name="Followed Hyperlink" xfId="6567" builtinId="9" hidden="1"/>
    <cellStyle name="Followed Hyperlink" xfId="7747" builtinId="9" hidden="1"/>
    <cellStyle name="Followed Hyperlink" xfId="2005" builtinId="9" hidden="1"/>
    <cellStyle name="Followed Hyperlink" xfId="1967" builtinId="9" hidden="1"/>
    <cellStyle name="Followed Hyperlink" xfId="1929" builtinId="9" hidden="1"/>
    <cellStyle name="Followed Hyperlink" xfId="5265" builtinId="9" hidden="1"/>
    <cellStyle name="Followed Hyperlink" xfId="6459" builtinId="9" hidden="1"/>
    <cellStyle name="Followed Hyperlink" xfId="2753" builtinId="9" hidden="1"/>
    <cellStyle name="Followed Hyperlink" xfId="1777" builtinId="9" hidden="1"/>
    <cellStyle name="Followed Hyperlink" xfId="1739" builtinId="9" hidden="1"/>
    <cellStyle name="Followed Hyperlink" xfId="3911" builtinId="9" hidden="1"/>
    <cellStyle name="Followed Hyperlink" xfId="3455" builtinId="9" hidden="1"/>
    <cellStyle name="Followed Hyperlink" xfId="5655" builtinId="9" hidden="1"/>
    <cellStyle name="Followed Hyperlink" xfId="1587" builtinId="9" hidden="1"/>
    <cellStyle name="Followed Hyperlink" xfId="1549" builtinId="9" hidden="1"/>
    <cellStyle name="Followed Hyperlink" xfId="671" builtinId="9" hidden="1"/>
    <cellStyle name="Followed Hyperlink" xfId="3381" builtinId="9" hidden="1"/>
    <cellStyle name="Followed Hyperlink" xfId="4087" builtinId="9" hidden="1"/>
    <cellStyle name="Followed Hyperlink" xfId="6369" builtinId="9" hidden="1"/>
    <cellStyle name="Followed Hyperlink" xfId="4059" builtinId="9" hidden="1"/>
    <cellStyle name="Followed Hyperlink" xfId="5605" builtinId="9" hidden="1"/>
    <cellStyle name="Followed Hyperlink" xfId="6681" builtinId="9" hidden="1"/>
    <cellStyle name="Followed Hyperlink" xfId="1245" builtinId="9" hidden="1"/>
    <cellStyle name="Followed Hyperlink" xfId="1207" builtinId="9" hidden="1"/>
    <cellStyle name="Followed Hyperlink" xfId="1169" builtinId="9" hidden="1"/>
    <cellStyle name="Followed Hyperlink" xfId="1131" builtinId="9" hidden="1"/>
    <cellStyle name="Followed Hyperlink" xfId="8059" builtinId="9" hidden="1"/>
    <cellStyle name="Followed Hyperlink" xfId="1599" builtinId="9" hidden="1"/>
    <cellStyle name="Followed Hyperlink" xfId="8097" builtinId="9" hidden="1"/>
    <cellStyle name="Followed Hyperlink" xfId="1909" builtinId="9" hidden="1"/>
    <cellStyle name="Followed Hyperlink" xfId="2749" builtinId="9" hidden="1"/>
    <cellStyle name="Followed Hyperlink" xfId="156" builtinId="9" hidden="1"/>
    <cellStyle name="Followed Hyperlink" xfId="220" builtinId="9" hidden="1"/>
    <cellStyle name="Followed Hyperlink" xfId="4953" builtinId="9" hidden="1"/>
    <cellStyle name="Followed Hyperlink" xfId="789" builtinId="9" hidden="1"/>
    <cellStyle name="Followed Hyperlink" xfId="3753" builtinId="9" hidden="1"/>
    <cellStyle name="Followed Hyperlink" xfId="7727" builtinId="9" hidden="1"/>
    <cellStyle name="Followed Hyperlink" xfId="7063" builtinId="9" hidden="1"/>
    <cellStyle name="Followed Hyperlink" xfId="98" builtinId="9" hidden="1"/>
    <cellStyle name="Followed Hyperlink" xfId="3993" builtinId="9" hidden="1"/>
    <cellStyle name="Followed Hyperlink" xfId="4603" builtinId="9" hidden="1"/>
    <cellStyle name="Followed Hyperlink" xfId="522" builtinId="9" hidden="1"/>
    <cellStyle name="Followed Hyperlink" xfId="484" builtinId="9" hidden="1"/>
    <cellStyle name="Followed Hyperlink" xfId="1341" builtinId="9" hidden="1"/>
    <cellStyle name="Followed Hyperlink" xfId="408" builtinId="9" hidden="1"/>
    <cellStyle name="Followed Hyperlink" xfId="370" builtinId="9" hidden="1"/>
    <cellStyle name="Followed Hyperlink" xfId="332" builtinId="9" hidden="1"/>
    <cellStyle name="Followed Hyperlink" xfId="422" builtinId="9" hidden="1"/>
    <cellStyle name="Followed Hyperlink" xfId="6457" builtinId="9" hidden="1"/>
    <cellStyle name="Followed Hyperlink" xfId="218" builtinId="9" hidden="1"/>
    <cellStyle name="Followed Hyperlink" xfId="180" builtinId="9" hidden="1"/>
    <cellStyle name="Followed Hyperlink" xfId="639" builtinId="9" hidden="1"/>
    <cellStyle name="Followed Hyperlink" xfId="104" builtinId="9" hidden="1"/>
    <cellStyle name="Followed Hyperlink" xfId="7061" builtinId="9" hidden="1"/>
    <cellStyle name="Followed Hyperlink" xfId="1853" builtinId="9" hidden="1"/>
    <cellStyle name="Followed Hyperlink" xfId="230" builtinId="9" hidden="1"/>
    <cellStyle name="Followed Hyperlink" xfId="5057" builtinId="9" hidden="1"/>
    <cellStyle name="Followed Hyperlink" xfId="86" builtinId="9" hidden="1"/>
    <cellStyle name="Followed Hyperlink" xfId="1935" builtinId="9" hidden="1"/>
    <cellStyle name="Followed Hyperlink" xfId="3261" builtinId="9" hidden="1"/>
    <cellStyle name="Followed Hyperlink" xfId="4625" builtinId="9" hidden="1"/>
    <cellStyle name="Followed Hyperlink" xfId="1447" builtinId="9" hidden="1"/>
    <cellStyle name="Followed Hyperlink" xfId="144" builtinId="9" hidden="1"/>
    <cellStyle name="Followed Hyperlink" xfId="438" builtinId="9" hidden="1"/>
    <cellStyle name="Followed Hyperlink" xfId="4257" builtinId="9" hidden="1"/>
    <cellStyle name="Followed Hyperlink" xfId="258" builtinId="9" hidden="1"/>
    <cellStyle name="Followed Hyperlink" xfId="296" builtinId="9" hidden="1"/>
    <cellStyle name="Followed Hyperlink" xfId="751" builtinId="9" hidden="1"/>
    <cellStyle name="Followed Hyperlink" xfId="5349" builtinId="9" hidden="1"/>
    <cellStyle name="Followed Hyperlink" xfId="2923" builtinId="9" hidden="1"/>
    <cellStyle name="Followed Hyperlink" xfId="5465" builtinId="9" hidden="1"/>
    <cellStyle name="Followed Hyperlink" xfId="6807" builtinId="9" hidden="1"/>
    <cellStyle name="Followed Hyperlink" xfId="524" builtinId="9" hidden="1"/>
    <cellStyle name="Followed Hyperlink" xfId="4887" builtinId="9" hidden="1"/>
    <cellStyle name="Followed Hyperlink" xfId="601" builtinId="9" hidden="1"/>
    <cellStyle name="Followed Hyperlink" xfId="2815" builtinId="9" hidden="1"/>
    <cellStyle name="Followed Hyperlink" xfId="677" builtinId="9" hidden="1"/>
    <cellStyle name="Followed Hyperlink" xfId="3875" builtinId="9" hidden="1"/>
    <cellStyle name="Followed Hyperlink" xfId="753" builtinId="9" hidden="1"/>
    <cellStyle name="Followed Hyperlink" xfId="6967" builtinId="9" hidden="1"/>
    <cellStyle name="Followed Hyperlink" xfId="925" builtinId="9" hidden="1"/>
    <cellStyle name="Followed Hyperlink" xfId="867" builtinId="9" hidden="1"/>
    <cellStyle name="Followed Hyperlink" xfId="1339" builtinId="9" hidden="1"/>
    <cellStyle name="Followed Hyperlink" xfId="2187" builtinId="9" hidden="1"/>
    <cellStyle name="Followed Hyperlink" xfId="5307" builtinId="9" hidden="1"/>
    <cellStyle name="Followed Hyperlink" xfId="4563" builtinId="9" hidden="1"/>
    <cellStyle name="Followed Hyperlink" xfId="1057" builtinId="9" hidden="1"/>
    <cellStyle name="Followed Hyperlink" xfId="1095" builtinId="9" hidden="1"/>
    <cellStyle name="Followed Hyperlink" xfId="3213" builtinId="9" hidden="1"/>
    <cellStyle name="Followed Hyperlink" xfId="4927" builtinId="9" hidden="1"/>
    <cellStyle name="Followed Hyperlink" xfId="1209" builtinId="9" hidden="1"/>
    <cellStyle name="Followed Hyperlink" xfId="1983" builtinId="9" hidden="1"/>
    <cellStyle name="Followed Hyperlink" xfId="4595" builtinId="9" hidden="1"/>
    <cellStyle name="Followed Hyperlink" xfId="1323" builtinId="9" hidden="1"/>
    <cellStyle name="Followed Hyperlink" xfId="7791" builtinId="9" hidden="1"/>
    <cellStyle name="Followed Hyperlink" xfId="1399" builtinId="9" hidden="1"/>
    <cellStyle name="Followed Hyperlink" xfId="3325" builtinId="9" hidden="1"/>
    <cellStyle name="Followed Hyperlink" xfId="1475" builtinId="9" hidden="1"/>
    <cellStyle name="Followed Hyperlink" xfId="1513" builtinId="9" hidden="1"/>
    <cellStyle name="Followed Hyperlink" xfId="4881" builtinId="9" hidden="1"/>
    <cellStyle name="Followed Hyperlink" xfId="1589" builtinId="9" hidden="1"/>
    <cellStyle name="Followed Hyperlink" xfId="5645" builtinId="9" hidden="1"/>
    <cellStyle name="Followed Hyperlink" xfId="1665" builtinId="9" hidden="1"/>
    <cellStyle name="Followed Hyperlink" xfId="3283" builtinId="9" hidden="1"/>
    <cellStyle name="Followed Hyperlink" xfId="1741" builtinId="9" hidden="1"/>
    <cellStyle name="Followed Hyperlink" xfId="1779" builtinId="9" hidden="1"/>
    <cellStyle name="Followed Hyperlink" xfId="1817" builtinId="9" hidden="1"/>
    <cellStyle name="Followed Hyperlink" xfId="5439" builtinId="9" hidden="1"/>
    <cellStyle name="Followed Hyperlink" xfId="1893" builtinId="9" hidden="1"/>
    <cellStyle name="Followed Hyperlink" xfId="1931" builtinId="9" hidden="1"/>
    <cellStyle name="Followed Hyperlink" xfId="7669" builtinId="9" hidden="1"/>
    <cellStyle name="Followed Hyperlink" xfId="2007" builtinId="9" hidden="1"/>
    <cellStyle name="Followed Hyperlink" xfId="2045" builtinId="9" hidden="1"/>
    <cellStyle name="Followed Hyperlink" xfId="3427" builtinId="9" hidden="1"/>
    <cellStyle name="Followed Hyperlink" xfId="6259" builtinId="9" hidden="1"/>
    <cellStyle name="Followed Hyperlink" xfId="6401" builtinId="9" hidden="1"/>
    <cellStyle name="Followed Hyperlink" xfId="5063" builtinId="9" hidden="1"/>
    <cellStyle name="Followed Hyperlink" xfId="6005" builtinId="9" hidden="1"/>
    <cellStyle name="Followed Hyperlink" xfId="236" builtinId="9" hidden="1"/>
    <cellStyle name="Followed Hyperlink" xfId="2311" builtinId="9" hidden="1"/>
    <cellStyle name="Followed Hyperlink" xfId="2349" builtinId="9" hidden="1"/>
    <cellStyle name="Followed Hyperlink" xfId="2387" builtinId="9" hidden="1"/>
    <cellStyle name="Followed Hyperlink" xfId="2425" builtinId="9" hidden="1"/>
    <cellStyle name="Followed Hyperlink" xfId="1551" builtinId="9" hidden="1"/>
    <cellStyle name="Followed Hyperlink" xfId="2501" builtinId="9" hidden="1"/>
    <cellStyle name="Followed Hyperlink" xfId="1263" builtinId="9" hidden="1"/>
    <cellStyle name="Followed Hyperlink" xfId="7849" builtinId="9" hidden="1"/>
    <cellStyle name="Followed Hyperlink" xfId="3789" builtinId="9" hidden="1"/>
    <cellStyle name="Followed Hyperlink" xfId="346" builtinId="9" hidden="1"/>
    <cellStyle name="Followed Hyperlink" xfId="2691" builtinId="9" hidden="1"/>
    <cellStyle name="Followed Hyperlink" xfId="2729" builtinId="9" hidden="1"/>
    <cellStyle name="Followed Hyperlink" xfId="2767" builtinId="9" hidden="1"/>
    <cellStyle name="Followed Hyperlink" xfId="2805" builtinId="9" hidden="1"/>
    <cellStyle name="Followed Hyperlink" xfId="5113" builtinId="9" hidden="1"/>
    <cellStyle name="Followed Hyperlink" xfId="2113" builtinId="9" hidden="1"/>
    <cellStyle name="Followed Hyperlink" xfId="2919" builtinId="9" hidden="1"/>
    <cellStyle name="Followed Hyperlink" xfId="7421" builtinId="9" hidden="1"/>
    <cellStyle name="Followed Hyperlink" xfId="2995" builtinId="9" hidden="1"/>
    <cellStyle name="Followed Hyperlink" xfId="3033" builtinId="9" hidden="1"/>
    <cellStyle name="Followed Hyperlink" xfId="3647" builtinId="9" hidden="1"/>
    <cellStyle name="Followed Hyperlink" xfId="4267" builtinId="9" hidden="1"/>
    <cellStyle name="Followed Hyperlink" xfId="5249" builtinId="9" hidden="1"/>
    <cellStyle name="Followed Hyperlink" xfId="6565" builtinId="9" hidden="1"/>
    <cellStyle name="Followed Hyperlink" xfId="3223" builtinId="9" hidden="1"/>
    <cellStyle name="Followed Hyperlink" xfId="3587" builtinId="9" hidden="1"/>
    <cellStyle name="Followed Hyperlink" xfId="3299" builtinId="9" hidden="1"/>
    <cellStyle name="Followed Hyperlink" xfId="6865" builtinId="9" hidden="1"/>
    <cellStyle name="Followed Hyperlink" xfId="3375" builtinId="9" hidden="1"/>
    <cellStyle name="Followed Hyperlink" xfId="3413" builtinId="9" hidden="1"/>
    <cellStyle name="Followed Hyperlink" xfId="6799" builtinId="9" hidden="1"/>
    <cellStyle name="Followed Hyperlink" xfId="3489" builtinId="9" hidden="1"/>
    <cellStyle name="Followed Hyperlink" xfId="1593" builtinId="9" hidden="1"/>
    <cellStyle name="Followed Hyperlink" xfId="3565" builtinId="9" hidden="1"/>
    <cellStyle name="Followed Hyperlink" xfId="3603" builtinId="9" hidden="1"/>
    <cellStyle name="Followed Hyperlink" xfId="1365" builtinId="9" hidden="1"/>
    <cellStyle name="Followed Hyperlink" xfId="4925" builtinId="9" hidden="1"/>
    <cellStyle name="Followed Hyperlink" xfId="5481" builtinId="9" hidden="1"/>
    <cellStyle name="Followed Hyperlink" xfId="3755" builtinId="9" hidden="1"/>
    <cellStyle name="Followed Hyperlink" xfId="2023" builtinId="9" hidden="1"/>
    <cellStyle name="Followed Hyperlink" xfId="4135" builtinId="9" hidden="1"/>
    <cellStyle name="Followed Hyperlink" xfId="1883" builtinId="9" hidden="1"/>
    <cellStyle name="Followed Hyperlink" xfId="7025" builtinId="9" hidden="1"/>
    <cellStyle name="Followed Hyperlink" xfId="3945" builtinId="9" hidden="1"/>
    <cellStyle name="Followed Hyperlink" xfId="2433" builtinId="9" hidden="1"/>
    <cellStyle name="Followed Hyperlink" xfId="4021" builtinId="9" hidden="1"/>
    <cellStyle name="Followed Hyperlink" xfId="2783" builtinId="9" hidden="1"/>
    <cellStyle name="Followed Hyperlink" xfId="2891" builtinId="9" hidden="1"/>
    <cellStyle name="Followed Hyperlink" xfId="2983" builtinId="9" hidden="1"/>
    <cellStyle name="Followed Hyperlink" xfId="5417" builtinId="9" hidden="1"/>
    <cellStyle name="Followed Hyperlink" xfId="4211" builtinId="9" hidden="1"/>
    <cellStyle name="Followed Hyperlink" xfId="4249" builtinId="9" hidden="1"/>
    <cellStyle name="Followed Hyperlink" xfId="4311" builtinId="9" hidden="1"/>
    <cellStyle name="Followed Hyperlink" xfId="6849" builtinId="9" hidden="1"/>
    <cellStyle name="Followed Hyperlink" xfId="4883" builtinId="9" hidden="1"/>
    <cellStyle name="Followed Hyperlink" xfId="7027" builtinId="9" hidden="1"/>
    <cellStyle name="Followed Hyperlink" xfId="4911" builtinId="9" hidden="1"/>
    <cellStyle name="Followed Hyperlink" xfId="4477" builtinId="9" hidden="1"/>
    <cellStyle name="Followed Hyperlink" xfId="4515" builtinId="9" hidden="1"/>
    <cellStyle name="Followed Hyperlink" xfId="4553" builtinId="9" hidden="1"/>
    <cellStyle name="Followed Hyperlink" xfId="4591" builtinId="9" hidden="1"/>
    <cellStyle name="Followed Hyperlink" xfId="1217" builtinId="9" hidden="1"/>
    <cellStyle name="Followed Hyperlink" xfId="4667" builtinId="9" hidden="1"/>
    <cellStyle name="Followed Hyperlink" xfId="4705" builtinId="9" hidden="1"/>
    <cellStyle name="Followed Hyperlink" xfId="8089" builtinId="9" hidden="1"/>
    <cellStyle name="Followed Hyperlink" xfId="4781" builtinId="9" hidden="1"/>
    <cellStyle name="Followed Hyperlink" xfId="5935" builtinId="9" hidden="1"/>
    <cellStyle name="Followed Hyperlink" xfId="7109" builtinId="9" hidden="1"/>
    <cellStyle name="Followed Hyperlink" xfId="7279" builtinId="9" hidden="1"/>
    <cellStyle name="Followed Hyperlink" xfId="4933" builtinId="9" hidden="1"/>
    <cellStyle name="Followed Hyperlink" xfId="4971" builtinId="9" hidden="1"/>
    <cellStyle name="Followed Hyperlink" xfId="2677" builtinId="9" hidden="1"/>
    <cellStyle name="Followed Hyperlink" xfId="7705" builtinId="9" hidden="1"/>
    <cellStyle name="Followed Hyperlink" xfId="5085" builtinId="9" hidden="1"/>
    <cellStyle name="Followed Hyperlink" xfId="2693" builtinId="9" hidden="1"/>
    <cellStyle name="Followed Hyperlink" xfId="2335" builtinId="9" hidden="1"/>
    <cellStyle name="Followed Hyperlink" xfId="5199" builtinId="9" hidden="1"/>
    <cellStyle name="Followed Hyperlink" xfId="3743" builtinId="9" hidden="1"/>
    <cellStyle name="Followed Hyperlink" xfId="5275" builtinId="9" hidden="1"/>
    <cellStyle name="Followed Hyperlink" xfId="5313" builtinId="9" hidden="1"/>
    <cellStyle name="Followed Hyperlink" xfId="5351" builtinId="9" hidden="1"/>
    <cellStyle name="Followed Hyperlink" xfId="887" builtinId="9" hidden="1"/>
    <cellStyle name="Followed Hyperlink" xfId="172" builtinId="9" hidden="1"/>
    <cellStyle name="Followed Hyperlink" xfId="410" builtinId="9" hidden="1"/>
    <cellStyle name="Followed Hyperlink" xfId="5503" builtinId="9" hidden="1"/>
    <cellStyle name="Followed Hyperlink" xfId="1839" builtinId="9" hidden="1"/>
    <cellStyle name="Followed Hyperlink" xfId="1135" builtinId="9" hidden="1"/>
    <cellStyle name="Followed Hyperlink" xfId="5617" builtinId="9" hidden="1"/>
    <cellStyle name="Followed Hyperlink" xfId="6821" builtinId="9" hidden="1"/>
    <cellStyle name="Followed Hyperlink" xfId="5693" builtinId="9" hidden="1"/>
    <cellStyle name="Followed Hyperlink" xfId="4605" builtinId="9" hidden="1"/>
    <cellStyle name="Followed Hyperlink" xfId="5769" builtinId="9" hidden="1"/>
    <cellStyle name="Followed Hyperlink" xfId="5807" builtinId="9" hidden="1"/>
    <cellStyle name="Followed Hyperlink" xfId="7551" builtinId="9" hidden="1"/>
    <cellStyle name="Followed Hyperlink" xfId="5883" builtinId="9" hidden="1"/>
    <cellStyle name="Followed Hyperlink" xfId="5921" builtinId="9" hidden="1"/>
    <cellStyle name="Followed Hyperlink" xfId="3481" builtinId="9" hidden="1"/>
    <cellStyle name="Followed Hyperlink" xfId="4735" builtinId="9" hidden="1"/>
    <cellStyle name="Followed Hyperlink" xfId="6035" builtinId="9" hidden="1"/>
    <cellStyle name="Followed Hyperlink" xfId="5451" builtinId="9" hidden="1"/>
    <cellStyle name="Followed Hyperlink" xfId="1413" builtinId="9" hidden="1"/>
    <cellStyle name="Followed Hyperlink" xfId="6149" builtinId="9" hidden="1"/>
    <cellStyle name="Followed Hyperlink" xfId="6187" builtinId="9" hidden="1"/>
    <cellStyle name="Followed Hyperlink" xfId="909" builtinId="9" hidden="1"/>
    <cellStyle name="Followed Hyperlink" xfId="979" builtinId="9" hidden="1"/>
    <cellStyle name="Followed Hyperlink" xfId="5419" builtinId="9" hidden="1"/>
    <cellStyle name="Followed Hyperlink" xfId="7477" builtinId="9" hidden="1"/>
    <cellStyle name="Followed Hyperlink" xfId="6377" builtinId="9" hidden="1"/>
    <cellStyle name="Followed Hyperlink" xfId="6415" builtinId="9" hidden="1"/>
    <cellStyle name="Followed Hyperlink" xfId="6453" builtinId="9" hidden="1"/>
    <cellStyle name="Followed Hyperlink" xfId="4727" builtinId="9" hidden="1"/>
    <cellStyle name="Followed Hyperlink" xfId="1761" builtinId="9" hidden="1"/>
    <cellStyle name="Followed Hyperlink" xfId="4877" builtinId="9" hidden="1"/>
    <cellStyle name="Followed Hyperlink" xfId="2101" builtinId="9" hidden="1"/>
    <cellStyle name="Followed Hyperlink" xfId="6643" builtinId="9" hidden="1"/>
    <cellStyle name="Followed Hyperlink" xfId="4449" builtinId="9" hidden="1"/>
    <cellStyle name="Followed Hyperlink" xfId="7103" builtinId="9" hidden="1"/>
    <cellStyle name="Followed Hyperlink" xfId="6757" builtinId="9" hidden="1"/>
    <cellStyle name="Followed Hyperlink" xfId="6795" builtinId="9" hidden="1"/>
    <cellStyle name="Followed Hyperlink" xfId="140" builtinId="9" hidden="1"/>
    <cellStyle name="Followed Hyperlink" xfId="4235" builtinId="9" hidden="1"/>
    <cellStyle name="Followed Hyperlink" xfId="6909" builtinId="9" hidden="1"/>
    <cellStyle name="Followed Hyperlink" xfId="6947" builtinId="9" hidden="1"/>
    <cellStyle name="Followed Hyperlink" xfId="6985" builtinId="9" hidden="1"/>
    <cellStyle name="Followed Hyperlink" xfId="8041" builtinId="9" hidden="1"/>
    <cellStyle name="Followed Hyperlink" xfId="2499" builtinId="9" hidden="1"/>
    <cellStyle name="Followed Hyperlink" xfId="3097" builtinId="9" hidden="1"/>
    <cellStyle name="Followed Hyperlink" xfId="7137" builtinId="9" hidden="1"/>
    <cellStyle name="Followed Hyperlink" xfId="4325" builtinId="9" hidden="1"/>
    <cellStyle name="Followed Hyperlink" xfId="7213" builtinId="9" hidden="1"/>
    <cellStyle name="Followed Hyperlink" xfId="7251" builtinId="9" hidden="1"/>
    <cellStyle name="Followed Hyperlink" xfId="7289" builtinId="9" hidden="1"/>
    <cellStyle name="Followed Hyperlink" xfId="7327" builtinId="9" hidden="1"/>
    <cellStyle name="Followed Hyperlink" xfId="7365" builtinId="9" hidden="1"/>
    <cellStyle name="Followed Hyperlink" xfId="7403" builtinId="9" hidden="1"/>
    <cellStyle name="Followed Hyperlink" xfId="6497" builtinId="9" hidden="1"/>
    <cellStyle name="Followed Hyperlink" xfId="3863" builtinId="9" hidden="1"/>
    <cellStyle name="Followed Hyperlink" xfId="2265" builtinId="9" hidden="1"/>
    <cellStyle name="Followed Hyperlink" xfId="7555" builtinId="9" hidden="1"/>
    <cellStyle name="Followed Hyperlink" xfId="6553" builtinId="9" hidden="1"/>
    <cellStyle name="Followed Hyperlink" xfId="7631" builtinId="9" hidden="1"/>
    <cellStyle name="Followed Hyperlink" xfId="2621" builtinId="9" hidden="1"/>
    <cellStyle name="Followed Hyperlink" xfId="637" builtinId="9" hidden="1"/>
    <cellStyle name="Followed Hyperlink" xfId="7697" builtinId="9" hidden="1"/>
    <cellStyle name="Followed Hyperlink" xfId="7783" builtinId="9" hidden="1"/>
    <cellStyle name="Followed Hyperlink" xfId="7821" builtinId="9" hidden="1"/>
    <cellStyle name="Followed Hyperlink" xfId="7859" builtinId="9" hidden="1"/>
    <cellStyle name="Followed Hyperlink" xfId="7897" builtinId="9" hidden="1"/>
    <cellStyle name="Followed Hyperlink" xfId="5427" builtinId="9" hidden="1"/>
    <cellStyle name="Followed Hyperlink" xfId="5485" builtinId="9" hidden="1"/>
    <cellStyle name="Followed Hyperlink" xfId="8011" builtinId="9" hidden="1"/>
    <cellStyle name="Followed Hyperlink" xfId="6031" builtinId="9" hidden="1"/>
    <cellStyle name="Followed Hyperlink" xfId="8087" builtinId="9" hidden="1"/>
    <cellStyle name="Followed Hyperlink" xfId="5847" builtinId="9" hidden="1"/>
    <cellStyle name="Followed Hyperlink" xfId="935" builtinId="9" hidden="1"/>
    <cellStyle name="Followed Hyperlink" xfId="5631" builtinId="9" hidden="1"/>
    <cellStyle name="Followed Hyperlink" xfId="7233" builtinId="9" hidden="1"/>
    <cellStyle name="Followed Hyperlink" xfId="8107" builtinId="9" hidden="1"/>
    <cellStyle name="Followed Hyperlink" xfId="8069" builtinId="9" hidden="1"/>
    <cellStyle name="Followed Hyperlink" xfId="4931" builtinId="9" hidden="1"/>
    <cellStyle name="Followed Hyperlink" xfId="7993" builtinId="9" hidden="1"/>
    <cellStyle name="Followed Hyperlink" xfId="7955" builtinId="9" hidden="1"/>
    <cellStyle name="Followed Hyperlink" xfId="7917" builtinId="9" hidden="1"/>
    <cellStyle name="Followed Hyperlink" xfId="2269" builtinId="9" hidden="1"/>
    <cellStyle name="Followed Hyperlink" xfId="16" builtinId="9" hidden="1"/>
    <cellStyle name="Followed Hyperlink" xfId="3831" builtinId="9" hidden="1"/>
    <cellStyle name="Followed Hyperlink" xfId="7765" builtinId="9" hidden="1"/>
    <cellStyle name="Followed Hyperlink" xfId="8049" builtinId="9" hidden="1"/>
    <cellStyle name="Followed Hyperlink" xfId="6785" builtinId="9" hidden="1"/>
    <cellStyle name="Followed Hyperlink" xfId="4111" builtinId="9" hidden="1"/>
    <cellStyle name="Followed Hyperlink" xfId="3997" builtinId="9" hidden="1"/>
    <cellStyle name="Followed Hyperlink" xfId="7575" builtinId="9" hidden="1"/>
    <cellStyle name="Followed Hyperlink" xfId="7537" builtinId="9" hidden="1"/>
    <cellStyle name="Followed Hyperlink" xfId="5357" builtinId="9" hidden="1"/>
    <cellStyle name="Followed Hyperlink" xfId="4975" builtinId="9" hidden="1"/>
    <cellStyle name="Followed Hyperlink" xfId="6469" builtinId="9" hidden="1"/>
    <cellStyle name="Followed Hyperlink" xfId="7385" builtinId="9" hidden="1"/>
    <cellStyle name="Followed Hyperlink" xfId="2795" builtinId="9" hidden="1"/>
    <cellStyle name="Followed Hyperlink" xfId="1923" builtinId="9" hidden="1"/>
    <cellStyle name="Followed Hyperlink" xfId="7271" builtinId="9" hidden="1"/>
    <cellStyle name="Followed Hyperlink" xfId="3197" builtinId="9" hidden="1"/>
    <cellStyle name="Followed Hyperlink" xfId="7195" builtinId="9" hidden="1"/>
    <cellStyle name="Followed Hyperlink" xfId="7157" builtinId="9" hidden="1"/>
    <cellStyle name="Followed Hyperlink" xfId="3251" builtinId="9" hidden="1"/>
    <cellStyle name="Followed Hyperlink" xfId="7081" builtinId="9" hidden="1"/>
    <cellStyle name="Followed Hyperlink" xfId="7043" builtinId="9" hidden="1"/>
    <cellStyle name="Followed Hyperlink" xfId="2539" builtinId="9" hidden="1"/>
    <cellStyle name="Followed Hyperlink" xfId="2721" builtinId="9" hidden="1"/>
    <cellStyle name="Followed Hyperlink" xfId="330" builtinId="9" hidden="1"/>
    <cellStyle name="Followed Hyperlink" xfId="6891" builtinId="9" hidden="1"/>
    <cellStyle name="Followed Hyperlink" xfId="6853" builtinId="9" hidden="1"/>
    <cellStyle name="Followed Hyperlink" xfId="6815" builtinId="9" hidden="1"/>
    <cellStyle name="Followed Hyperlink" xfId="6777" builtinId="9" hidden="1"/>
    <cellStyle name="Followed Hyperlink" xfId="2589" builtinId="9" hidden="1"/>
    <cellStyle name="Followed Hyperlink" xfId="6701" builtinId="9" hidden="1"/>
    <cellStyle name="Followed Hyperlink" xfId="6663" builtinId="9" hidden="1"/>
    <cellStyle name="Followed Hyperlink" xfId="6625" builtinId="9" hidden="1"/>
    <cellStyle name="Followed Hyperlink" xfId="7239" builtinId="9" hidden="1"/>
    <cellStyle name="Followed Hyperlink" xfId="6549" builtinId="9" hidden="1"/>
    <cellStyle name="Followed Hyperlink" xfId="6511" builtinId="9" hidden="1"/>
    <cellStyle name="Followed Hyperlink" xfId="6473" builtinId="9" hidden="1"/>
    <cellStyle name="Followed Hyperlink" xfId="3189" builtinId="9" hidden="1"/>
    <cellStyle name="Followed Hyperlink" xfId="6397" builtinId="9" hidden="1"/>
    <cellStyle name="Followed Hyperlink" xfId="5821" builtinId="9" hidden="1"/>
    <cellStyle name="Followed Hyperlink" xfId="7869" builtinId="9" hidden="1"/>
    <cellStyle name="Followed Hyperlink" xfId="7785" builtinId="9" hidden="1"/>
    <cellStyle name="Followed Hyperlink" xfId="2619" builtinId="9" hidden="1"/>
    <cellStyle name="Followed Hyperlink" xfId="7359" builtinId="9" hidden="1"/>
    <cellStyle name="Followed Hyperlink" xfId="6169" builtinId="9" hidden="1"/>
    <cellStyle name="Followed Hyperlink" xfId="6131" builtinId="9" hidden="1"/>
    <cellStyle name="Followed Hyperlink" xfId="8035" builtinId="9" hidden="1"/>
    <cellStyle name="Followed Hyperlink" xfId="6055" builtinId="9" hidden="1"/>
    <cellStyle name="Followed Hyperlink" xfId="5227" builtinId="9" hidden="1"/>
    <cellStyle name="Followed Hyperlink" xfId="1477" builtinId="9" hidden="1"/>
    <cellStyle name="Followed Hyperlink" xfId="4487" builtinId="9" hidden="1"/>
    <cellStyle name="Followed Hyperlink" xfId="5903" builtinId="9" hidden="1"/>
    <cellStyle name="Followed Hyperlink" xfId="4261" builtinId="9" hidden="1"/>
    <cellStyle name="Followed Hyperlink" xfId="4291" builtinId="9" hidden="1"/>
    <cellStyle name="Followed Hyperlink" xfId="4161" builtinId="9" hidden="1"/>
    <cellStyle name="Followed Hyperlink" xfId="6093" builtinId="9" hidden="1"/>
    <cellStyle name="Followed Hyperlink" xfId="1707" builtinId="9" hidden="1"/>
    <cellStyle name="Followed Hyperlink" xfId="5675" builtinId="9" hidden="1"/>
    <cellStyle name="Followed Hyperlink" xfId="5637" builtinId="9" hidden="1"/>
    <cellStyle name="Followed Hyperlink" xfId="5599" builtinId="9" hidden="1"/>
    <cellStyle name="Followed Hyperlink" xfId="5561" builtinId="9" hidden="1"/>
    <cellStyle name="Followed Hyperlink" xfId="5523" builtinId="9" hidden="1"/>
    <cellStyle name="Followed Hyperlink" xfId="4231" builtinId="9" hidden="1"/>
    <cellStyle name="Followed Hyperlink" xfId="5447" builtinId="9" hidden="1"/>
    <cellStyle name="Followed Hyperlink" xfId="5409" builtinId="9" hidden="1"/>
    <cellStyle name="Followed Hyperlink" xfId="759" builtinId="9" hidden="1"/>
    <cellStyle name="Followed Hyperlink" xfId="5333" builtinId="9" hidden="1"/>
    <cellStyle name="Followed Hyperlink" xfId="7643" builtinId="9" hidden="1"/>
    <cellStyle name="Followed Hyperlink" xfId="5257" builtinId="9" hidden="1"/>
    <cellStyle name="Followed Hyperlink" xfId="621" builtinId="9" hidden="1"/>
    <cellStyle name="Followed Hyperlink" xfId="5181" builtinId="9" hidden="1"/>
    <cellStyle name="Followed Hyperlink" xfId="2591" builtinId="9" hidden="1"/>
    <cellStyle name="Followed Hyperlink" xfId="3589" builtinId="9" hidden="1"/>
    <cellStyle name="Followed Hyperlink" xfId="5067" builtinId="9" hidden="1"/>
    <cellStyle name="Followed Hyperlink" xfId="4377" builtinId="9" hidden="1"/>
    <cellStyle name="Followed Hyperlink" xfId="3167" builtinId="9" hidden="1"/>
    <cellStyle name="Followed Hyperlink" xfId="404" builtinId="9" hidden="1"/>
    <cellStyle name="Followed Hyperlink" xfId="4915" builtinId="9" hidden="1"/>
    <cellStyle name="Followed Hyperlink" xfId="6099" builtinId="9" hidden="1"/>
    <cellStyle name="Followed Hyperlink" xfId="4839" builtinId="9" hidden="1"/>
    <cellStyle name="Followed Hyperlink" xfId="4801" builtinId="9" hidden="1"/>
    <cellStyle name="Followed Hyperlink" xfId="4763" builtinId="9" hidden="1"/>
    <cellStyle name="Followed Hyperlink" xfId="2761" builtinId="9" hidden="1"/>
    <cellStyle name="Followed Hyperlink" xfId="4687" builtinId="9" hidden="1"/>
    <cellStyle name="Followed Hyperlink" xfId="4649" builtinId="9" hidden="1"/>
    <cellStyle name="Followed Hyperlink" xfId="538" builtinId="9" hidden="1"/>
    <cellStyle name="Followed Hyperlink" xfId="4573" builtinId="9" hidden="1"/>
    <cellStyle name="Followed Hyperlink" xfId="4309" builtinId="9" hidden="1"/>
    <cellStyle name="Followed Hyperlink" xfId="5859" builtinId="9" hidden="1"/>
    <cellStyle name="Followed Hyperlink" xfId="6193" builtinId="9" hidden="1"/>
    <cellStyle name="Followed Hyperlink" xfId="2601" builtinId="9" hidden="1"/>
    <cellStyle name="Followed Hyperlink" xfId="3517" builtinId="9" hidden="1"/>
    <cellStyle name="Followed Hyperlink" xfId="7881" builtinId="9" hidden="1"/>
    <cellStyle name="Followed Hyperlink" xfId="3801" builtinId="9" hidden="1"/>
    <cellStyle name="Followed Hyperlink" xfId="4269" builtinId="9" hidden="1"/>
    <cellStyle name="Followed Hyperlink" xfId="6919" builtinId="9" hidden="1"/>
    <cellStyle name="Followed Hyperlink" xfId="4193" builtinId="9" hidden="1"/>
    <cellStyle name="Followed Hyperlink" xfId="4155" builtinId="9" hidden="1"/>
    <cellStyle name="Followed Hyperlink" xfId="4503" builtinId="9" hidden="1"/>
    <cellStyle name="Followed Hyperlink" xfId="4079" builtinId="9" hidden="1"/>
    <cellStyle name="Followed Hyperlink" xfId="4041" builtinId="9" hidden="1"/>
    <cellStyle name="Followed Hyperlink" xfId="981" builtinId="9" hidden="1"/>
    <cellStyle name="Followed Hyperlink" xfId="8129" builtinId="9" hidden="1"/>
    <cellStyle name="Followed Hyperlink" xfId="3927" builtinId="9" hidden="1"/>
    <cellStyle name="Followed Hyperlink" xfId="3889" builtinId="9" hidden="1"/>
    <cellStyle name="Followed Hyperlink" xfId="3851" builtinId="9" hidden="1"/>
    <cellStyle name="Followed Hyperlink" xfId="3813" builtinId="9" hidden="1"/>
    <cellStyle name="Followed Hyperlink" xfId="5441" builtinId="9" hidden="1"/>
    <cellStyle name="Followed Hyperlink" xfId="3737" builtinId="9" hidden="1"/>
    <cellStyle name="Followed Hyperlink" xfId="3699" builtinId="9" hidden="1"/>
    <cellStyle name="Followed Hyperlink" xfId="3661" builtinId="9" hidden="1"/>
    <cellStyle name="Followed Hyperlink" xfId="3623" builtinId="9" hidden="1"/>
    <cellStyle name="Followed Hyperlink" xfId="5677" builtinId="9" hidden="1"/>
    <cellStyle name="Followed Hyperlink" xfId="3547" builtinId="9" hidden="1"/>
    <cellStyle name="Followed Hyperlink" xfId="3509" builtinId="9" hidden="1"/>
    <cellStyle name="Followed Hyperlink" xfId="6631" builtinId="9" hidden="1"/>
    <cellStyle name="Followed Hyperlink" xfId="394" builtinId="9" hidden="1"/>
    <cellStyle name="Followed Hyperlink" xfId="3395" builtinId="9" hidden="1"/>
    <cellStyle name="Followed Hyperlink" xfId="7971" builtinId="9" hidden="1"/>
    <cellStyle name="Followed Hyperlink" xfId="5029" builtinId="9" hidden="1"/>
    <cellStyle name="Followed Hyperlink" xfId="2725" builtinId="9" hidden="1"/>
    <cellStyle name="Followed Hyperlink" xfId="3243" builtinId="9" hidden="1"/>
    <cellStyle name="Followed Hyperlink" xfId="6949" builtinId="9" hidden="1"/>
    <cellStyle name="Followed Hyperlink" xfId="6557" builtinId="9" hidden="1"/>
    <cellStyle name="Followed Hyperlink" xfId="8113" builtinId="9" hidden="1"/>
    <cellStyle name="Followed Hyperlink" xfId="3091" builtinId="9" hidden="1"/>
    <cellStyle name="Followed Hyperlink" xfId="48" builtinId="9" hidden="1"/>
    <cellStyle name="Followed Hyperlink" xfId="3015" builtinId="9" hidden="1"/>
    <cellStyle name="Followed Hyperlink" xfId="5187" builtinId="9" hidden="1"/>
    <cellStyle name="Followed Hyperlink" xfId="6715" builtinId="9" hidden="1"/>
    <cellStyle name="Followed Hyperlink" xfId="2901" builtinId="9" hidden="1"/>
    <cellStyle name="Followed Hyperlink" xfId="2863" builtinId="9" hidden="1"/>
    <cellStyle name="Followed Hyperlink" xfId="2825" builtinId="9" hidden="1"/>
    <cellStyle name="Followed Hyperlink" xfId="737" builtinId="9" hidden="1"/>
    <cellStyle name="Followed Hyperlink" xfId="160" builtinId="9" hidden="1"/>
    <cellStyle name="Followed Hyperlink" xfId="2711" builtinId="9" hidden="1"/>
    <cellStyle name="Followed Hyperlink" xfId="2673" builtinId="9" hidden="1"/>
    <cellStyle name="Followed Hyperlink" xfId="7129" builtinId="9" hidden="1"/>
    <cellStyle name="Followed Hyperlink" xfId="2597" builtinId="9" hidden="1"/>
    <cellStyle name="Followed Hyperlink" xfId="4031" builtinId="9" hidden="1"/>
    <cellStyle name="Followed Hyperlink" xfId="2521" builtinId="9" hidden="1"/>
    <cellStyle name="Followed Hyperlink" xfId="2483" builtinId="9" hidden="1"/>
    <cellStyle name="Followed Hyperlink" xfId="2445" builtinId="9" hidden="1"/>
    <cellStyle name="Followed Hyperlink" xfId="6465" builtinId="9" hidden="1"/>
    <cellStyle name="Followed Hyperlink" xfId="2625" builtinId="9" hidden="1"/>
    <cellStyle name="Followed Hyperlink" xfId="6491" builtinId="9" hidden="1"/>
    <cellStyle name="Followed Hyperlink" xfId="6027" builtinId="9" hidden="1"/>
    <cellStyle name="Followed Hyperlink" xfId="2255" builtinId="9" hidden="1"/>
    <cellStyle name="Followed Hyperlink" xfId="7455" builtinId="9" hidden="1"/>
    <cellStyle name="Followed Hyperlink" xfId="2179" builtinId="9" hidden="1"/>
    <cellStyle name="Followed Hyperlink" xfId="7077" builtinId="9" hidden="1"/>
    <cellStyle name="Followed Hyperlink" xfId="7193" builtinId="9" hidden="1"/>
    <cellStyle name="Followed Hyperlink" xfId="2065" builtinId="9" hidden="1"/>
    <cellStyle name="Followed Hyperlink" xfId="5705" builtinId="9" hidden="1"/>
    <cellStyle name="Followed Hyperlink" xfId="1989" builtinId="9" hidden="1"/>
    <cellStyle name="Followed Hyperlink" xfId="4439" builtinId="9" hidden="1"/>
    <cellStyle name="Followed Hyperlink" xfId="1913" builtinId="9" hidden="1"/>
    <cellStyle name="Followed Hyperlink" xfId="2743" builtinId="9" hidden="1"/>
    <cellStyle name="Followed Hyperlink" xfId="1837" builtinId="9" hidden="1"/>
    <cellStyle name="Followed Hyperlink" xfId="1799" builtinId="9" hidden="1"/>
    <cellStyle name="Followed Hyperlink" xfId="2047" builtinId="9" hidden="1"/>
    <cellStyle name="Followed Hyperlink" xfId="1915" builtinId="9" hidden="1"/>
    <cellStyle name="Followed Hyperlink" xfId="1685" builtinId="9" hidden="1"/>
    <cellStyle name="Followed Hyperlink" xfId="2385" builtinId="9" hidden="1"/>
    <cellStyle name="Followed Hyperlink" xfId="2105" builtinId="9" hidden="1"/>
    <cellStyle name="Followed Hyperlink" xfId="1571" builtinId="9" hidden="1"/>
    <cellStyle name="Followed Hyperlink" xfId="1533" builtinId="9" hidden="1"/>
    <cellStyle name="Followed Hyperlink" xfId="7815" builtinId="9" hidden="1"/>
    <cellStyle name="Followed Hyperlink" xfId="1457" builtinId="9" hidden="1"/>
    <cellStyle name="Followed Hyperlink" xfId="1419" builtinId="9" hidden="1"/>
    <cellStyle name="Followed Hyperlink" xfId="6863" builtinId="9" hidden="1"/>
    <cellStyle name="Followed Hyperlink" xfId="5695" builtinId="9" hidden="1"/>
    <cellStyle name="Followed Hyperlink" xfId="1305" builtinId="9" hidden="1"/>
    <cellStyle name="Followed Hyperlink" xfId="1267" builtinId="9" hidden="1"/>
    <cellStyle name="Followed Hyperlink" xfId="1229" builtinId="9" hidden="1"/>
    <cellStyle name="Followed Hyperlink" xfId="6545" builtinId="9" hidden="1"/>
    <cellStyle name="Followed Hyperlink" xfId="1153" builtinId="9" hidden="1"/>
    <cellStyle name="Followed Hyperlink" xfId="1115" builtinId="9" hidden="1"/>
    <cellStyle name="Followed Hyperlink" xfId="3849" builtinId="9" hidden="1"/>
    <cellStyle name="Followed Hyperlink" xfId="2705" builtinId="9" hidden="1"/>
    <cellStyle name="Followed Hyperlink" xfId="4951" builtinId="9" hidden="1"/>
    <cellStyle name="Followed Hyperlink" xfId="5389" builtinId="9" hidden="1"/>
    <cellStyle name="Followed Hyperlink" xfId="6433" builtinId="9" hidden="1"/>
    <cellStyle name="Followed Hyperlink" xfId="5911" builtinId="9" hidden="1"/>
    <cellStyle name="Followed Hyperlink" xfId="4757" builtinId="9" hidden="1"/>
    <cellStyle name="Followed Hyperlink" xfId="5621" builtinId="9" hidden="1"/>
    <cellStyle name="Followed Hyperlink" xfId="773" builtinId="9" hidden="1"/>
    <cellStyle name="Followed Hyperlink" xfId="1567" builtinId="9" hidden="1"/>
    <cellStyle name="Followed Hyperlink" xfId="7595" builtinId="9" hidden="1"/>
    <cellStyle name="Followed Hyperlink" xfId="659" builtinId="9" hidden="1"/>
    <cellStyle name="Followed Hyperlink" xfId="7699" builtinId="9" hidden="1"/>
    <cellStyle name="Followed Hyperlink" xfId="583" builtinId="9" hidden="1"/>
    <cellStyle name="Followed Hyperlink" xfId="3819" builtinId="9" hidden="1"/>
    <cellStyle name="Followed Hyperlink" xfId="7805" builtinId="9" hidden="1"/>
    <cellStyle name="Followed Hyperlink" xfId="468" builtinId="9" hidden="1"/>
    <cellStyle name="Followed Hyperlink" xfId="943" builtinId="9" hidden="1"/>
    <cellStyle name="Followed Hyperlink" xfId="392" builtinId="9" hidden="1"/>
    <cellStyle name="Followed Hyperlink" xfId="354" builtinId="9" hidden="1"/>
    <cellStyle name="Followed Hyperlink" xfId="3793" builtinId="9" hidden="1"/>
    <cellStyle name="Followed Hyperlink" xfId="2959" builtinId="9" hidden="1"/>
    <cellStyle name="Followed Hyperlink" xfId="240" builtinId="9" hidden="1"/>
    <cellStyle name="Followed Hyperlink" xfId="7069" builtinId="9" hidden="1"/>
    <cellStyle name="Followed Hyperlink" xfId="1619" builtinId="9" hidden="1"/>
    <cellStyle name="Followed Hyperlink" xfId="6587" builtinId="9" hidden="1"/>
    <cellStyle name="Followed Hyperlink" xfId="88" builtinId="9" hidden="1"/>
    <cellStyle name="Followed Hyperlink" xfId="3935" builtinId="9" hidden="1"/>
    <cellStyle name="Followed Hyperlink" xfId="64" builtinId="9" hidden="1"/>
    <cellStyle name="Followed Hyperlink" xfId="238" builtinId="9" hidden="1"/>
    <cellStyle name="Followed Hyperlink" xfId="4" builtinId="9" hidden="1"/>
    <cellStyle name="Followed Hyperlink" xfId="6205" builtinId="9" hidden="1"/>
    <cellStyle name="Followed Hyperlink" xfId="6537" builtinId="9" hidden="1"/>
    <cellStyle name="Followed Hyperlink" xfId="526" builtinId="9" hidden="1"/>
    <cellStyle name="Followed Hyperlink" xfId="7527" builtinId="9" hidden="1"/>
    <cellStyle name="Followed Hyperlink" xfId="3771" builtinId="9" hidden="1"/>
    <cellStyle name="Followed Hyperlink" xfId="2647" builtinId="9" hidden="1"/>
    <cellStyle name="Followed Hyperlink" xfId="2197" builtinId="9" hidden="1"/>
    <cellStyle name="Followed Hyperlink" xfId="3809" builtinId="9" hidden="1"/>
    <cellStyle name="Followed Hyperlink" xfId="274" builtinId="9" hidden="1"/>
    <cellStyle name="Followed Hyperlink" xfId="4385" builtinId="9" hidden="1"/>
    <cellStyle name="Followed Hyperlink" xfId="1343" builtinId="9" hidden="1"/>
    <cellStyle name="Followed Hyperlink" xfId="6275" builtinId="9" hidden="1"/>
    <cellStyle name="Followed Hyperlink" xfId="426" builtinId="9" hidden="1"/>
    <cellStyle name="Followed Hyperlink" xfId="3211" builtinId="9" hidden="1"/>
    <cellStyle name="Followed Hyperlink" xfId="502" builtinId="9" hidden="1"/>
    <cellStyle name="Followed Hyperlink" xfId="540" builtinId="9" hidden="1"/>
    <cellStyle name="Followed Hyperlink" xfId="3405" builtinId="9" hidden="1"/>
    <cellStyle name="Followed Hyperlink" xfId="617" builtinId="9" hidden="1"/>
    <cellStyle name="Followed Hyperlink" xfId="911" builtinId="9" hidden="1"/>
    <cellStyle name="Followed Hyperlink" xfId="6981" builtinId="9" hidden="1"/>
    <cellStyle name="Followed Hyperlink" xfId="731" builtinId="9" hidden="1"/>
    <cellStyle name="Followed Hyperlink" xfId="72" builtinId="9" hidden="1"/>
    <cellStyle name="Followed Hyperlink" xfId="807" builtinId="9" hidden="1"/>
    <cellStyle name="Followed Hyperlink" xfId="4745" builtinId="9" hidden="1"/>
    <cellStyle name="Followed Hyperlink" xfId="883" builtinId="9" hidden="1"/>
    <cellStyle name="Followed Hyperlink" xfId="5339" builtinId="9" hidden="1"/>
    <cellStyle name="Followed Hyperlink" xfId="2747" builtinId="9" hidden="1"/>
    <cellStyle name="Followed Hyperlink" xfId="997" builtinId="9" hidden="1"/>
    <cellStyle name="Followed Hyperlink" xfId="1035" builtinId="9" hidden="1"/>
    <cellStyle name="Followed Hyperlink" xfId="6989" builtinId="9" hidden="1"/>
    <cellStyle name="Followed Hyperlink" xfId="1111" builtinId="9" hidden="1"/>
    <cellStyle name="Followed Hyperlink" xfId="1149" builtinId="9" hidden="1"/>
    <cellStyle name="Followed Hyperlink" xfId="7113" builtinId="9" hidden="1"/>
    <cellStyle name="Followed Hyperlink" xfId="1225" builtinId="9" hidden="1"/>
    <cellStyle name="Followed Hyperlink" xfId="8051" builtinId="9" hidden="1"/>
    <cellStyle name="Followed Hyperlink" xfId="1301" builtinId="9" hidden="1"/>
    <cellStyle name="Followed Hyperlink" xfId="262" builtinId="9" hidden="1"/>
    <cellStyle name="Followed Hyperlink" xfId="1823" builtinId="9" hidden="1"/>
    <cellStyle name="Followed Hyperlink" xfId="2193" builtinId="9" hidden="1"/>
    <cellStyle name="Followed Hyperlink" xfId="1453" builtinId="9" hidden="1"/>
    <cellStyle name="Followed Hyperlink" xfId="865" builtinId="9" hidden="1"/>
    <cellStyle name="Followed Hyperlink" xfId="1529" builtinId="9" hidden="1"/>
    <cellStyle name="Followed Hyperlink" xfId="7571" builtinId="9" hidden="1"/>
    <cellStyle name="Followed Hyperlink" xfId="1605" builtinId="9" hidden="1"/>
    <cellStyle name="Followed Hyperlink" xfId="1643" builtinId="9" hidden="1"/>
    <cellStyle name="Followed Hyperlink" xfId="3845" builtinId="9" hidden="1"/>
    <cellStyle name="Followed Hyperlink" xfId="6413" builtinId="9" hidden="1"/>
    <cellStyle name="Followed Hyperlink" xfId="7495" builtinId="9" hidden="1"/>
    <cellStyle name="Followed Hyperlink" xfId="506" builtinId="9" hidden="1"/>
    <cellStyle name="Followed Hyperlink" xfId="841" builtinId="9" hidden="1"/>
    <cellStyle name="Followed Hyperlink" xfId="378" builtinId="9" hidden="1"/>
    <cellStyle name="Followed Hyperlink" xfId="5473" builtinId="9" hidden="1"/>
    <cellStyle name="Followed Hyperlink" xfId="5563" builtinId="9" hidden="1"/>
    <cellStyle name="Followed Hyperlink" xfId="8021" builtinId="9" hidden="1"/>
    <cellStyle name="Followed Hyperlink" xfId="3883" builtinId="9" hidden="1"/>
    <cellStyle name="Followed Hyperlink" xfId="7983" builtinId="9" hidden="1"/>
    <cellStyle name="Followed Hyperlink" xfId="124" builtinId="9" hidden="1"/>
    <cellStyle name="Followed Hyperlink" xfId="1719" builtinId="9" hidden="1"/>
    <cellStyle name="Followed Hyperlink" xfId="3263" builtinId="9" hidden="1"/>
    <cellStyle name="Followed Hyperlink" xfId="2289" builtinId="9" hidden="1"/>
    <cellStyle name="Followed Hyperlink" xfId="200" builtinId="9" hidden="1"/>
    <cellStyle name="Followed Hyperlink" xfId="4301" builtinId="9" hidden="1"/>
    <cellStyle name="Followed Hyperlink" xfId="2327" builtinId="9" hidden="1"/>
    <cellStyle name="Followed Hyperlink" xfId="5619" builtinId="9" hidden="1"/>
    <cellStyle name="Followed Hyperlink" xfId="2403" builtinId="9" hidden="1"/>
    <cellStyle name="Followed Hyperlink" xfId="2441" builtinId="9" hidden="1"/>
    <cellStyle name="Followed Hyperlink" xfId="2479" builtinId="9" hidden="1"/>
    <cellStyle name="Followed Hyperlink" xfId="2517" builtinId="9" hidden="1"/>
    <cellStyle name="Followed Hyperlink" xfId="2555" builtinId="9" hidden="1"/>
    <cellStyle name="Followed Hyperlink" xfId="5101" builtinId="9" hidden="1"/>
    <cellStyle name="Followed Hyperlink" xfId="2957" builtinId="9" hidden="1"/>
    <cellStyle name="Followed Hyperlink" xfId="1889" builtinId="9" hidden="1"/>
    <cellStyle name="Followed Hyperlink" xfId="5109" builtinId="9" hidden="1"/>
    <cellStyle name="Followed Hyperlink" xfId="2745" builtinId="9" hidden="1"/>
    <cellStyle name="Followed Hyperlink" xfId="8187" builtinId="9" hidden="1"/>
    <cellStyle name="Followed Hyperlink" xfId="2821" builtinId="9" hidden="1"/>
    <cellStyle name="Followed Hyperlink" xfId="3581" builtinId="9" hidden="1"/>
    <cellStyle name="Followed Hyperlink" xfId="5293" builtinId="9" hidden="1"/>
    <cellStyle name="Followed Hyperlink" xfId="8149" builtinId="9" hidden="1"/>
    <cellStyle name="Followed Hyperlink" xfId="2973" builtinId="9" hidden="1"/>
    <cellStyle name="Followed Hyperlink" xfId="6827" builtinId="9" hidden="1"/>
    <cellStyle name="Followed Hyperlink" xfId="5627" builtinId="9" hidden="1"/>
    <cellStyle name="Followed Hyperlink" xfId="1407" builtinId="9" hidden="1"/>
    <cellStyle name="Followed Hyperlink" xfId="7665" builtinId="9" hidden="1"/>
    <cellStyle name="Followed Hyperlink" xfId="3163" builtinId="9" hidden="1"/>
    <cellStyle name="Followed Hyperlink" xfId="3201" builtinId="9" hidden="1"/>
    <cellStyle name="Followed Hyperlink" xfId="3239" builtinId="9" hidden="1"/>
    <cellStyle name="Followed Hyperlink" xfId="3277" builtinId="9" hidden="1"/>
    <cellStyle name="Followed Hyperlink" xfId="5009" builtinId="9" hidden="1"/>
    <cellStyle name="Followed Hyperlink" xfId="965" builtinId="9" hidden="1"/>
    <cellStyle name="Followed Hyperlink" xfId="6975" builtinId="9" hidden="1"/>
    <cellStyle name="Followed Hyperlink" xfId="3429" builtinId="9" hidden="1"/>
    <cellStyle name="Followed Hyperlink" xfId="7887" builtinId="9" hidden="1"/>
    <cellStyle name="Followed Hyperlink" xfId="3505" builtinId="9" hidden="1"/>
    <cellStyle name="Followed Hyperlink" xfId="3543" builtinId="9" hidden="1"/>
    <cellStyle name="Followed Hyperlink" xfId="4525" builtinId="9" hidden="1"/>
    <cellStyle name="Followed Hyperlink" xfId="3619" builtinId="9" hidden="1"/>
    <cellStyle name="Followed Hyperlink" xfId="3657" builtinId="9" hidden="1"/>
    <cellStyle name="Followed Hyperlink" xfId="5571" builtinId="9" hidden="1"/>
    <cellStyle name="Followed Hyperlink" xfId="3733" builtinId="9" hidden="1"/>
    <cellStyle name="Followed Hyperlink" xfId="3401" builtinId="9" hidden="1"/>
    <cellStyle name="Followed Hyperlink" xfId="2989" builtinId="9" hidden="1"/>
    <cellStyle name="Followed Hyperlink" xfId="5789" builtinId="9" hidden="1"/>
    <cellStyle name="Followed Hyperlink" xfId="4465" builtinId="9" hidden="1"/>
    <cellStyle name="Followed Hyperlink" xfId="3923" builtinId="9" hidden="1"/>
    <cellStyle name="Followed Hyperlink" xfId="3319" builtinId="9" hidden="1"/>
    <cellStyle name="Followed Hyperlink" xfId="3999" builtinId="9" hidden="1"/>
    <cellStyle name="Followed Hyperlink" xfId="4037" builtinId="9" hidden="1"/>
    <cellStyle name="Followed Hyperlink" xfId="4075" builtinId="9" hidden="1"/>
    <cellStyle name="Followed Hyperlink" xfId="7615" builtinId="9" hidden="1"/>
    <cellStyle name="Followed Hyperlink" xfId="825" builtinId="9" hidden="1"/>
    <cellStyle name="Followed Hyperlink" xfId="4189" builtinId="9" hidden="1"/>
    <cellStyle name="Followed Hyperlink" xfId="3185" builtinId="9" hidden="1"/>
    <cellStyle name="Followed Hyperlink" xfId="7017" builtinId="9" hidden="1"/>
    <cellStyle name="Followed Hyperlink" xfId="4303" builtinId="9" hidden="1"/>
    <cellStyle name="Followed Hyperlink" xfId="3265" builtinId="9" hidden="1"/>
    <cellStyle name="Followed Hyperlink" xfId="4379" builtinId="9" hidden="1"/>
    <cellStyle name="Followed Hyperlink" xfId="2141" builtinId="9" hidden="1"/>
    <cellStyle name="Followed Hyperlink" xfId="6791" builtinId="9" hidden="1"/>
    <cellStyle name="Followed Hyperlink" xfId="5051" builtinId="9" hidden="1"/>
    <cellStyle name="Followed Hyperlink" xfId="4531" builtinId="9" hidden="1"/>
    <cellStyle name="Followed Hyperlink" xfId="4569" builtinId="9" hidden="1"/>
    <cellStyle name="Followed Hyperlink" xfId="4607" builtinId="9" hidden="1"/>
    <cellStyle name="Followed Hyperlink" xfId="2703" builtinId="9" hidden="1"/>
    <cellStyle name="Followed Hyperlink" xfId="6033" builtinId="9" hidden="1"/>
    <cellStyle name="Followed Hyperlink" xfId="4721" builtinId="9" hidden="1"/>
    <cellStyle name="Followed Hyperlink" xfId="1969" builtinId="9" hidden="1"/>
    <cellStyle name="Followed Hyperlink" xfId="4797" builtinId="9" hidden="1"/>
    <cellStyle name="Followed Hyperlink" xfId="5305" builtinId="9" hidden="1"/>
    <cellStyle name="Followed Hyperlink" xfId="4873" builtinId="9" hidden="1"/>
    <cellStyle name="Followed Hyperlink" xfId="5667" builtinId="9" hidden="1"/>
    <cellStyle name="Followed Hyperlink" xfId="4949" builtinId="9" hidden="1"/>
    <cellStyle name="Followed Hyperlink" xfId="1519" builtinId="9" hidden="1"/>
    <cellStyle name="Followed Hyperlink" xfId="7267" builtinId="9" hidden="1"/>
    <cellStyle name="Followed Hyperlink" xfId="2577" builtinId="9" hidden="1"/>
    <cellStyle name="Followed Hyperlink" xfId="6175" builtinId="9" hidden="1"/>
    <cellStyle name="Followed Hyperlink" xfId="5139" builtinId="9" hidden="1"/>
    <cellStyle name="Followed Hyperlink" xfId="4105" builtinId="9" hidden="1"/>
    <cellStyle name="Followed Hyperlink" xfId="5215" builtinId="9" hidden="1"/>
    <cellStyle name="Followed Hyperlink" xfId="5253" builtinId="9" hidden="1"/>
    <cellStyle name="Followed Hyperlink" xfId="5291" builtinId="9" hidden="1"/>
    <cellStyle name="Followed Hyperlink" xfId="5329" builtinId="9" hidden="1"/>
    <cellStyle name="Followed Hyperlink" xfId="5367" builtinId="9" hidden="1"/>
    <cellStyle name="Followed Hyperlink" xfId="5405" builtinId="9" hidden="1"/>
    <cellStyle name="Followed Hyperlink" xfId="5443" builtinId="9" hidden="1"/>
    <cellStyle name="Followed Hyperlink" xfId="5985" builtinId="9" hidden="1"/>
    <cellStyle name="Followed Hyperlink" xfId="5519" builtinId="9" hidden="1"/>
    <cellStyle name="Followed Hyperlink" xfId="5557" builtinId="9" hidden="1"/>
    <cellStyle name="Followed Hyperlink" xfId="5595" builtinId="9" hidden="1"/>
    <cellStyle name="Followed Hyperlink" xfId="5633" builtinId="9" hidden="1"/>
    <cellStyle name="Followed Hyperlink" xfId="2487" builtinId="9" hidden="1"/>
    <cellStyle name="Followed Hyperlink" xfId="1145" builtinId="9" hidden="1"/>
    <cellStyle name="Followed Hyperlink" xfId="5833" builtinId="9" hidden="1"/>
    <cellStyle name="Followed Hyperlink" xfId="7865" builtinId="9" hidden="1"/>
    <cellStyle name="Followed Hyperlink" xfId="4417" builtinId="9" hidden="1"/>
    <cellStyle name="Followed Hyperlink" xfId="1473" builtinId="9" hidden="1"/>
    <cellStyle name="Followed Hyperlink" xfId="5899" builtinId="9" hidden="1"/>
    <cellStyle name="Followed Hyperlink" xfId="5937" builtinId="9" hidden="1"/>
    <cellStyle name="Followed Hyperlink" xfId="5975" builtinId="9" hidden="1"/>
    <cellStyle name="Followed Hyperlink" xfId="6137" builtinId="9" hidden="1"/>
    <cellStyle name="Followed Hyperlink" xfId="6051" builtinId="9" hidden="1"/>
    <cellStyle name="Followed Hyperlink" xfId="5153" builtinId="9" hidden="1"/>
    <cellStyle name="Followed Hyperlink" xfId="8037" builtinId="9" hidden="1"/>
    <cellStyle name="Followed Hyperlink" xfId="2615" builtinId="9" hidden="1"/>
    <cellStyle name="Followed Hyperlink" xfId="6203" builtinId="9" hidden="1"/>
    <cellStyle name="Followed Hyperlink" xfId="5963" builtinId="9" hidden="1"/>
    <cellStyle name="Followed Hyperlink" xfId="1499" builtinId="9" hidden="1"/>
    <cellStyle name="Followed Hyperlink" xfId="388" builtinId="9" hidden="1"/>
    <cellStyle name="Followed Hyperlink" xfId="3747" builtinId="9" hidden="1"/>
    <cellStyle name="Followed Hyperlink" xfId="6393" builtinId="9" hidden="1"/>
    <cellStyle name="Followed Hyperlink" xfId="6431" builtinId="9" hidden="1"/>
    <cellStyle name="Followed Hyperlink" xfId="4375" builtinId="9" hidden="1"/>
    <cellStyle name="Followed Hyperlink" xfId="6507" builtinId="9" hidden="1"/>
    <cellStyle name="Followed Hyperlink" xfId="1901" builtinId="9" hidden="1"/>
    <cellStyle name="Followed Hyperlink" xfId="6583" builtinId="9" hidden="1"/>
    <cellStyle name="Followed Hyperlink" xfId="3709" builtinId="9" hidden="1"/>
    <cellStyle name="Followed Hyperlink" xfId="6659" builtinId="9" hidden="1"/>
    <cellStyle name="Followed Hyperlink" xfId="5137" builtinId="9" hidden="1"/>
    <cellStyle name="Followed Hyperlink" xfId="6735" builtinId="9" hidden="1"/>
    <cellStyle name="Followed Hyperlink" xfId="6773" builtinId="9" hidden="1"/>
    <cellStyle name="Followed Hyperlink" xfId="6811" builtinId="9" hidden="1"/>
    <cellStyle name="Followed Hyperlink" xfId="6917" builtinId="9" hidden="1"/>
    <cellStyle name="Followed Hyperlink" xfId="2227" builtinId="9" hidden="1"/>
    <cellStyle name="Followed Hyperlink" xfId="5553" builtinId="9" hidden="1"/>
    <cellStyle name="Followed Hyperlink" xfId="3433" builtinId="9" hidden="1"/>
    <cellStyle name="Followed Hyperlink" xfId="7001" builtinId="9" hidden="1"/>
    <cellStyle name="Followed Hyperlink" xfId="7309" builtinId="9" hidden="1"/>
    <cellStyle name="Followed Hyperlink" xfId="2835" builtinId="9" hidden="1"/>
    <cellStyle name="Followed Hyperlink" xfId="7115" builtinId="9" hidden="1"/>
    <cellStyle name="Followed Hyperlink" xfId="7153" builtinId="9" hidden="1"/>
    <cellStyle name="Followed Hyperlink" xfId="7191" builtinId="9" hidden="1"/>
    <cellStyle name="Followed Hyperlink" xfId="7229" builtinId="9" hidden="1"/>
    <cellStyle name="Followed Hyperlink" xfId="6965" builtinId="9" hidden="1"/>
    <cellStyle name="Followed Hyperlink" xfId="7171" builtinId="9" hidden="1"/>
    <cellStyle name="Followed Hyperlink" xfId="7343" builtinId="9" hidden="1"/>
    <cellStyle name="Followed Hyperlink" xfId="7381" builtinId="9" hidden="1"/>
    <cellStyle name="Followed Hyperlink" xfId="1227" builtinId="9" hidden="1"/>
    <cellStyle name="Followed Hyperlink" xfId="7457" builtinId="9" hidden="1"/>
    <cellStyle name="Followed Hyperlink" xfId="5093" builtinId="9" hidden="1"/>
    <cellStyle name="Followed Hyperlink" xfId="2159" builtinId="9" hidden="1"/>
    <cellStyle name="Followed Hyperlink" xfId="1563" builtinId="9" hidden="1"/>
    <cellStyle name="Followed Hyperlink" xfId="2631" builtinId="9" hidden="1"/>
    <cellStyle name="Followed Hyperlink" xfId="7647" builtinId="9" hidden="1"/>
    <cellStyle name="Followed Hyperlink" xfId="7685" builtinId="9" hidden="1"/>
    <cellStyle name="Followed Hyperlink" xfId="5713" builtinId="9" hidden="1"/>
    <cellStyle name="Followed Hyperlink" xfId="7761" builtinId="9" hidden="1"/>
    <cellStyle name="Followed Hyperlink" xfId="1285" builtinId="9" hidden="1"/>
    <cellStyle name="Followed Hyperlink" xfId="7837" builtinId="9" hidden="1"/>
    <cellStyle name="Followed Hyperlink" xfId="3267" builtinId="9" hidden="1"/>
    <cellStyle name="Followed Hyperlink" xfId="260" builtinId="9" hidden="1"/>
    <cellStyle name="Followed Hyperlink" xfId="7951" builtinId="9" hidden="1"/>
    <cellStyle name="Followed Hyperlink" xfId="7989" builtinId="9" hidden="1"/>
    <cellStyle name="Followed Hyperlink" xfId="8027" builtinId="9" hidden="1"/>
    <cellStyle name="Followed Hyperlink" xfId="8065" builtinId="9" hidden="1"/>
    <cellStyle name="Followed Hyperlink" xfId="2257" builtinId="9" hidden="1"/>
    <cellStyle name="Followed Hyperlink" xfId="4857" builtinId="9" hidden="1"/>
    <cellStyle name="Followed Hyperlink" xfId="8183" builtinId="9" hidden="1"/>
    <cellStyle name="Followed Hyperlink" xfId="8171" builtinId="9" hidden="1"/>
    <cellStyle name="Followed Hyperlink" xfId="5987" builtinId="9" hidden="1"/>
    <cellStyle name="Followed Hyperlink" xfId="7469" builtinId="9" hidden="1"/>
    <cellStyle name="Followed Hyperlink" xfId="562" builtinId="9" hidden="1"/>
    <cellStyle name="Followed Hyperlink" xfId="8015" builtinId="9" hidden="1"/>
    <cellStyle name="Followed Hyperlink" xfId="7977" builtinId="9" hidden="1"/>
    <cellStyle name="Followed Hyperlink" xfId="811" builtinId="9" hidden="1"/>
    <cellStyle name="Followed Hyperlink" xfId="7901" builtinId="9" hidden="1"/>
    <cellStyle name="Followed Hyperlink" xfId="7863" builtinId="9" hidden="1"/>
    <cellStyle name="Followed Hyperlink" xfId="7825" builtinId="9" hidden="1"/>
    <cellStyle name="Followed Hyperlink" xfId="7787" builtinId="9" hidden="1"/>
    <cellStyle name="Followed Hyperlink" xfId="4589" builtinId="9" hidden="1"/>
    <cellStyle name="Followed Hyperlink" xfId="7711" builtinId="9" hidden="1"/>
    <cellStyle name="Followed Hyperlink" xfId="510" builtinId="9" hidden="1"/>
    <cellStyle name="Followed Hyperlink" xfId="7635" builtinId="9" hidden="1"/>
    <cellStyle name="Followed Hyperlink" xfId="6103" builtinId="9" hidden="1"/>
    <cellStyle name="Followed Hyperlink" xfId="1463" builtinId="9" hidden="1"/>
    <cellStyle name="Followed Hyperlink" xfId="6017" builtinId="9" hidden="1"/>
    <cellStyle name="Followed Hyperlink" xfId="2803" builtinId="9" hidden="1"/>
    <cellStyle name="Followed Hyperlink" xfId="1629" builtinId="9" hidden="1"/>
    <cellStyle name="Followed Hyperlink" xfId="7407" builtinId="9" hidden="1"/>
    <cellStyle name="Followed Hyperlink" xfId="2857" builtinId="9" hidden="1"/>
    <cellStyle name="Followed Hyperlink" xfId="7331" builtinId="9" hidden="1"/>
    <cellStyle name="Followed Hyperlink" xfId="7293" builtinId="9" hidden="1"/>
    <cellStyle name="Followed Hyperlink" xfId="7255" builtinId="9" hidden="1"/>
    <cellStyle name="Followed Hyperlink" xfId="5397" builtinId="9" hidden="1"/>
    <cellStyle name="Followed Hyperlink" xfId="7179" builtinId="9" hidden="1"/>
    <cellStyle name="Followed Hyperlink" xfId="725" builtinId="9" hidden="1"/>
    <cellStyle name="Followed Hyperlink" xfId="4795" builtinId="9" hidden="1"/>
    <cellStyle name="Followed Hyperlink" xfId="7065" builtinId="9" hidden="1"/>
    <cellStyle name="Followed Hyperlink" xfId="7689" builtinId="9" hidden="1"/>
    <cellStyle name="Followed Hyperlink" xfId="845" builtinId="9" hidden="1"/>
    <cellStyle name="Followed Hyperlink" xfId="6951" builtinId="9" hidden="1"/>
    <cellStyle name="Followed Hyperlink" xfId="7443" builtinId="9" hidden="1"/>
    <cellStyle name="Followed Hyperlink" xfId="2319" builtinId="9" hidden="1"/>
    <cellStyle name="Followed Hyperlink" xfId="324" builtinId="9" hidden="1"/>
    <cellStyle name="Followed Hyperlink" xfId="3107" builtinId="9" hidden="1"/>
    <cellStyle name="Followed Hyperlink" xfId="3003" builtinId="9" hidden="1"/>
    <cellStyle name="Followed Hyperlink" xfId="7511" builtinId="9" hidden="1"/>
    <cellStyle name="Followed Hyperlink" xfId="8053" builtinId="9" hidden="1"/>
    <cellStyle name="Followed Hyperlink" xfId="3339" builtinId="9" hidden="1"/>
    <cellStyle name="Followed Hyperlink" xfId="6609" builtinId="9" hidden="1"/>
    <cellStyle name="Followed Hyperlink" xfId="4611" builtinId="9" hidden="1"/>
    <cellStyle name="Followed Hyperlink" xfId="7023" builtinId="9" hidden="1"/>
    <cellStyle name="Followed Hyperlink" xfId="1829" builtinId="9" hidden="1"/>
    <cellStyle name="Followed Hyperlink" xfId="530" builtinId="9" hidden="1"/>
    <cellStyle name="Followed Hyperlink" xfId="2125" builtinId="9" hidden="1"/>
    <cellStyle name="Followed Hyperlink" xfId="6381" builtinId="9" hidden="1"/>
    <cellStyle name="Followed Hyperlink" xfId="6343" builtinId="9" hidden="1"/>
    <cellStyle name="Followed Hyperlink" xfId="7475" builtinId="9" hidden="1"/>
    <cellStyle name="Followed Hyperlink" xfId="6267" builtinId="9" hidden="1"/>
    <cellStyle name="Followed Hyperlink" xfId="6229" builtinId="9" hidden="1"/>
    <cellStyle name="Followed Hyperlink" xfId="7973" builtinId="9" hidden="1"/>
    <cellStyle name="Followed Hyperlink" xfId="5947" builtinId="9" hidden="1"/>
    <cellStyle name="Followed Hyperlink" xfId="2833" builtinId="9" hidden="1"/>
    <cellStyle name="Followed Hyperlink" xfId="6077" builtinId="9" hidden="1"/>
    <cellStyle name="Followed Hyperlink" xfId="6039" builtinId="9" hidden="1"/>
    <cellStyle name="Followed Hyperlink" xfId="6001" builtinId="9" hidden="1"/>
    <cellStyle name="Followed Hyperlink" xfId="490" builtinId="9" hidden="1"/>
    <cellStyle name="Followed Hyperlink" xfId="5925" builtinId="9" hidden="1"/>
    <cellStyle name="Followed Hyperlink" xfId="5887" builtinId="9" hidden="1"/>
    <cellStyle name="Followed Hyperlink" xfId="7467" builtinId="9" hidden="1"/>
    <cellStyle name="Followed Hyperlink" xfId="2659" builtinId="9" hidden="1"/>
    <cellStyle name="Followed Hyperlink" xfId="5773" builtinId="9" hidden="1"/>
    <cellStyle name="Followed Hyperlink" xfId="5007" builtinId="9" hidden="1"/>
    <cellStyle name="Followed Hyperlink" xfId="1045" builtinId="9" hidden="1"/>
    <cellStyle name="Followed Hyperlink" xfId="4177" builtinId="9" hidden="1"/>
    <cellStyle name="Followed Hyperlink" xfId="605" builtinId="9" hidden="1"/>
    <cellStyle name="Followed Hyperlink" xfId="2513" builtinId="9" hidden="1"/>
    <cellStyle name="Followed Hyperlink" xfId="3679" builtinId="9" hidden="1"/>
    <cellStyle name="Followed Hyperlink" xfId="3761" builtinId="9" hidden="1"/>
    <cellStyle name="Followed Hyperlink" xfId="5469" builtinId="9" hidden="1"/>
    <cellStyle name="Followed Hyperlink" xfId="5431" builtinId="9" hidden="1"/>
    <cellStyle name="Followed Hyperlink" xfId="5393" builtinId="9" hidden="1"/>
    <cellStyle name="Followed Hyperlink" xfId="1495" builtinId="9" hidden="1"/>
    <cellStyle name="Followed Hyperlink" xfId="5317" builtinId="9" hidden="1"/>
    <cellStyle name="Followed Hyperlink" xfId="5279" builtinId="9" hidden="1"/>
    <cellStyle name="Followed Hyperlink" xfId="627" builtinId="9" hidden="1"/>
    <cellStyle name="Followed Hyperlink" xfId="6913" builtinId="9" hidden="1"/>
    <cellStyle name="Followed Hyperlink" xfId="3231" builtinId="9" hidden="1"/>
    <cellStyle name="Followed Hyperlink" xfId="5127" builtinId="9" hidden="1"/>
    <cellStyle name="Followed Hyperlink" xfId="5089" builtinId="9" hidden="1"/>
    <cellStyle name="Followed Hyperlink" xfId="2931" builtinId="9" hidden="1"/>
    <cellStyle name="Followed Hyperlink" xfId="5013" builtinId="9" hidden="1"/>
    <cellStyle name="Followed Hyperlink" xfId="5211" builtinId="9" hidden="1"/>
    <cellStyle name="Followed Hyperlink" xfId="4937" builtinId="9" hidden="1"/>
    <cellStyle name="Followed Hyperlink" xfId="4899" builtinId="9" hidden="1"/>
    <cellStyle name="Followed Hyperlink" xfId="2131" builtinId="9" hidden="1"/>
    <cellStyle name="Followed Hyperlink" xfId="4823" builtinId="9" hidden="1"/>
    <cellStyle name="Followed Hyperlink" xfId="4785" builtinId="9" hidden="1"/>
    <cellStyle name="Followed Hyperlink" xfId="3575" builtinId="9" hidden="1"/>
    <cellStyle name="Followed Hyperlink" xfId="4709" builtinId="9" hidden="1"/>
    <cellStyle name="Followed Hyperlink" xfId="6771" builtinId="9" hidden="1"/>
    <cellStyle name="Followed Hyperlink" xfId="3475" builtinId="9" hidden="1"/>
    <cellStyle name="Followed Hyperlink" xfId="1947" builtinId="9" hidden="1"/>
    <cellStyle name="Followed Hyperlink" xfId="2679" builtinId="9" hidden="1"/>
    <cellStyle name="Followed Hyperlink" xfId="1825" builtinId="9" hidden="1"/>
    <cellStyle name="Followed Hyperlink" xfId="4481" builtinId="9" hidden="1"/>
    <cellStyle name="Followed Hyperlink" xfId="4443" builtinId="9" hidden="1"/>
    <cellStyle name="Followed Hyperlink" xfId="4405" builtinId="9" hidden="1"/>
    <cellStyle name="Followed Hyperlink" xfId="4367" builtinId="9" hidden="1"/>
    <cellStyle name="Followed Hyperlink" xfId="4329" builtinId="9" hidden="1"/>
    <cellStyle name="Followed Hyperlink" xfId="2861" builtinId="9" hidden="1"/>
    <cellStyle name="Followed Hyperlink" xfId="5825" builtinId="9" hidden="1"/>
    <cellStyle name="Followed Hyperlink" xfId="4215" builtinId="9" hidden="1"/>
    <cellStyle name="Followed Hyperlink" xfId="6607" builtinId="9" hidden="1"/>
    <cellStyle name="Followed Hyperlink" xfId="3095" builtinId="9" hidden="1"/>
    <cellStyle name="Followed Hyperlink" xfId="1833" builtinId="9" hidden="1"/>
    <cellStyle name="Followed Hyperlink" xfId="4063" builtinId="9" hidden="1"/>
    <cellStyle name="Followed Hyperlink" xfId="4025" builtinId="9" hidden="1"/>
    <cellStyle name="Followed Hyperlink" xfId="3987" builtinId="9" hidden="1"/>
    <cellStyle name="Followed Hyperlink" xfId="3949" builtinId="9" hidden="1"/>
    <cellStyle name="Followed Hyperlink" xfId="7221" builtinId="9" hidden="1"/>
    <cellStyle name="Followed Hyperlink" xfId="6277" builtinId="9" hidden="1"/>
    <cellStyle name="Followed Hyperlink" xfId="5269" builtinId="9" hidden="1"/>
    <cellStyle name="Followed Hyperlink" xfId="1189" builtinId="9" hidden="1"/>
    <cellStyle name="Followed Hyperlink" xfId="3759" builtinId="9" hidden="1"/>
    <cellStyle name="Followed Hyperlink" xfId="3721" builtinId="9" hidden="1"/>
    <cellStyle name="Followed Hyperlink" xfId="3683" builtinId="9" hidden="1"/>
    <cellStyle name="Followed Hyperlink" xfId="3521" builtinId="9" hidden="1"/>
    <cellStyle name="Followed Hyperlink" xfId="462" builtinId="9" hidden="1"/>
    <cellStyle name="Followed Hyperlink" xfId="3569" builtinId="9" hidden="1"/>
    <cellStyle name="Followed Hyperlink" xfId="3531" builtinId="9" hidden="1"/>
    <cellStyle name="Followed Hyperlink" xfId="1815" builtinId="9" hidden="1"/>
    <cellStyle name="Followed Hyperlink" xfId="3391" builtinId="9" hidden="1"/>
    <cellStyle name="Followed Hyperlink" xfId="3417" builtinId="9" hidden="1"/>
    <cellStyle name="Followed Hyperlink" xfId="3379" builtinId="9" hidden="1"/>
    <cellStyle name="Followed Hyperlink" xfId="3341" builtinId="9" hidden="1"/>
    <cellStyle name="Followed Hyperlink" xfId="6879" builtinId="9" hidden="1"/>
    <cellStyle name="Followed Hyperlink" xfId="2019" builtinId="9" hidden="1"/>
    <cellStyle name="Followed Hyperlink" xfId="4761" builtinId="9" hidden="1"/>
    <cellStyle name="Followed Hyperlink" xfId="8077" builtinId="9" hidden="1"/>
    <cellStyle name="Followed Hyperlink" xfId="5499" builtinId="9" hidden="1"/>
    <cellStyle name="Followed Hyperlink" xfId="3113" builtinId="9" hidden="1"/>
    <cellStyle name="Followed Hyperlink" xfId="3075" builtinId="9" hidden="1"/>
    <cellStyle name="Followed Hyperlink" xfId="3037" builtinId="9" hidden="1"/>
    <cellStyle name="Followed Hyperlink" xfId="2999" builtinId="9" hidden="1"/>
    <cellStyle name="Followed Hyperlink" xfId="2077" builtinId="9" hidden="1"/>
    <cellStyle name="Followed Hyperlink" xfId="6711" builtinId="9" hidden="1"/>
    <cellStyle name="Followed Hyperlink" xfId="2885" builtinId="9" hidden="1"/>
    <cellStyle name="Followed Hyperlink" xfId="2847" builtinId="9" hidden="1"/>
    <cellStyle name="Followed Hyperlink" xfId="4181" builtinId="9" hidden="1"/>
    <cellStyle name="Followed Hyperlink" xfId="4977" builtinId="9" hidden="1"/>
    <cellStyle name="Followed Hyperlink" xfId="2733" builtinId="9" hidden="1"/>
    <cellStyle name="Followed Hyperlink" xfId="2695" builtinId="9" hidden="1"/>
    <cellStyle name="Followed Hyperlink" xfId="2657" builtinId="9" hidden="1"/>
    <cellStyle name="Followed Hyperlink" xfId="7749" builtinId="9" hidden="1"/>
    <cellStyle name="Followed Hyperlink" xfId="5145" builtinId="9" hidden="1"/>
    <cellStyle name="Followed Hyperlink" xfId="6869" builtinId="9" hidden="1"/>
    <cellStyle name="Followed Hyperlink" xfId="2505" builtinId="9" hidden="1"/>
    <cellStyle name="Followed Hyperlink" xfId="6047" builtinId="9" hidden="1"/>
    <cellStyle name="Followed Hyperlink" xfId="2429" builtinId="9" hidden="1"/>
    <cellStyle name="Followed Hyperlink" xfId="2391" builtinId="9" hidden="1"/>
    <cellStyle name="Followed Hyperlink" xfId="2353" builtinId="9" hidden="1"/>
    <cellStyle name="Followed Hyperlink" xfId="8093" builtinId="9" hidden="1"/>
    <cellStyle name="Followed Hyperlink" xfId="2277" builtinId="9" hidden="1"/>
    <cellStyle name="Followed Hyperlink" xfId="4879" builtinId="9" hidden="1"/>
    <cellStyle name="Followed Hyperlink" xfId="2201" builtinId="9" hidden="1"/>
    <cellStyle name="Followed Hyperlink" xfId="2163" builtinId="9" hidden="1"/>
    <cellStyle name="Followed Hyperlink" xfId="2351" builtinId="9" hidden="1"/>
    <cellStyle name="Followed Hyperlink" xfId="4073" builtinId="9" hidden="1"/>
    <cellStyle name="Followed Hyperlink" xfId="2049" builtinId="9" hidden="1"/>
    <cellStyle name="Followed Hyperlink" xfId="2239" builtinId="9" hidden="1"/>
    <cellStyle name="Followed Hyperlink" xfId="1973" builtinId="9" hidden="1"/>
    <cellStyle name="Followed Hyperlink" xfId="6819" builtinId="9" hidden="1"/>
    <cellStyle name="Followed Hyperlink" xfId="1897" builtinId="9" hidden="1"/>
    <cellStyle name="Followed Hyperlink" xfId="1859" builtinId="9" hidden="1"/>
    <cellStyle name="Followed Hyperlink" xfId="917" builtinId="9" hidden="1"/>
    <cellStyle name="Followed Hyperlink" xfId="1783" builtinId="9" hidden="1"/>
    <cellStyle name="Followed Hyperlink" xfId="5161" builtinId="9" hidden="1"/>
    <cellStyle name="Followed Hyperlink" xfId="2037" builtinId="9" hidden="1"/>
    <cellStyle name="Followed Hyperlink" xfId="7117" builtinId="9" hidden="1"/>
    <cellStyle name="Followed Hyperlink" xfId="1727" builtinId="9" hidden="1"/>
    <cellStyle name="Followed Hyperlink" xfId="5299" builtinId="9" hidden="1"/>
    <cellStyle name="Followed Hyperlink" xfId="1555" builtinId="9" hidden="1"/>
    <cellStyle name="Followed Hyperlink" xfId="7931" builtinId="9" hidden="1"/>
    <cellStyle name="Followed Hyperlink" xfId="4433" builtinId="9" hidden="1"/>
    <cellStyle name="Followed Hyperlink" xfId="3177" builtinId="9" hidden="1"/>
    <cellStyle name="Followed Hyperlink" xfId="1403" builtinId="9" hidden="1"/>
    <cellStyle name="Followed Hyperlink" xfId="5785" builtinId="9" hidden="1"/>
    <cellStyle name="Followed Hyperlink" xfId="1327" builtinId="9" hidden="1"/>
    <cellStyle name="Followed Hyperlink" xfId="1289" builtinId="9" hidden="1"/>
    <cellStyle name="Followed Hyperlink" xfId="1251" builtinId="9" hidden="1"/>
    <cellStyle name="Followed Hyperlink" xfId="2121" builtinId="9" hidden="1"/>
    <cellStyle name="Followed Hyperlink" xfId="1771" builtinId="9" hidden="1"/>
    <cellStyle name="Followed Hyperlink" xfId="2025" builtinId="9" hidden="1"/>
    <cellStyle name="Followed Hyperlink" xfId="1099" builtinId="9" hidden="1"/>
    <cellStyle name="Followed Hyperlink" xfId="1179" builtinId="9" hidden="1"/>
    <cellStyle name="Followed Hyperlink" xfId="1029" builtinId="9" hidden="1"/>
    <cellStyle name="Followed Hyperlink" xfId="697" builtinId="9" hidden="1"/>
    <cellStyle name="Followed Hyperlink" xfId="3439" builtinId="9" hidden="1"/>
    <cellStyle name="Followed Hyperlink" xfId="985" builtinId="9" hidden="1"/>
    <cellStyle name="Followed Hyperlink" xfId="5311" builtinId="9" hidden="1"/>
    <cellStyle name="Followed Hyperlink" xfId="3649" builtinId="9" hidden="1"/>
    <cellStyle name="Followed Hyperlink" xfId="795" builtinId="9" hidden="1"/>
    <cellStyle name="Followed Hyperlink" xfId="757" builtinId="9" hidden="1"/>
    <cellStyle name="Followed Hyperlink" xfId="863" builtinId="9" hidden="1"/>
    <cellStyle name="Followed Hyperlink" xfId="681" builtinId="9" hidden="1"/>
    <cellStyle name="Followed Hyperlink" xfId="643" builtinId="9" hidden="1"/>
    <cellStyle name="Followed Hyperlink" xfId="5027" builtinId="9" hidden="1"/>
    <cellStyle name="Followed Hyperlink" xfId="338" builtinId="9" hidden="1"/>
    <cellStyle name="Followed Hyperlink" xfId="528" builtinId="9" hidden="1"/>
    <cellStyle name="Followed Hyperlink" xfId="2447" builtinId="9" hidden="1"/>
    <cellStyle name="Followed Hyperlink" xfId="452" builtinId="9" hidden="1"/>
    <cellStyle name="Followed Hyperlink" xfId="1311" builtinId="9" hidden="1"/>
    <cellStyle name="Followed Hyperlink" xfId="7355" builtinId="9" hidden="1"/>
    <cellStyle name="Followed Hyperlink" xfId="2827" builtinId="9" hidden="1"/>
    <cellStyle name="Followed Hyperlink" xfId="300" builtinId="9" hidden="1"/>
    <cellStyle name="Followed Hyperlink" xfId="446" builtinId="9" hidden="1"/>
    <cellStyle name="Followed Hyperlink" xfId="224" builtinId="9" hidden="1"/>
    <cellStyle name="Followed Hyperlink" xfId="7629" builtinId="9" hidden="1"/>
    <cellStyle name="Followed Hyperlink" xfId="1693" builtinId="9" hidden="1"/>
    <cellStyle name="Followed Hyperlink" xfId="655" builtinId="9" hidden="1"/>
    <cellStyle name="Followed Hyperlink" xfId="1653" builtinId="9" hidden="1"/>
    <cellStyle name="Followed Hyperlink" xfId="138" builtinId="9" hidden="1"/>
    <cellStyle name="Followed Hyperlink" xfId="60" builtinId="9" hidden="1"/>
    <cellStyle name="Followed Hyperlink" xfId="4895" builtinId="9" hidden="1"/>
    <cellStyle name="Followed Hyperlink" xfId="8" builtinId="9" hidden="1"/>
    <cellStyle name="Followed Hyperlink" xfId="110" builtinId="9" hidden="1"/>
    <cellStyle name="Followed Hyperlink" xfId="56" builtinId="9" hidden="1"/>
    <cellStyle name="Followed Hyperlink" xfId="4415" builtinId="9" hidden="1"/>
    <cellStyle name="Followed Hyperlink" xfId="3049" builtinId="9" hidden="1"/>
    <cellStyle name="Followed Hyperlink" xfId="3109" builtinId="9" hidden="1"/>
    <cellStyle name="Followed Hyperlink" xfId="4119" builtinId="9" hidden="1"/>
    <cellStyle name="Followed Hyperlink" xfId="350" builtinId="9" hidden="1"/>
    <cellStyle name="Followed Hyperlink" xfId="252" builtinId="9" hidden="1"/>
    <cellStyle name="Followed Hyperlink" xfId="7161" builtinId="9" hidden="1"/>
    <cellStyle name="Followed Hyperlink" xfId="118" builtinId="9" hidden="1"/>
    <cellStyle name="Followed Hyperlink" xfId="815" builtinId="9" hidden="1"/>
    <cellStyle name="Followed Hyperlink" xfId="3359" builtinId="9" hidden="1"/>
    <cellStyle name="Followed Hyperlink" xfId="442" builtinId="9" hidden="1"/>
    <cellStyle name="Followed Hyperlink" xfId="480" builtinId="9" hidden="1"/>
    <cellStyle name="Followed Hyperlink" xfId="518" builtinId="9" hidden="1"/>
    <cellStyle name="Followed Hyperlink" xfId="3347" builtinId="9" hidden="1"/>
    <cellStyle name="Followed Hyperlink" xfId="595" builtinId="9" hidden="1"/>
    <cellStyle name="Followed Hyperlink" xfId="633" builtinId="9" hidden="1"/>
    <cellStyle name="Followed Hyperlink" xfId="1439" builtinId="9" hidden="1"/>
    <cellStyle name="Followed Hyperlink" xfId="5115" builtinId="9" hidden="1"/>
    <cellStyle name="Followed Hyperlink" xfId="747" builtinId="9" hidden="1"/>
    <cellStyle name="Followed Hyperlink" xfId="785" builtinId="9" hidden="1"/>
    <cellStyle name="Followed Hyperlink" xfId="2921" builtinId="9" hidden="1"/>
    <cellStyle name="Followed Hyperlink" xfId="861" builtinId="9" hidden="1"/>
    <cellStyle name="Followed Hyperlink" xfId="899" builtinId="9" hidden="1"/>
    <cellStyle name="Followed Hyperlink" xfId="937" builtinId="9" hidden="1"/>
    <cellStyle name="Followed Hyperlink" xfId="3307" builtinId="9" hidden="1"/>
    <cellStyle name="Followed Hyperlink" xfId="1013" builtinId="9" hidden="1"/>
    <cellStyle name="Followed Hyperlink" xfId="1239" builtinId="9" hidden="1"/>
    <cellStyle name="Followed Hyperlink" xfId="5445" builtinId="9" hidden="1"/>
    <cellStyle name="Followed Hyperlink" xfId="3125" builtinId="9" hidden="1"/>
    <cellStyle name="Followed Hyperlink" xfId="1165" builtinId="9" hidden="1"/>
    <cellStyle name="Followed Hyperlink" xfId="3121" builtinId="9" hidden="1"/>
    <cellStyle name="Followed Hyperlink" xfId="1241" builtinId="9" hidden="1"/>
    <cellStyle name="Followed Hyperlink" xfId="5989" builtinId="9" hidden="1"/>
    <cellStyle name="Followed Hyperlink" xfId="1317" builtinId="9" hidden="1"/>
    <cellStyle name="Followed Hyperlink" xfId="1355" builtinId="9" hidden="1"/>
    <cellStyle name="Followed Hyperlink" xfId="1393" builtinId="9" hidden="1"/>
    <cellStyle name="Followed Hyperlink" xfId="1431" builtinId="9" hidden="1"/>
    <cellStyle name="Followed Hyperlink" xfId="769" builtinId="9" hidden="1"/>
    <cellStyle name="Followed Hyperlink" xfId="5335" builtinId="9" hidden="1"/>
    <cellStyle name="Followed Hyperlink" xfId="1545" builtinId="9" hidden="1"/>
    <cellStyle name="Followed Hyperlink" xfId="3803" builtinId="9" hidden="1"/>
    <cellStyle name="Followed Hyperlink" xfId="2267" builtinId="9" hidden="1"/>
    <cellStyle name="Followed Hyperlink" xfId="1659" builtinId="9" hidden="1"/>
    <cellStyle name="Followed Hyperlink" xfId="1697" builtinId="9" hidden="1"/>
    <cellStyle name="Followed Hyperlink" xfId="1735" builtinId="9" hidden="1"/>
    <cellStyle name="Followed Hyperlink" xfId="6781" builtinId="9" hidden="1"/>
    <cellStyle name="Followed Hyperlink" xfId="6533" builtinId="9" hidden="1"/>
    <cellStyle name="Followed Hyperlink" xfId="6389" builtinId="9" hidden="1"/>
    <cellStyle name="Followed Hyperlink" xfId="1535" builtinId="9" hidden="1"/>
    <cellStyle name="Followed Hyperlink" xfId="1925" builtinId="9" hidden="1"/>
    <cellStyle name="Followed Hyperlink" xfId="1963" builtinId="9" hidden="1"/>
    <cellStyle name="Followed Hyperlink" xfId="2001" builtinId="9" hidden="1"/>
    <cellStyle name="Followed Hyperlink" xfId="2039" builtinId="9" hidden="1"/>
    <cellStyle name="Followed Hyperlink" xfId="3637" builtinId="9" hidden="1"/>
    <cellStyle name="Followed Hyperlink" xfId="2115" builtinId="9" hidden="1"/>
    <cellStyle name="Followed Hyperlink" xfId="2153" builtinId="9" hidden="1"/>
    <cellStyle name="Followed Hyperlink" xfId="1895" builtinId="9" hidden="1"/>
    <cellStyle name="Followed Hyperlink" xfId="2855" builtinId="9" hidden="1"/>
    <cellStyle name="Followed Hyperlink" xfId="5665" builtinId="9" hidden="1"/>
    <cellStyle name="Followed Hyperlink" xfId="6179" builtinId="9" hidden="1"/>
    <cellStyle name="Followed Hyperlink" xfId="2343" builtinId="9" hidden="1"/>
    <cellStyle name="Followed Hyperlink" xfId="344" builtinId="9" hidden="1"/>
    <cellStyle name="Followed Hyperlink" xfId="6447" builtinId="9" hidden="1"/>
    <cellStyle name="Followed Hyperlink" xfId="1775" builtinId="9" hidden="1"/>
    <cellStyle name="Followed Hyperlink" xfId="2877" builtinId="9" hidden="1"/>
    <cellStyle name="Followed Hyperlink" xfId="2533" builtinId="9" hidden="1"/>
    <cellStyle name="Followed Hyperlink" xfId="7553" builtinId="9" hidden="1"/>
    <cellStyle name="Followed Hyperlink" xfId="2609" builtinId="9" hidden="1"/>
    <cellStyle name="Followed Hyperlink" xfId="4697" builtinId="9" hidden="1"/>
    <cellStyle name="Followed Hyperlink" xfId="2685" builtinId="9" hidden="1"/>
    <cellStyle name="Followed Hyperlink" xfId="4053" builtinId="9" hidden="1"/>
    <cellStyle name="Followed Hyperlink" xfId="819" builtinId="9" hidden="1"/>
    <cellStyle name="Followed Hyperlink" xfId="2799" builtinId="9" hidden="1"/>
    <cellStyle name="Followed Hyperlink" xfId="2837" builtinId="9" hidden="1"/>
    <cellStyle name="Followed Hyperlink" xfId="2875" builtinId="9" hidden="1"/>
    <cellStyle name="Followed Hyperlink" xfId="3797" builtinId="9" hidden="1"/>
    <cellStyle name="Followed Hyperlink" xfId="4081" builtinId="9" hidden="1"/>
    <cellStyle name="Followed Hyperlink" xfId="3215" builtinId="9" hidden="1"/>
    <cellStyle name="Followed Hyperlink" xfId="5103" builtinId="9" hidden="1"/>
    <cellStyle name="Followed Hyperlink" xfId="5289" builtinId="9" hidden="1"/>
    <cellStyle name="Followed Hyperlink" xfId="3835" builtinId="9" hidden="1"/>
    <cellStyle name="Followed Hyperlink" xfId="3141" builtinId="9" hidden="1"/>
    <cellStyle name="Followed Hyperlink" xfId="3179" builtinId="9" hidden="1"/>
    <cellStyle name="Followed Hyperlink" xfId="3217" builtinId="9" hidden="1"/>
    <cellStyle name="Followed Hyperlink" xfId="995" builtinId="9" hidden="1"/>
    <cellStyle name="Followed Hyperlink" xfId="2489" builtinId="9" hidden="1"/>
    <cellStyle name="Followed Hyperlink" xfId="3331" builtinId="9" hidden="1"/>
    <cellStyle name="Followed Hyperlink" xfId="4907" builtinId="9" hidden="1"/>
    <cellStyle name="Followed Hyperlink" xfId="6049" builtinId="9" hidden="1"/>
    <cellStyle name="Followed Hyperlink" xfId="7085" builtinId="9" hidden="1"/>
    <cellStyle name="Followed Hyperlink" xfId="4019" builtinId="9" hidden="1"/>
    <cellStyle name="Followed Hyperlink" xfId="6475" builtinId="9" hidden="1"/>
    <cellStyle name="Followed Hyperlink" xfId="5207" builtinId="9" hidden="1"/>
    <cellStyle name="Followed Hyperlink" xfId="1729" builtinId="9" hidden="1"/>
    <cellStyle name="Followed Hyperlink" xfId="4843" builtinId="9" hidden="1"/>
    <cellStyle name="Followed Hyperlink" xfId="250" builtinId="9" hidden="1"/>
    <cellStyle name="Followed Hyperlink" xfId="7101" builtinId="9" hidden="1"/>
    <cellStyle name="Followed Hyperlink" xfId="3749" builtinId="9" hidden="1"/>
    <cellStyle name="Followed Hyperlink" xfId="3787" builtinId="9" hidden="1"/>
    <cellStyle name="Followed Hyperlink" xfId="3825" builtinId="9" hidden="1"/>
    <cellStyle name="Followed Hyperlink" xfId="7409" builtinId="9" hidden="1"/>
    <cellStyle name="Followed Hyperlink" xfId="6957" builtinId="9" hidden="1"/>
    <cellStyle name="Followed Hyperlink" xfId="3939" builtinId="9" hidden="1"/>
    <cellStyle name="Followed Hyperlink" xfId="390" builtinId="9" hidden="1"/>
    <cellStyle name="Followed Hyperlink" xfId="4015" builtinId="9" hidden="1"/>
    <cellStyle name="Followed Hyperlink" xfId="2339" builtinId="9" hidden="1"/>
    <cellStyle name="Followed Hyperlink" xfId="4091" builtinId="9" hidden="1"/>
    <cellStyle name="Followed Hyperlink" xfId="4129" builtinId="9" hidden="1"/>
    <cellStyle name="Followed Hyperlink" xfId="4167" builtinId="9" hidden="1"/>
    <cellStyle name="Followed Hyperlink" xfId="4205" builtinId="9" hidden="1"/>
    <cellStyle name="Followed Hyperlink" xfId="4243" builtinId="9" hidden="1"/>
    <cellStyle name="Followed Hyperlink" xfId="4429" builtinId="9" hidden="1"/>
    <cellStyle name="Followed Hyperlink" xfId="4319" builtinId="9" hidden="1"/>
    <cellStyle name="Followed Hyperlink" xfId="7471" builtinId="9" hidden="1"/>
    <cellStyle name="Followed Hyperlink" xfId="4849" builtinId="9" hidden="1"/>
    <cellStyle name="Followed Hyperlink" xfId="5843" builtinId="9" hidden="1"/>
    <cellStyle name="Followed Hyperlink" xfId="2587" builtinId="9" hidden="1"/>
    <cellStyle name="Followed Hyperlink" xfId="5047" builtinId="9" hidden="1"/>
    <cellStyle name="Followed Hyperlink" xfId="3467" builtinId="9" hidden="1"/>
    <cellStyle name="Followed Hyperlink" xfId="4585" builtinId="9" hidden="1"/>
    <cellStyle name="Followed Hyperlink" xfId="4623" builtinId="9" hidden="1"/>
    <cellStyle name="Followed Hyperlink" xfId="4661" builtinId="9" hidden="1"/>
    <cellStyle name="Followed Hyperlink" xfId="4699" builtinId="9" hidden="1"/>
    <cellStyle name="Followed Hyperlink" xfId="4737" builtinId="9" hidden="1"/>
    <cellStyle name="Followed Hyperlink" xfId="440" builtinId="9" hidden="1"/>
    <cellStyle name="Followed Hyperlink" xfId="4813" builtinId="9" hidden="1"/>
    <cellStyle name="Followed Hyperlink" xfId="2457" builtinId="9" hidden="1"/>
    <cellStyle name="Followed Hyperlink" xfId="4889" builtinId="9" hidden="1"/>
    <cellStyle name="Followed Hyperlink" xfId="8133" builtinId="9" hidden="1"/>
    <cellStyle name="Followed Hyperlink" xfId="1871" builtinId="9" hidden="1"/>
    <cellStyle name="Followed Hyperlink" xfId="5893" builtinId="9" hidden="1"/>
    <cellStyle name="Followed Hyperlink" xfId="3143" builtinId="9" hidden="1"/>
    <cellStyle name="Followed Hyperlink" xfId="2111" builtinId="9" hidden="1"/>
    <cellStyle name="Followed Hyperlink" xfId="5003" builtinId="9" hidden="1"/>
    <cellStyle name="Followed Hyperlink" xfId="7281" builtinId="9" hidden="1"/>
    <cellStyle name="Followed Hyperlink" xfId="839" builtinId="9" hidden="1"/>
    <cellStyle name="Followed Hyperlink" xfId="2553" builtinId="9" hidden="1"/>
    <cellStyle name="Followed Hyperlink" xfId="739" builtinId="9" hidden="1"/>
    <cellStyle name="Followed Hyperlink" xfId="5035" builtinId="9" hidden="1"/>
    <cellStyle name="Followed Hyperlink" xfId="5345" builtinId="9" hidden="1"/>
    <cellStyle name="Followed Hyperlink" xfId="4271" builtinId="9" hidden="1"/>
    <cellStyle name="Followed Hyperlink" xfId="5421" builtinId="9" hidden="1"/>
    <cellStyle name="Followed Hyperlink" xfId="5459" builtinId="9" hidden="1"/>
    <cellStyle name="Followed Hyperlink" xfId="5497" builtinId="9" hidden="1"/>
    <cellStyle name="Followed Hyperlink" xfId="7353" builtinId="9" hidden="1"/>
    <cellStyle name="Followed Hyperlink" xfId="1411" builtinId="9" hidden="1"/>
    <cellStyle name="Followed Hyperlink" xfId="5611" builtinId="9" hidden="1"/>
    <cellStyle name="Followed Hyperlink" xfId="4187" builtinId="9" hidden="1"/>
    <cellStyle name="Followed Hyperlink" xfId="5687" builtinId="9" hidden="1"/>
    <cellStyle name="Followed Hyperlink" xfId="94" builtinId="9" hidden="1"/>
    <cellStyle name="Followed Hyperlink" xfId="5763" builtinId="9" hidden="1"/>
    <cellStyle name="Followed Hyperlink" xfId="5801" builtinId="9" hidden="1"/>
    <cellStyle name="Followed Hyperlink" xfId="1811" builtinId="9" hidden="1"/>
    <cellStyle name="Followed Hyperlink" xfId="5877" builtinId="9" hidden="1"/>
    <cellStyle name="Followed Hyperlink" xfId="4229" builtinId="9" hidden="1"/>
    <cellStyle name="Followed Hyperlink" xfId="30" builtinId="9" hidden="1"/>
    <cellStyle name="Followed Hyperlink" xfId="1921" builtinId="9" hidden="1"/>
    <cellStyle name="Followed Hyperlink" xfId="7007" builtinId="9" hidden="1"/>
    <cellStyle name="Followed Hyperlink" xfId="6067" builtinId="9" hidden="1"/>
    <cellStyle name="Followed Hyperlink" xfId="6105" builtinId="9" hidden="1"/>
    <cellStyle name="Followed Hyperlink" xfId="6143" builtinId="9" hidden="1"/>
    <cellStyle name="Followed Hyperlink" xfId="6181" builtinId="9" hidden="1"/>
    <cellStyle name="Followed Hyperlink" xfId="1353" builtinId="9" hidden="1"/>
    <cellStyle name="Followed Hyperlink" xfId="6257" builtinId="9" hidden="1"/>
    <cellStyle name="Followed Hyperlink" xfId="6295" builtinId="9" hidden="1"/>
    <cellStyle name="Followed Hyperlink" xfId="6333" builtinId="9" hidden="1"/>
    <cellStyle name="Followed Hyperlink" xfId="6371" builtinId="9" hidden="1"/>
    <cellStyle name="Followed Hyperlink" xfId="6409" builtinId="9" hidden="1"/>
    <cellStyle name="Followed Hyperlink" xfId="6379" builtinId="9" hidden="1"/>
    <cellStyle name="Followed Hyperlink" xfId="6485" builtinId="9" hidden="1"/>
    <cellStyle name="Followed Hyperlink" xfId="7799" builtinId="9" hidden="1"/>
    <cellStyle name="Followed Hyperlink" xfId="6843" builtinId="9" hidden="1"/>
    <cellStyle name="Followed Hyperlink" xfId="470" builtinId="9" hidden="1"/>
    <cellStyle name="Followed Hyperlink" xfId="6637" builtinId="9" hidden="1"/>
    <cellStyle name="Followed Hyperlink" xfId="6675" builtinId="9" hidden="1"/>
    <cellStyle name="Followed Hyperlink" xfId="5689" builtinId="9" hidden="1"/>
    <cellStyle name="Followed Hyperlink" xfId="6751" builtinId="9" hidden="1"/>
    <cellStyle name="Followed Hyperlink" xfId="6789" builtinId="9" hidden="1"/>
    <cellStyle name="Followed Hyperlink" xfId="1181" builtinId="9" hidden="1"/>
    <cellStyle name="Followed Hyperlink" xfId="6739" builtinId="9" hidden="1"/>
    <cellStyle name="Followed Hyperlink" xfId="7005" builtinId="9" hidden="1"/>
    <cellStyle name="Followed Hyperlink" xfId="6941" builtinId="9" hidden="1"/>
    <cellStyle name="Followed Hyperlink" xfId="6979" builtinId="9" hidden="1"/>
    <cellStyle name="Followed Hyperlink" xfId="7789" builtinId="9" hidden="1"/>
    <cellStyle name="Followed Hyperlink" xfId="6697" builtinId="9" hidden="1"/>
    <cellStyle name="Followed Hyperlink" xfId="7093" builtinId="9" hidden="1"/>
    <cellStyle name="Followed Hyperlink" xfId="7131" builtinId="9" hidden="1"/>
    <cellStyle name="Followed Hyperlink" xfId="7169" builtinId="9" hidden="1"/>
    <cellStyle name="Followed Hyperlink" xfId="6321" builtinId="9" hidden="1"/>
    <cellStyle name="Followed Hyperlink" xfId="2067" builtinId="9" hidden="1"/>
    <cellStyle name="Followed Hyperlink" xfId="1201" builtinId="9" hidden="1"/>
    <cellStyle name="Followed Hyperlink" xfId="2883" builtinId="9" hidden="1"/>
    <cellStyle name="Followed Hyperlink" xfId="8163" builtinId="9" hidden="1"/>
    <cellStyle name="Followed Hyperlink" xfId="7397" builtinId="9" hidden="1"/>
    <cellStyle name="Followed Hyperlink" xfId="1751" builtinId="9" hidden="1"/>
    <cellStyle name="Followed Hyperlink" xfId="7473" builtinId="9" hidden="1"/>
    <cellStyle name="Followed Hyperlink" xfId="476" builtinId="9" hidden="1"/>
    <cellStyle name="Followed Hyperlink" xfId="206" builtinId="9" hidden="1"/>
    <cellStyle name="Followed Hyperlink" xfId="6191" builtinId="9" hidden="1"/>
    <cellStyle name="Followed Hyperlink" xfId="4395" builtinId="9" hidden="1"/>
    <cellStyle name="Followed Hyperlink" xfId="7663" builtinId="9" hidden="1"/>
    <cellStyle name="Followed Hyperlink" xfId="1065" builtinId="9" hidden="1"/>
    <cellStyle name="Followed Hyperlink" xfId="7533" builtinId="9" hidden="1"/>
    <cellStyle name="Followed Hyperlink" xfId="3931" builtinId="9" hidden="1"/>
    <cellStyle name="Followed Hyperlink" xfId="1481" builtinId="9" hidden="1"/>
    <cellStyle name="Followed Hyperlink" xfId="6723" builtinId="9" hidden="1"/>
    <cellStyle name="Followed Hyperlink" xfId="7891" builtinId="9" hidden="1"/>
    <cellStyle name="Followed Hyperlink" xfId="7929" builtinId="9" hidden="1"/>
    <cellStyle name="Followed Hyperlink" xfId="7967" builtinId="9" hidden="1"/>
    <cellStyle name="Followed Hyperlink" xfId="8005" builtinId="9" hidden="1"/>
    <cellStyle name="Followed Hyperlink" xfId="5729" builtinId="9" hidden="1"/>
    <cellStyle name="Followed Hyperlink" xfId="6501" builtinId="9" hidden="1"/>
    <cellStyle name="Followed Hyperlink" xfId="8119" builtinId="9" hidden="1"/>
    <cellStyle name="Followed Hyperlink" xfId="8137" builtinId="9" hidden="1"/>
    <cellStyle name="Followed Hyperlink" xfId="554" builtinId="9" hidden="1"/>
    <cellStyle name="Followed Hyperlink" xfId="8155" builtinId="9" hidden="1"/>
    <cellStyle name="Followed Hyperlink" xfId="4013" builtinId="9" hidden="1"/>
    <cellStyle name="Followed Hyperlink" xfId="607" builtinId="9" hidden="1"/>
    <cellStyle name="Followed Hyperlink" xfId="4293" builtinId="9" hidden="1"/>
    <cellStyle name="Followed Hyperlink" xfId="1437" builtinId="9" hidden="1"/>
    <cellStyle name="Followed Hyperlink" xfId="7961" builtinId="9" hidden="1"/>
    <cellStyle name="Followed Hyperlink" xfId="6645" builtinId="9" hidden="1"/>
    <cellStyle name="Followed Hyperlink" xfId="7885" builtinId="9" hidden="1"/>
    <cellStyle name="Followed Hyperlink" xfId="7847" builtinId="9" hidden="1"/>
    <cellStyle name="Followed Hyperlink" xfId="7809" builtinId="9" hidden="1"/>
    <cellStyle name="Followed Hyperlink" xfId="803" builtinId="9" hidden="1"/>
    <cellStyle name="Followed Hyperlink" xfId="8159" builtinId="9" hidden="1"/>
    <cellStyle name="Followed Hyperlink" xfId="5217" builtinId="9" hidden="1"/>
    <cellStyle name="Followed Hyperlink" xfId="7657" builtinId="9" hidden="1"/>
    <cellStyle name="Followed Hyperlink" xfId="1763" builtinId="9" hidden="1"/>
    <cellStyle name="Followed Hyperlink" xfId="7581" builtinId="9" hidden="1"/>
    <cellStyle name="Followed Hyperlink" xfId="7543" builtinId="9" hidden="1"/>
    <cellStyle name="Followed Hyperlink" xfId="7505" builtinId="9" hidden="1"/>
    <cellStyle name="Followed Hyperlink" xfId="568" builtinId="9" hidden="1"/>
    <cellStyle name="Followed Hyperlink" xfId="7429" builtinId="9" hidden="1"/>
    <cellStyle name="Followed Hyperlink" xfId="7391" builtinId="9" hidden="1"/>
    <cellStyle name="Followed Hyperlink" xfId="4489" builtinId="9" hidden="1"/>
    <cellStyle name="Followed Hyperlink" xfId="7315" builtinId="9" hidden="1"/>
    <cellStyle name="Followed Hyperlink" xfId="7277" builtinId="9" hidden="1"/>
    <cellStyle name="Followed Hyperlink" xfId="8001" builtinId="9" hidden="1"/>
    <cellStyle name="Followed Hyperlink" xfId="7201" builtinId="9" hidden="1"/>
    <cellStyle name="Followed Hyperlink" xfId="7163" builtinId="9" hidden="1"/>
    <cellStyle name="Followed Hyperlink" xfId="6087" builtinId="9" hidden="1"/>
    <cellStyle name="Followed Hyperlink" xfId="7855" builtinId="9" hidden="1"/>
    <cellStyle name="Followed Hyperlink" xfId="3159" builtinId="9" hidden="1"/>
    <cellStyle name="Followed Hyperlink" xfId="7011" builtinId="9" hidden="1"/>
    <cellStyle name="Followed Hyperlink" xfId="1349" builtinId="9" hidden="1"/>
    <cellStyle name="Followed Hyperlink" xfId="6935" builtinId="9" hidden="1"/>
    <cellStyle name="Followed Hyperlink" xfId="1347" builtinId="9" hidden="1"/>
    <cellStyle name="Followed Hyperlink" xfId="7119" builtinId="9" hidden="1"/>
    <cellStyle name="Followed Hyperlink" xfId="1243" builtinId="9" hidden="1"/>
    <cellStyle name="Followed Hyperlink" xfId="6649" builtinId="9" hidden="1"/>
    <cellStyle name="Followed Hyperlink" xfId="6745" builtinId="9" hidden="1"/>
    <cellStyle name="Followed Hyperlink" xfId="6707" builtinId="9" hidden="1"/>
    <cellStyle name="Followed Hyperlink" xfId="7013" builtinId="9" hidden="1"/>
    <cellStyle name="Followed Hyperlink" xfId="7769" builtinId="9" hidden="1"/>
    <cellStyle name="Followed Hyperlink" xfId="6593" builtinId="9" hidden="1"/>
    <cellStyle name="Followed Hyperlink" xfId="5999" builtinId="9" hidden="1"/>
    <cellStyle name="Followed Hyperlink" xfId="4775" builtinId="9" hidden="1"/>
    <cellStyle name="Followed Hyperlink" xfId="6479" builtinId="9" hidden="1"/>
    <cellStyle name="Followed Hyperlink" xfId="6441" builtinId="9" hidden="1"/>
    <cellStyle name="Followed Hyperlink" xfId="7969" builtinId="9" hidden="1"/>
    <cellStyle name="Followed Hyperlink" xfId="6241" builtinId="9" hidden="1"/>
    <cellStyle name="Followed Hyperlink" xfId="6327" builtinId="9" hidden="1"/>
    <cellStyle name="Followed Hyperlink" xfId="6289" builtinId="9" hidden="1"/>
    <cellStyle name="Followed Hyperlink" xfId="4739" builtinId="9" hidden="1"/>
    <cellStyle name="Followed Hyperlink" xfId="6213" builtinId="9" hidden="1"/>
    <cellStyle name="Followed Hyperlink" xfId="1443" builtinId="9" hidden="1"/>
    <cellStyle name="Followed Hyperlink" xfId="6953" builtinId="9" hidden="1"/>
    <cellStyle name="Followed Hyperlink" xfId="3853" builtinId="9" hidden="1"/>
    <cellStyle name="Followed Hyperlink" xfId="6061" builtinId="9" hidden="1"/>
    <cellStyle name="Followed Hyperlink" xfId="6023" builtinId="9" hidden="1"/>
    <cellStyle name="Followed Hyperlink" xfId="6617" builtinId="9" hidden="1"/>
    <cellStyle name="Followed Hyperlink" xfId="801" builtinId="9" hidden="1"/>
    <cellStyle name="Followed Hyperlink" xfId="5909" builtinId="9" hidden="1"/>
    <cellStyle name="Followed Hyperlink" xfId="5871" builtinId="9" hidden="1"/>
    <cellStyle name="Followed Hyperlink" xfId="4825" builtinId="9" hidden="1"/>
    <cellStyle name="Followed Hyperlink" xfId="5795" builtinId="9" hidden="1"/>
    <cellStyle name="Followed Hyperlink" xfId="5757" builtinId="9" hidden="1"/>
    <cellStyle name="Followed Hyperlink" xfId="5251" builtinId="9" hidden="1"/>
    <cellStyle name="Followed Hyperlink" xfId="5681" builtinId="9" hidden="1"/>
    <cellStyle name="Followed Hyperlink" xfId="5643" builtinId="9" hidden="1"/>
    <cellStyle name="Followed Hyperlink" xfId="7621" builtinId="9" hidden="1"/>
    <cellStyle name="Followed Hyperlink" xfId="6461" builtinId="9" hidden="1"/>
    <cellStyle name="Followed Hyperlink" xfId="6481" builtinId="9" hidden="1"/>
    <cellStyle name="Followed Hyperlink" xfId="6683" builtinId="9" hidden="1"/>
    <cellStyle name="Followed Hyperlink" xfId="5453" builtinId="9" hidden="1"/>
    <cellStyle name="Followed Hyperlink" xfId="5415" builtinId="9" hidden="1"/>
    <cellStyle name="Followed Hyperlink" xfId="7623" builtinId="9" hidden="1"/>
    <cellStyle name="Followed Hyperlink" xfId="4399" builtinId="9" hidden="1"/>
    <cellStyle name="Followed Hyperlink" xfId="5301" builtinId="9" hidden="1"/>
    <cellStyle name="Followed Hyperlink" xfId="5263" builtinId="9" hidden="1"/>
    <cellStyle name="Followed Hyperlink" xfId="5225" builtinId="9" hidden="1"/>
    <cellStyle name="Followed Hyperlink" xfId="564" builtinId="9" hidden="1"/>
    <cellStyle name="Followed Hyperlink" xfId="5149" builtinId="9" hidden="1"/>
    <cellStyle name="Followed Hyperlink" xfId="5111" builtinId="9" hidden="1"/>
    <cellStyle name="Followed Hyperlink" xfId="5073" builtinId="9" hidden="1"/>
    <cellStyle name="Followed Hyperlink" xfId="2087" builtinId="9" hidden="1"/>
    <cellStyle name="Followed Hyperlink" xfId="4997" builtinId="9" hidden="1"/>
    <cellStyle name="Followed Hyperlink" xfId="6523" builtinId="9" hidden="1"/>
    <cellStyle name="Followed Hyperlink" xfId="4921" builtinId="9" hidden="1"/>
    <cellStyle name="Followed Hyperlink" xfId="7593" builtinId="9" hidden="1"/>
    <cellStyle name="Followed Hyperlink" xfId="4845" builtinId="9" hidden="1"/>
    <cellStyle name="Followed Hyperlink" xfId="4807" builtinId="9" hidden="1"/>
    <cellStyle name="Followed Hyperlink" xfId="84" builtinId="9" hidden="1"/>
    <cellStyle name="Followed Hyperlink" xfId="4731" builtinId="9" hidden="1"/>
    <cellStyle name="Followed Hyperlink" xfId="4693" builtinId="9" hidden="1"/>
    <cellStyle name="Followed Hyperlink" xfId="4655" builtinId="9" hidden="1"/>
    <cellStyle name="Followed Hyperlink" xfId="3445" builtinId="9" hidden="1"/>
    <cellStyle name="Followed Hyperlink" xfId="290" builtinId="9" hidden="1"/>
    <cellStyle name="Followed Hyperlink" xfId="4541" builtinId="9" hidden="1"/>
    <cellStyle name="Followed Hyperlink" xfId="793" builtinId="9" hidden="1"/>
    <cellStyle name="Followed Hyperlink" xfId="1335" builtinId="9" hidden="1"/>
    <cellStyle name="Followed Hyperlink" xfId="6775" builtinId="9" hidden="1"/>
    <cellStyle name="Followed Hyperlink" xfId="100" builtinId="9" hidden="1"/>
    <cellStyle name="Followed Hyperlink" xfId="5369" builtinId="9" hidden="1"/>
    <cellStyle name="Followed Hyperlink" xfId="4313" builtinId="9" hidden="1"/>
    <cellStyle name="Followed Hyperlink" xfId="2713" builtinId="9" hidden="1"/>
    <cellStyle name="Followed Hyperlink" xfId="4237" builtinId="9" hidden="1"/>
    <cellStyle name="Followed Hyperlink" xfId="3485" builtinId="9" hidden="1"/>
    <cellStyle name="Followed Hyperlink" xfId="3571" builtinId="9" hidden="1"/>
    <cellStyle name="Followed Hyperlink" xfId="4437" builtinId="9" hidden="1"/>
    <cellStyle name="Followed Hyperlink" xfId="8003" builtinId="9" hidden="1"/>
    <cellStyle name="Followed Hyperlink" xfId="5237" builtinId="9" hidden="1"/>
    <cellStyle name="Followed Hyperlink" xfId="4009" builtinId="9" hidden="1"/>
    <cellStyle name="Followed Hyperlink" xfId="7301" builtinId="9" hidden="1"/>
    <cellStyle name="Followed Hyperlink" xfId="5881" builtinId="9" hidden="1"/>
    <cellStyle name="Followed Hyperlink" xfId="6971" builtinId="9" hidden="1"/>
    <cellStyle name="Followed Hyperlink" xfId="3857" builtinId="9" hidden="1"/>
    <cellStyle name="Followed Hyperlink" xfId="1333" builtinId="9" hidden="1"/>
    <cellStyle name="Followed Hyperlink" xfId="3635" builtinId="9" hidden="1"/>
    <cellStyle name="Followed Hyperlink" xfId="7325" builtinId="9" hidden="1"/>
    <cellStyle name="Followed Hyperlink" xfId="4223" builtinId="9" hidden="1"/>
    <cellStyle name="Followed Hyperlink" xfId="2097" builtinId="9" hidden="1"/>
    <cellStyle name="Followed Hyperlink" xfId="6271" builtinId="9" hidden="1"/>
    <cellStyle name="Followed Hyperlink" xfId="2709" builtinId="9" hidden="1"/>
    <cellStyle name="Followed Hyperlink" xfId="7305" builtinId="9" hidden="1"/>
    <cellStyle name="Followed Hyperlink" xfId="8194" builtinId="9" hidden="1"/>
    <cellStyle name="Followed Hyperlink" xfId="3477" builtinId="9" hidden="1"/>
    <cellStyle name="Followed Hyperlink" xfId="6165" builtinId="9" hidden="1"/>
    <cellStyle name="Followed Hyperlink" xfId="5657" builtinId="9" hidden="1"/>
    <cellStyle name="Followed Hyperlink" xfId="6171" builtinId="9" hidden="1"/>
    <cellStyle name="Followed Hyperlink" xfId="6349" builtinId="9" hidden="1"/>
    <cellStyle name="Followed Hyperlink" xfId="3287" builtinId="9" hidden="1"/>
    <cellStyle name="Followed Hyperlink" xfId="3249" builtinId="9" hidden="1"/>
    <cellStyle name="Followed Hyperlink" xfId="5361" builtinId="9" hidden="1"/>
    <cellStyle name="Followed Hyperlink" xfId="3173" builtinId="9" hidden="1"/>
    <cellStyle name="Followed Hyperlink" xfId="6463" builtinId="9" hidden="1"/>
    <cellStyle name="Followed Hyperlink" xfId="3079" builtinId="9" hidden="1"/>
    <cellStyle name="Followed Hyperlink" xfId="2463" builtinId="9" hidden="1"/>
    <cellStyle name="Followed Hyperlink" xfId="4901" builtinId="9" hidden="1"/>
    <cellStyle name="Followed Hyperlink" xfId="2323" builtinId="9" hidden="1"/>
    <cellStyle name="Followed Hyperlink" xfId="2945" builtinId="9" hidden="1"/>
    <cellStyle name="Followed Hyperlink" xfId="2907" builtinId="9" hidden="1"/>
    <cellStyle name="Followed Hyperlink" xfId="2869" builtinId="9" hidden="1"/>
    <cellStyle name="Followed Hyperlink" xfId="2831" builtinId="9" hidden="1"/>
    <cellStyle name="Followed Hyperlink" xfId="2793" builtinId="9" hidden="1"/>
    <cellStyle name="Followed Hyperlink" xfId="7721" builtinId="9" hidden="1"/>
    <cellStyle name="Followed Hyperlink" xfId="8071" builtinId="9" hidden="1"/>
    <cellStyle name="Followed Hyperlink" xfId="1907" builtinId="9" hidden="1"/>
    <cellStyle name="Followed Hyperlink" xfId="2641" builtinId="9" hidden="1"/>
    <cellStyle name="Followed Hyperlink" xfId="2603" builtinId="9" hidden="1"/>
    <cellStyle name="Followed Hyperlink" xfId="2565" builtinId="9" hidden="1"/>
    <cellStyle name="Followed Hyperlink" xfId="2527" builtinId="9" hidden="1"/>
    <cellStyle name="Followed Hyperlink" xfId="1945" builtinId="9" hidden="1"/>
    <cellStyle name="Followed Hyperlink" xfId="2451" builtinId="9" hidden="1"/>
    <cellStyle name="Followed Hyperlink" xfId="7813" builtinId="9" hidden="1"/>
    <cellStyle name="Followed Hyperlink" xfId="913" builtinId="9" hidden="1"/>
    <cellStyle name="Followed Hyperlink" xfId="7913" builtinId="9" hidden="1"/>
    <cellStyle name="Followed Hyperlink" xfId="2299" builtinId="9" hidden="1"/>
    <cellStyle name="Followed Hyperlink" xfId="5377" builtinId="9" hidden="1"/>
    <cellStyle name="Followed Hyperlink" xfId="1483" builtinId="9" hidden="1"/>
    <cellStyle name="Followed Hyperlink" xfId="2185" builtinId="9" hidden="1"/>
    <cellStyle name="Followed Hyperlink" xfId="2147" builtinId="9" hidden="1"/>
    <cellStyle name="Followed Hyperlink" xfId="2109" builtinId="9" hidden="1"/>
    <cellStyle name="Followed Hyperlink" xfId="2071" builtinId="9" hidden="1"/>
    <cellStyle name="Followed Hyperlink" xfId="2033" builtinId="9" hidden="1"/>
    <cellStyle name="Followed Hyperlink" xfId="6317" builtinId="9" hidden="1"/>
    <cellStyle name="Followed Hyperlink" xfId="1957" builtinId="9" hidden="1"/>
    <cellStyle name="Followed Hyperlink" xfId="3967" builtinId="9" hidden="1"/>
    <cellStyle name="Followed Hyperlink" xfId="1881" builtinId="9" hidden="1"/>
    <cellStyle name="Followed Hyperlink" xfId="1843" builtinId="9" hidden="1"/>
    <cellStyle name="Followed Hyperlink" xfId="1805" builtinId="9" hidden="1"/>
    <cellStyle name="Followed Hyperlink" xfId="1767" builtinId="9" hidden="1"/>
    <cellStyle name="Followed Hyperlink" xfId="7757" builtinId="9" hidden="1"/>
    <cellStyle name="Followed Hyperlink" xfId="1691" builtinId="9" hidden="1"/>
    <cellStyle name="Followed Hyperlink" xfId="3885" builtinId="9" hidden="1"/>
    <cellStyle name="Followed Hyperlink" xfId="1615" builtinId="9" hidden="1"/>
    <cellStyle name="Followed Hyperlink" xfId="1577" builtinId="9" hidden="1"/>
    <cellStyle name="Followed Hyperlink" xfId="6199" builtinId="9" hidden="1"/>
    <cellStyle name="Followed Hyperlink" xfId="5539" builtinId="9" hidden="1"/>
    <cellStyle name="Followed Hyperlink" xfId="1017" builtinId="9" hidden="1"/>
    <cellStyle name="Followed Hyperlink" xfId="7091" builtinId="9" hidden="1"/>
    <cellStyle name="Followed Hyperlink" xfId="1387" builtinId="9" hidden="1"/>
    <cellStyle name="Followed Hyperlink" xfId="7625" builtinId="9" hidden="1"/>
    <cellStyle name="Followed Hyperlink" xfId="4353" builtinId="9" hidden="1"/>
    <cellStyle name="Followed Hyperlink" xfId="1273" builtinId="9" hidden="1"/>
    <cellStyle name="Followed Hyperlink" xfId="6569" builtinId="9" hidden="1"/>
    <cellStyle name="Followed Hyperlink" xfId="1197" builtinId="9" hidden="1"/>
    <cellStyle name="Followed Hyperlink" xfId="1159" builtinId="9" hidden="1"/>
    <cellStyle name="Followed Hyperlink" xfId="1121" builtinId="9" hidden="1"/>
    <cellStyle name="Followed Hyperlink" xfId="1083" builtinId="9" hidden="1"/>
    <cellStyle name="Followed Hyperlink" xfId="3129" builtinId="9" hidden="1"/>
    <cellStyle name="Followed Hyperlink" xfId="4427" builtinId="9" hidden="1"/>
    <cellStyle name="Followed Hyperlink" xfId="969" builtinId="9" hidden="1"/>
    <cellStyle name="Followed Hyperlink" xfId="931" builtinId="9" hidden="1"/>
    <cellStyle name="Followed Hyperlink" xfId="893" builtinId="9" hidden="1"/>
    <cellStyle name="Followed Hyperlink" xfId="6671" builtinId="9" hidden="1"/>
    <cellStyle name="Followed Hyperlink" xfId="4597" builtinId="9" hidden="1"/>
    <cellStyle name="Followed Hyperlink" xfId="779" builtinId="9" hidden="1"/>
    <cellStyle name="Followed Hyperlink" xfId="4635" builtinId="9" hidden="1"/>
    <cellStyle name="Followed Hyperlink" xfId="6355" builtinId="9" hidden="1"/>
    <cellStyle name="Followed Hyperlink" xfId="5105" builtinId="9" hidden="1"/>
    <cellStyle name="Followed Hyperlink" xfId="3583" builtinId="9" hidden="1"/>
    <cellStyle name="Followed Hyperlink" xfId="3449" builtinId="9" hidden="1"/>
    <cellStyle name="Followed Hyperlink" xfId="550" builtinId="9" hidden="1"/>
    <cellStyle name="Followed Hyperlink" xfId="512" builtinId="9" hidden="1"/>
    <cellStyle name="Followed Hyperlink" xfId="474" builtinId="9" hidden="1"/>
    <cellStyle name="Followed Hyperlink" xfId="436" builtinId="9" hidden="1"/>
    <cellStyle name="Followed Hyperlink" xfId="448" builtinId="9" hidden="1"/>
    <cellStyle name="Followed Hyperlink" xfId="360" builtinId="9" hidden="1"/>
    <cellStyle name="Followed Hyperlink" xfId="322" builtinId="9" hidden="1"/>
    <cellStyle name="Followed Hyperlink" xfId="3495" builtinId="9" hidden="1"/>
    <cellStyle name="Followed Hyperlink" xfId="454" builtinId="9" hidden="1"/>
    <cellStyle name="Followed Hyperlink" xfId="208" builtinId="9" hidden="1"/>
    <cellStyle name="Followed Hyperlink" xfId="1415" builtinId="9" hidden="1"/>
    <cellStyle name="Followed Hyperlink" xfId="2243" builtinId="9" hidden="1"/>
    <cellStyle name="Followed Hyperlink" xfId="1151" builtinId="9" hidden="1"/>
    <cellStyle name="Followed Hyperlink" xfId="34" builtinId="9" hidden="1"/>
    <cellStyle name="Followed Hyperlink" xfId="2653" builtinId="9" hidden="1"/>
    <cellStyle name="Followed Hyperlink" xfId="28" builtinId="9" hidden="1"/>
    <cellStyle name="Followed Hyperlink" xfId="214" builtinId="9" hidden="1"/>
    <cellStyle name="Followed Hyperlink" xfId="20" builtinId="9" hidden="1"/>
    <cellStyle name="Followed Hyperlink" xfId="2963" builtinId="9" hidden="1"/>
    <cellStyle name="Followed Hyperlink" xfId="46" builtinId="9" hidden="1"/>
    <cellStyle name="Followed Hyperlink" xfId="7883" builtinId="9" hidden="1"/>
    <cellStyle name="Followed Hyperlink" xfId="116" builtinId="9" hidden="1"/>
    <cellStyle name="Followed Hyperlink" xfId="150" builtinId="9" hidden="1"/>
    <cellStyle name="Followed Hyperlink" xfId="192" builtinId="9" hidden="1"/>
    <cellStyle name="Followed Hyperlink" xfId="6555" builtinId="9" hidden="1"/>
    <cellStyle name="Followed Hyperlink" xfId="268" builtinId="9" hidden="1"/>
    <cellStyle name="Followed Hyperlink" xfId="306" builtinId="9" hidden="1"/>
    <cellStyle name="Followed Hyperlink" xfId="2913" builtinId="9" hidden="1"/>
    <cellStyle name="Followed Hyperlink" xfId="2303" builtinId="9" hidden="1"/>
    <cellStyle name="Followed Hyperlink" xfId="420" builtinId="9" hidden="1"/>
    <cellStyle name="Followed Hyperlink" xfId="458" builtinId="9" hidden="1"/>
    <cellStyle name="Followed Hyperlink" xfId="496" builtinId="9" hidden="1"/>
    <cellStyle name="Followed Hyperlink" xfId="2595" builtinId="9" hidden="1"/>
    <cellStyle name="Followed Hyperlink" xfId="5751" builtinId="9" hidden="1"/>
    <cellStyle name="Followed Hyperlink" xfId="611" builtinId="9" hidden="1"/>
    <cellStyle name="Followed Hyperlink" xfId="1541" builtinId="9" hidden="1"/>
    <cellStyle name="Followed Hyperlink" xfId="1105" builtinId="9" hidden="1"/>
    <cellStyle name="Followed Hyperlink" xfId="6969" builtinId="9" hidden="1"/>
    <cellStyle name="Followed Hyperlink" xfId="763" builtinId="9" hidden="1"/>
    <cellStyle name="Followed Hyperlink" xfId="6837" builtinId="9" hidden="1"/>
    <cellStyle name="Followed Hyperlink" xfId="5601" builtinId="9" hidden="1"/>
    <cellStyle name="Followed Hyperlink" xfId="52" builtinId="9" hidden="1"/>
    <cellStyle name="Followed Hyperlink" xfId="5087" builtinId="9" hidden="1"/>
    <cellStyle name="Followed Hyperlink" xfId="4233" builtinId="9" hidden="1"/>
    <cellStyle name="Followed Hyperlink" xfId="7401" builtinId="9" hidden="1"/>
    <cellStyle name="Followed Hyperlink" xfId="560" builtinId="9" hidden="1"/>
    <cellStyle name="Followed Hyperlink" xfId="1067" builtinId="9" hidden="1"/>
    <cellStyle name="Followed Hyperlink" xfId="2585" builtinId="9" hidden="1"/>
    <cellStyle name="Followed Hyperlink" xfId="953" builtinId="9" hidden="1"/>
    <cellStyle name="Followed Hyperlink" xfId="1497" builtinId="9" hidden="1"/>
    <cellStyle name="Followed Hyperlink" xfId="1479" builtinId="9" hidden="1"/>
    <cellStyle name="Followed Hyperlink" xfId="1257" builtinId="9" hidden="1"/>
    <cellStyle name="Followed Hyperlink" xfId="1295" builtinId="9" hidden="1"/>
    <cellStyle name="Followed Hyperlink" xfId="703" builtinId="9" hidden="1"/>
    <cellStyle name="Followed Hyperlink" xfId="1371" builtinId="9" hidden="1"/>
    <cellStyle name="Followed Hyperlink" xfId="5965" builtinId="9" hidden="1"/>
    <cellStyle name="Followed Hyperlink" xfId="1221" builtinId="9" hidden="1"/>
    <cellStyle name="Followed Hyperlink" xfId="4001" builtinId="9" hidden="1"/>
    <cellStyle name="Followed Hyperlink" xfId="1523" builtinId="9" hidden="1"/>
    <cellStyle name="Followed Hyperlink" xfId="1561" builtinId="9" hidden="1"/>
    <cellStyle name="Followed Hyperlink" xfId="5567" builtinId="9" hidden="1"/>
    <cellStyle name="Followed Hyperlink" xfId="1259" builtinId="9" hidden="1"/>
    <cellStyle name="Followed Hyperlink" xfId="2859" builtinId="9" hidden="1"/>
    <cellStyle name="Followed Hyperlink" xfId="1713" builtinId="9" hidden="1"/>
    <cellStyle name="Followed Hyperlink" xfId="7603" builtinId="9" hidden="1"/>
    <cellStyle name="Followed Hyperlink" xfId="1789" builtinId="9" hidden="1"/>
    <cellStyle name="Followed Hyperlink" xfId="1827" builtinId="9" hidden="1"/>
    <cellStyle name="Followed Hyperlink" xfId="1781" builtinId="9" hidden="1"/>
    <cellStyle name="Followed Hyperlink" xfId="1903" builtinId="9" hidden="1"/>
    <cellStyle name="Followed Hyperlink" xfId="1941" builtinId="9" hidden="1"/>
    <cellStyle name="Followed Hyperlink" xfId="1979" builtinId="9" hidden="1"/>
    <cellStyle name="Followed Hyperlink" xfId="2017" builtinId="9" hidden="1"/>
    <cellStyle name="Followed Hyperlink" xfId="3345" builtinId="9" hidden="1"/>
    <cellStyle name="Followed Hyperlink" xfId="4323" builtinId="9" hidden="1"/>
    <cellStyle name="Followed Hyperlink" xfId="1511" builtinId="9" hidden="1"/>
    <cellStyle name="Followed Hyperlink" xfId="2169" builtinId="9" hidden="1"/>
    <cellStyle name="Followed Hyperlink" xfId="2207" builtinId="9" hidden="1"/>
    <cellStyle name="Followed Hyperlink" xfId="1441" builtinId="9" hidden="1"/>
    <cellStyle name="Followed Hyperlink" xfId="5703" builtinId="9" hidden="1"/>
    <cellStyle name="Followed Hyperlink" xfId="1155" builtinId="9" hidden="1"/>
    <cellStyle name="Followed Hyperlink" xfId="2359" builtinId="9" hidden="1"/>
    <cellStyle name="Followed Hyperlink" xfId="2397" builtinId="9" hidden="1"/>
    <cellStyle name="Followed Hyperlink" xfId="2435" builtinId="9" hidden="1"/>
    <cellStyle name="Followed Hyperlink" xfId="2473" builtinId="9" hidden="1"/>
    <cellStyle name="Followed Hyperlink" xfId="2569" builtinId="9" hidden="1"/>
    <cellStyle name="Followed Hyperlink" xfId="2549" builtinId="9" hidden="1"/>
    <cellStyle name="Followed Hyperlink" xfId="6219" builtinId="9" hidden="1"/>
    <cellStyle name="Followed Hyperlink" xfId="4803" builtinId="9" hidden="1"/>
    <cellStyle name="Followed Hyperlink" xfId="2663" builtinId="9" hidden="1"/>
    <cellStyle name="Followed Hyperlink" xfId="2701" builtinId="9" hidden="1"/>
    <cellStyle name="Followed Hyperlink" xfId="2739" builtinId="9" hidden="1"/>
    <cellStyle name="Followed Hyperlink" xfId="4055" builtinId="9" hidden="1"/>
    <cellStyle name="Followed Hyperlink" xfId="3839" builtinId="9" hidden="1"/>
    <cellStyle name="Followed Hyperlink" xfId="2853" builtinId="9" hidden="1"/>
    <cellStyle name="Followed Hyperlink" xfId="2213" builtinId="9" hidden="1"/>
    <cellStyle name="Followed Hyperlink" xfId="3717" builtinId="9" hidden="1"/>
    <cellStyle name="Followed Hyperlink" xfId="4779" builtinId="9" hidden="1"/>
    <cellStyle name="Followed Hyperlink" xfId="3005" builtinId="9" hidden="1"/>
    <cellStyle name="Followed Hyperlink" xfId="3043" builtinId="9" hidden="1"/>
    <cellStyle name="Followed Hyperlink" xfId="3081" builtinId="9" hidden="1"/>
    <cellStyle name="Followed Hyperlink" xfId="3119" builtinId="9" hidden="1"/>
    <cellStyle name="Followed Hyperlink" xfId="1215" builtinId="9" hidden="1"/>
    <cellStyle name="Followed Hyperlink" xfId="4637" builtinId="9" hidden="1"/>
    <cellStyle name="Followed Hyperlink" xfId="3233" builtinId="9" hidden="1"/>
    <cellStyle name="Followed Hyperlink" xfId="486" builtinId="9" hidden="1"/>
    <cellStyle name="Followed Hyperlink" xfId="1919" builtinId="9" hidden="1"/>
    <cellStyle name="Followed Hyperlink" xfId="2461" builtinId="9" hidden="1"/>
    <cellStyle name="Followed Hyperlink" xfId="3385" builtinId="9" hidden="1"/>
    <cellStyle name="Followed Hyperlink" xfId="3423" builtinId="9" hidden="1"/>
    <cellStyle name="Followed Hyperlink" xfId="3461" builtinId="9" hidden="1"/>
    <cellStyle name="Followed Hyperlink" xfId="7803" builtinId="9" hidden="1"/>
    <cellStyle name="Followed Hyperlink" xfId="3537" builtinId="9" hidden="1"/>
    <cellStyle name="Followed Hyperlink" xfId="2661" builtinId="9" hidden="1"/>
    <cellStyle name="Followed Hyperlink" xfId="3613" builtinId="9" hidden="1"/>
    <cellStyle name="Followed Hyperlink" xfId="3651" builtinId="9" hidden="1"/>
    <cellStyle name="Followed Hyperlink" xfId="2043" builtinId="9" hidden="1"/>
    <cellStyle name="Followed Hyperlink" xfId="3727" builtinId="9" hidden="1"/>
    <cellStyle name="Followed Hyperlink" xfId="923" builtinId="9" hidden="1"/>
    <cellStyle name="Followed Hyperlink" xfId="4707" builtinId="9" hidden="1"/>
    <cellStyle name="Followed Hyperlink" xfId="5823" builtinId="9" hidden="1"/>
    <cellStyle name="Followed Hyperlink" xfId="5037" builtinId="9" hidden="1"/>
    <cellStyle name="Followed Hyperlink" xfId="3917" builtinId="9" hidden="1"/>
    <cellStyle name="Followed Hyperlink" xfId="7867" builtinId="9" hidden="1"/>
    <cellStyle name="Followed Hyperlink" xfId="6189" builtinId="9" hidden="1"/>
    <cellStyle name="Followed Hyperlink" xfId="5201" builtinId="9" hidden="1"/>
    <cellStyle name="Followed Hyperlink" xfId="4069" builtinId="9" hidden="1"/>
    <cellStyle name="Followed Hyperlink" xfId="4107" builtinId="9" hidden="1"/>
    <cellStyle name="Followed Hyperlink" xfId="5395" builtinId="9" hidden="1"/>
    <cellStyle name="Followed Hyperlink" xfId="4183" builtinId="9" hidden="1"/>
    <cellStyle name="Followed Hyperlink" xfId="6995" builtinId="9" hidden="1"/>
    <cellStyle name="Followed Hyperlink" xfId="6895" builtinId="9" hidden="1"/>
    <cellStyle name="Followed Hyperlink" xfId="4297" builtinId="9" hidden="1"/>
    <cellStyle name="Followed Hyperlink" xfId="4335" builtinId="9" hidden="1"/>
    <cellStyle name="Followed Hyperlink" xfId="4641" builtinId="9" hidden="1"/>
    <cellStyle name="Followed Hyperlink" xfId="4411" builtinId="9" hidden="1"/>
    <cellStyle name="Followed Hyperlink" xfId="174" builtinId="9" hidden="1"/>
    <cellStyle name="Followed Hyperlink" xfId="4747" builtinId="9" hidden="1"/>
    <cellStyle name="Followed Hyperlink" xfId="1361" builtinId="9" hidden="1"/>
    <cellStyle name="Followed Hyperlink" xfId="2929" builtinId="9" hidden="1"/>
    <cellStyle name="Followed Hyperlink" xfId="4853" builtinId="9" hidden="1"/>
    <cellStyle name="Followed Hyperlink" xfId="4639" builtinId="9" hidden="1"/>
    <cellStyle name="Followed Hyperlink" xfId="6647" builtinId="9" hidden="1"/>
    <cellStyle name="Followed Hyperlink" xfId="4715" builtinId="9" hidden="1"/>
    <cellStyle name="Followed Hyperlink" xfId="1865" builtinId="9" hidden="1"/>
    <cellStyle name="Followed Hyperlink" xfId="4791" builtinId="9" hidden="1"/>
    <cellStyle name="Followed Hyperlink" xfId="4829" builtinId="9" hidden="1"/>
    <cellStyle name="Followed Hyperlink" xfId="4867" builtinId="9" hidden="1"/>
    <cellStyle name="Followed Hyperlink" xfId="4905" builtinId="9" hidden="1"/>
    <cellStyle name="Followed Hyperlink" xfId="4251" builtinId="9" hidden="1"/>
    <cellStyle name="Followed Hyperlink" xfId="4981" builtinId="9" hidden="1"/>
    <cellStyle name="Followed Hyperlink" xfId="5019" builtinId="9" hidden="1"/>
    <cellStyle name="Followed Hyperlink" xfId="90" builtinId="9" hidden="1"/>
    <cellStyle name="Followed Hyperlink" xfId="5095" builtinId="9" hidden="1"/>
    <cellStyle name="Followed Hyperlink" xfId="5133" builtinId="9" hidden="1"/>
    <cellStyle name="Followed Hyperlink" xfId="1773" builtinId="9" hidden="1"/>
    <cellStyle name="Followed Hyperlink" xfId="5209" builtinId="9" hidden="1"/>
    <cellStyle name="Followed Hyperlink" xfId="498" builtinId="9" hidden="1"/>
    <cellStyle name="Followed Hyperlink" xfId="5285" builtinId="9" hidden="1"/>
    <cellStyle name="Followed Hyperlink" xfId="5323" builtinId="9" hidden="1"/>
    <cellStyle name="Followed Hyperlink" xfId="4117" builtinId="9" hidden="1"/>
    <cellStyle name="Followed Hyperlink" xfId="5399" builtinId="9" hidden="1"/>
    <cellStyle name="Followed Hyperlink" xfId="4567" builtinId="9" hidden="1"/>
    <cellStyle name="Followed Hyperlink" xfId="2791" builtinId="9" hidden="1"/>
    <cellStyle name="Followed Hyperlink" xfId="7751" builtinId="9" hidden="1"/>
    <cellStyle name="Followed Hyperlink" xfId="1247" builtinId="9" hidden="1"/>
    <cellStyle name="Followed Hyperlink" xfId="5589" builtinId="9" hidden="1"/>
    <cellStyle name="Followed Hyperlink" xfId="3983" builtinId="9" hidden="1"/>
    <cellStyle name="Followed Hyperlink" xfId="4361" builtinId="9" hidden="1"/>
    <cellStyle name="Followed Hyperlink" xfId="7487" builtinId="9" hidden="1"/>
    <cellStyle name="Followed Hyperlink" xfId="2205" builtinId="9" hidden="1"/>
    <cellStyle name="Followed Hyperlink" xfId="4357" builtinId="9" hidden="1"/>
    <cellStyle name="Followed Hyperlink" xfId="4085" builtinId="9" hidden="1"/>
    <cellStyle name="Followed Hyperlink" xfId="7417" builtinId="9" hidden="1"/>
    <cellStyle name="Followed Hyperlink" xfId="1595" builtinId="9" hidden="1"/>
    <cellStyle name="Followed Hyperlink" xfId="5931" builtinId="9" hidden="1"/>
    <cellStyle name="Followed Hyperlink" xfId="5969" builtinId="9" hidden="1"/>
    <cellStyle name="Followed Hyperlink" xfId="6007" builtinId="9" hidden="1"/>
    <cellStyle name="Followed Hyperlink" xfId="7377" builtinId="9" hidden="1"/>
    <cellStyle name="Followed Hyperlink" xfId="6083" builtinId="9" hidden="1"/>
    <cellStyle name="Followed Hyperlink" xfId="6121" builtinId="9" hidden="1"/>
    <cellStyle name="Followed Hyperlink" xfId="3655" builtinId="9" hidden="1"/>
    <cellStyle name="Followed Hyperlink" xfId="6197" builtinId="9" hidden="1"/>
    <cellStyle name="Followed Hyperlink" xfId="3597" builtinId="9" hidden="1"/>
    <cellStyle name="Followed Hyperlink" xfId="6273" builtinId="9" hidden="1"/>
    <cellStyle name="Followed Hyperlink" xfId="6311" builtinId="9" hidden="1"/>
    <cellStyle name="Followed Hyperlink" xfId="1673" builtinId="9" hidden="1"/>
    <cellStyle name="Followed Hyperlink" xfId="6387" builtinId="9" hidden="1"/>
    <cellStyle name="Followed Hyperlink" xfId="6425" builtinId="9" hidden="1"/>
    <cellStyle name="Followed Hyperlink" xfId="2419" builtinId="9" hidden="1"/>
    <cellStyle name="Followed Hyperlink" xfId="7707" builtinId="9" hidden="1"/>
    <cellStyle name="Followed Hyperlink" xfId="6539" builtinId="9" hidden="1"/>
    <cellStyle name="Followed Hyperlink" xfId="6577" builtinId="9" hidden="1"/>
    <cellStyle name="Followed Hyperlink" xfId="6615" builtinId="9" hidden="1"/>
    <cellStyle name="Followed Hyperlink" xfId="6653" builtinId="9" hidden="1"/>
    <cellStyle name="Followed Hyperlink" xfId="6691" builtinId="9" hidden="1"/>
    <cellStyle name="Followed Hyperlink" xfId="6157" builtinId="9" hidden="1"/>
    <cellStyle name="Followed Hyperlink" xfId="6767" builtinId="9" hidden="1"/>
    <cellStyle name="Followed Hyperlink" xfId="6367" builtinId="9" hidden="1"/>
    <cellStyle name="Followed Hyperlink" xfId="326" builtinId="9" hidden="1"/>
    <cellStyle name="Followed Hyperlink" xfId="6881" builtinId="9" hidden="1"/>
    <cellStyle name="Followed Hyperlink" xfId="809" builtinId="9" hidden="1"/>
    <cellStyle name="Followed Hyperlink" xfId="783" builtinId="9" hidden="1"/>
    <cellStyle name="Followed Hyperlink" xfId="7261" builtinId="9" hidden="1"/>
    <cellStyle name="Followed Hyperlink" xfId="885" builtinId="9" hidden="1"/>
    <cellStyle name="Followed Hyperlink" xfId="7051" builtinId="9" hidden="1"/>
    <cellStyle name="Followed Hyperlink" xfId="4365" builtinId="9" hidden="1"/>
    <cellStyle name="Followed Hyperlink" xfId="961" builtinId="9" hidden="1"/>
    <cellStyle name="Followed Hyperlink" xfId="999" builtinId="9" hidden="1"/>
    <cellStyle name="Followed Hyperlink" xfId="2723" builtinId="9" hidden="1"/>
    <cellStyle name="Followed Hyperlink" xfId="1037" builtinId="9" hidden="1"/>
    <cellStyle name="Followed Hyperlink" xfId="1075" builtinId="9" hidden="1"/>
    <cellStyle name="Followed Hyperlink" xfId="7033" builtinId="9" hidden="1"/>
    <cellStyle name="Followed Hyperlink" xfId="2223" builtinId="9" hidden="1"/>
    <cellStyle name="Followed Hyperlink" xfId="7167" builtinId="9" hidden="1"/>
    <cellStyle name="Followed Hyperlink" xfId="1813" builtinId="9" hidden="1"/>
    <cellStyle name="Followed Hyperlink" xfId="3137" builtinId="9" hidden="1"/>
    <cellStyle name="Followed Hyperlink" xfId="3559" builtinId="9" hidden="1"/>
    <cellStyle name="Followed Hyperlink" xfId="2503" builtinId="9" hidden="1"/>
    <cellStyle name="Followed Hyperlink" xfId="1085" builtinId="9" hidden="1"/>
    <cellStyle name="Followed Hyperlink" xfId="7071" builtinId="9" hidden="1"/>
    <cellStyle name="Followed Hyperlink" xfId="1711" builtinId="9" hidden="1"/>
    <cellStyle name="Followed Hyperlink" xfId="7223" builtinId="9" hidden="1"/>
    <cellStyle name="Followed Hyperlink" xfId="7299" builtinId="9" hidden="1"/>
    <cellStyle name="Followed Hyperlink" xfId="695" builtinId="9" hidden="1"/>
    <cellStyle name="Followed Hyperlink" xfId="5573" builtinId="9" hidden="1"/>
    <cellStyle name="Followed Hyperlink" xfId="733" builtinId="9" hidden="1"/>
    <cellStyle name="Followed Hyperlink" xfId="7029" builtinId="9" hidden="1"/>
    <cellStyle name="Followed Hyperlink" xfId="771" builtinId="9" hidden="1"/>
    <cellStyle name="Followed Hyperlink" xfId="5933" builtinId="9" hidden="1"/>
    <cellStyle name="Followed Hyperlink" xfId="7451" builtinId="9" hidden="1"/>
    <cellStyle name="Followed Hyperlink" xfId="829" builtinId="9" hidden="1"/>
    <cellStyle name="Followed Hyperlink" xfId="657" builtinId="9" hidden="1"/>
    <cellStyle name="Followed Hyperlink" xfId="619" builtinId="9" hidden="1"/>
    <cellStyle name="Followed Hyperlink" xfId="3281" builtinId="9" hidden="1"/>
    <cellStyle name="Hyperlink" xfId="5042" builtinId="8" hidden="1"/>
    <cellStyle name="Hyperlink" xfId="1222" builtinId="8" hidden="1"/>
    <cellStyle name="Hyperlink" xfId="3964" builtinId="8" hidden="1"/>
    <cellStyle name="Hyperlink" xfId="1652" builtinId="8" hidden="1"/>
    <cellStyle name="Hyperlink" xfId="2970" builtinId="8" hidden="1"/>
    <cellStyle name="Hyperlink" xfId="4058" builtinId="8" hidden="1"/>
    <cellStyle name="Hyperlink" xfId="2918" builtinId="8" hidden="1"/>
    <cellStyle name="Hyperlink" xfId="1630" builtinId="8" hidden="1"/>
    <cellStyle name="Hyperlink" xfId="3044" builtinId="8" hidden="1"/>
    <cellStyle name="Hyperlink" xfId="6744" builtinId="8" hidden="1"/>
    <cellStyle name="Hyperlink" xfId="1272" builtinId="8" hidden="1"/>
    <cellStyle name="Hyperlink" xfId="1912" builtinId="8" hidden="1"/>
    <cellStyle name="Hyperlink" xfId="4472" builtinId="8" hidden="1"/>
    <cellStyle name="Hyperlink" xfId="3920" builtinId="8" hidden="1"/>
    <cellStyle name="Hyperlink" xfId="2562" builtinId="8" hidden="1"/>
    <cellStyle name="Hyperlink" xfId="3974" builtinId="8" hidden="1"/>
    <cellStyle name="Hyperlink" xfId="4578" builtinId="8" hidden="1"/>
    <cellStyle name="Hyperlink" xfId="4898" builtinId="8" hidden="1"/>
    <cellStyle name="Hyperlink" xfId="4736" builtinId="8" hidden="1"/>
    <cellStyle name="Hyperlink" xfId="7132" builtinId="8" hidden="1"/>
    <cellStyle name="Hyperlink" xfId="99" builtinId="8" hidden="1"/>
    <cellStyle name="Hyperlink" xfId="3728" builtinId="8" hidden="1"/>
    <cellStyle name="Hyperlink" xfId="8184" builtinId="8" hidden="1"/>
    <cellStyle name="Hyperlink" xfId="1290" builtinId="8" hidden="1"/>
    <cellStyle name="Hyperlink" xfId="7668" builtinId="8" hidden="1"/>
    <cellStyle name="Hyperlink" xfId="1342" builtinId="8" hidden="1"/>
    <cellStyle name="Hyperlink" xfId="7616" builtinId="8" hidden="1"/>
    <cellStyle name="Hyperlink" xfId="2256" builtinId="8" hidden="1"/>
    <cellStyle name="Hyperlink" xfId="604" builtinId="8" hidden="1"/>
    <cellStyle name="Hyperlink" xfId="3194" builtinId="8" hidden="1"/>
    <cellStyle name="Hyperlink" xfId="7252" builtinId="8" hidden="1"/>
    <cellStyle name="Hyperlink" xfId="3700" builtinId="8" hidden="1"/>
    <cellStyle name="Hyperlink" xfId="8152" builtinId="8" hidden="1"/>
    <cellStyle name="Hyperlink" xfId="7872" builtinId="8" hidden="1"/>
    <cellStyle name="Hyperlink" xfId="3914" builtinId="8" hidden="1"/>
    <cellStyle name="Hyperlink" xfId="2468" builtinId="8" hidden="1"/>
    <cellStyle name="Hyperlink" xfId="1786" builtinId="8" hidden="1"/>
    <cellStyle name="Hyperlink" xfId="5138" builtinId="8" hidden="1"/>
    <cellStyle name="Hyperlink" xfId="5572" builtinId="8" hidden="1"/>
    <cellStyle name="Hyperlink" xfId="2124" builtinId="8" hidden="1"/>
    <cellStyle name="Hyperlink" xfId="6688" builtinId="8" hidden="1"/>
    <cellStyle name="Hyperlink" xfId="6358" builtinId="8" hidden="1"/>
    <cellStyle name="Hyperlink" xfId="5642" builtinId="8" hidden="1"/>
    <cellStyle name="Hyperlink" xfId="4156" builtinId="8" hidden="1"/>
    <cellStyle name="Hyperlink" xfId="3976" builtinId="8" hidden="1"/>
    <cellStyle name="Hyperlink" xfId="7178" builtinId="8" hidden="1"/>
    <cellStyle name="Hyperlink" xfId="3442" builtinId="8" hidden="1"/>
    <cellStyle name="Hyperlink" xfId="271" builtinId="8" hidden="1"/>
    <cellStyle name="Hyperlink" xfId="7432" builtinId="8" hidden="1"/>
    <cellStyle name="Hyperlink" xfId="6742" builtinId="8" hidden="1"/>
    <cellStyle name="Hyperlink" xfId="6348" builtinId="8" hidden="1"/>
    <cellStyle name="Hyperlink" xfId="1884" builtinId="8" hidden="1"/>
    <cellStyle name="Hyperlink" xfId="1694" builtinId="8" hidden="1"/>
    <cellStyle name="Hyperlink" xfId="461" builtinId="8" hidden="1"/>
    <cellStyle name="Hyperlink" xfId="976" builtinId="8" hidden="1"/>
    <cellStyle name="Hyperlink" xfId="4232" builtinId="8" hidden="1"/>
    <cellStyle name="Hyperlink" xfId="3908" builtinId="8" hidden="1"/>
    <cellStyle name="Hyperlink" xfId="6208" builtinId="8" hidden="1"/>
    <cellStyle name="Hyperlink" xfId="4660" builtinId="8" hidden="1"/>
    <cellStyle name="Hyperlink" xfId="5082" builtinId="8" hidden="1"/>
    <cellStyle name="Hyperlink" xfId="3468" builtinId="8" hidden="1"/>
    <cellStyle name="Hyperlink" xfId="6392" builtinId="8" hidden="1"/>
    <cellStyle name="Hyperlink" xfId="4826" builtinId="8" hidden="1"/>
    <cellStyle name="Hyperlink" xfId="3836" builtinId="8" hidden="1"/>
    <cellStyle name="Hyperlink" xfId="6500" builtinId="8" hidden="1"/>
    <cellStyle name="Hyperlink" xfId="3404" builtinId="8" hidden="1"/>
    <cellStyle name="Hyperlink" xfId="4402" builtinId="8" hidden="1"/>
    <cellStyle name="Hyperlink" xfId="6506" builtinId="8" hidden="1"/>
    <cellStyle name="Hyperlink" xfId="13" builtinId="8" hidden="1"/>
    <cellStyle name="Hyperlink" xfId="6884" builtinId="8" hidden="1"/>
    <cellStyle name="Hyperlink" xfId="3820" builtinId="8" hidden="1"/>
    <cellStyle name="Hyperlink" xfId="1976" builtinId="8" hidden="1"/>
    <cellStyle name="Hyperlink" xfId="6532" builtinId="8" hidden="1"/>
    <cellStyle name="Hyperlink" xfId="541" builtinId="8" hidden="1"/>
    <cellStyle name="Hyperlink" xfId="2584" builtinId="8" hidden="1"/>
    <cellStyle name="Hyperlink" xfId="51" builtinId="8" hidden="1"/>
    <cellStyle name="Hyperlink" xfId="1978" builtinId="8" hidden="1"/>
    <cellStyle name="Hyperlink" xfId="3862" builtinId="8" hidden="1"/>
    <cellStyle name="Hyperlink" xfId="5706" builtinId="8" hidden="1"/>
    <cellStyle name="Hyperlink" xfId="4274" builtinId="8" hidden="1"/>
    <cellStyle name="Hyperlink" xfId="7094" builtinId="8" hidden="1"/>
    <cellStyle name="Hyperlink" xfId="2396" builtinId="8" hidden="1"/>
    <cellStyle name="Hyperlink" xfId="4920" builtinId="8" hidden="1"/>
    <cellStyle name="Hyperlink" xfId="4940" builtinId="8" hidden="1"/>
    <cellStyle name="Hyperlink" xfId="3936" builtinId="8" hidden="1"/>
    <cellStyle name="Hyperlink" xfId="9" builtinId="8" hidden="1"/>
    <cellStyle name="Hyperlink" xfId="984" builtinId="8" hidden="1"/>
    <cellStyle name="Hyperlink" xfId="1070" builtinId="8" hidden="1"/>
    <cellStyle name="Hyperlink" xfId="6510" builtinId="8" hidden="1"/>
    <cellStyle name="Hyperlink" xfId="1240" builtinId="8" hidden="1"/>
    <cellStyle name="Hyperlink" xfId="1930" builtinId="8" hidden="1"/>
    <cellStyle name="Hyperlink" xfId="4202" builtinId="8" hidden="1"/>
    <cellStyle name="Hyperlink" xfId="7472" builtinId="8" hidden="1"/>
    <cellStyle name="Hyperlink" xfId="4590" builtinId="8" hidden="1"/>
    <cellStyle name="Hyperlink" xfId="998" builtinId="8" hidden="1"/>
    <cellStyle name="Hyperlink" xfId="7698" builtinId="8" hidden="1"/>
    <cellStyle name="Hyperlink" xfId="371" builtinId="8" hidden="1"/>
    <cellStyle name="Hyperlink" xfId="2122" builtinId="8" hidden="1"/>
    <cellStyle name="Hyperlink" xfId="1186" builtinId="8" hidden="1"/>
    <cellStyle name="Hyperlink" xfId="4154" builtinId="8" hidden="1"/>
    <cellStyle name="Hyperlink" xfId="4638" builtinId="8" hidden="1"/>
    <cellStyle name="Hyperlink" xfId="2688" builtinId="8" hidden="1"/>
    <cellStyle name="Hyperlink" xfId="2698" builtinId="8" hidden="1"/>
    <cellStyle name="Hyperlink" xfId="632" builtinId="8" hidden="1"/>
    <cellStyle name="Hyperlink" xfId="2384" builtinId="8" hidden="1"/>
    <cellStyle name="Hyperlink" xfId="7490" builtinId="8" hidden="1"/>
    <cellStyle name="Hyperlink" xfId="2802" builtinId="8" hidden="1"/>
    <cellStyle name="Hyperlink" xfId="2766" builtinId="8" hidden="1"/>
    <cellStyle name="Hyperlink" xfId="7086" builtinId="8" hidden="1"/>
    <cellStyle name="Hyperlink" xfId="4166" builtinId="8" hidden="1"/>
    <cellStyle name="Hyperlink" xfId="2862" builtinId="8" hidden="1"/>
    <cellStyle name="Hyperlink" xfId="5204" builtinId="8" hidden="1"/>
    <cellStyle name="Hyperlink" xfId="6038" builtinId="8" hidden="1"/>
    <cellStyle name="Hyperlink" xfId="6234" builtinId="8" hidden="1"/>
    <cellStyle name="Hyperlink" xfId="2206" builtinId="8" hidden="1"/>
    <cellStyle name="Hyperlink" xfId="231" builtinId="8" hidden="1"/>
    <cellStyle name="Hyperlink" xfId="2212" builtinId="8" hidden="1"/>
    <cellStyle name="Hyperlink" xfId="2328" builtinId="8" hidden="1"/>
    <cellStyle name="Hyperlink" xfId="7734" builtinId="8" hidden="1"/>
    <cellStyle name="Hyperlink" xfId="273" builtinId="8" hidden="1"/>
    <cellStyle name="Hyperlink" xfId="4020" builtinId="8" hidden="1"/>
    <cellStyle name="Hyperlink" xfId="6444" builtinId="8" hidden="1"/>
    <cellStyle name="Hyperlink" xfId="7040" builtinId="8" hidden="1"/>
    <cellStyle name="Hyperlink" xfId="2198" builtinId="8" hidden="1"/>
    <cellStyle name="Hyperlink" xfId="974" builtinId="8" hidden="1"/>
    <cellStyle name="Hyperlink" xfId="5832" builtinId="8" hidden="1"/>
    <cellStyle name="Hyperlink" xfId="2268" builtinId="8" hidden="1"/>
    <cellStyle name="Hyperlink" xfId="2284" builtinId="8" hidden="1"/>
    <cellStyle name="Hyperlink" xfId="1306" builtinId="8" hidden="1"/>
    <cellStyle name="Hyperlink" xfId="5234" builtinId="8" hidden="1"/>
    <cellStyle name="Hyperlink" xfId="7780" builtinId="8" hidden="1"/>
    <cellStyle name="Hyperlink" xfId="848" builtinId="8" hidden="1"/>
    <cellStyle name="Hyperlink" xfId="6356" builtinId="8" hidden="1"/>
    <cellStyle name="Hyperlink" xfId="4956" builtinId="8" hidden="1"/>
    <cellStyle name="Hyperlink" xfId="5734" builtinId="8" hidden="1"/>
    <cellStyle name="Hyperlink" xfId="533" builtinId="8" hidden="1"/>
    <cellStyle name="Hyperlink" xfId="2180" builtinId="8" hidden="1"/>
    <cellStyle name="Hyperlink" xfId="7158" builtinId="8" hidden="1"/>
    <cellStyle name="Hyperlink" xfId="792" builtinId="8" hidden="1"/>
    <cellStyle name="Hyperlink" xfId="5282" builtinId="8" hidden="1"/>
    <cellStyle name="Hyperlink" xfId="618" builtinId="8" hidden="1"/>
    <cellStyle name="Hyperlink" xfId="6290" builtinId="8" hidden="1"/>
    <cellStyle name="Hyperlink" xfId="694" builtinId="8" hidden="1"/>
    <cellStyle name="Hyperlink" xfId="2116" builtinId="8" hidden="1"/>
    <cellStyle name="Hyperlink" xfId="1430" builtinId="8" hidden="1"/>
    <cellStyle name="Hyperlink" xfId="6016" builtinId="8" hidden="1"/>
    <cellStyle name="Hyperlink" xfId="341" builtinId="8" hidden="1"/>
    <cellStyle name="Hyperlink" xfId="718" builtinId="8" hidden="1"/>
    <cellStyle name="Hyperlink" xfId="6702" builtinId="8" hidden="1"/>
    <cellStyle name="Hyperlink" xfId="385" builtinId="8" hidden="1"/>
    <cellStyle name="Hyperlink" xfId="8072" builtinId="8" hidden="1"/>
    <cellStyle name="Hyperlink" xfId="6102" builtinId="8" hidden="1"/>
    <cellStyle name="Hyperlink" xfId="7594" builtinId="8" hidden="1"/>
    <cellStyle name="Hyperlink" xfId="7460" builtinId="8" hidden="1"/>
    <cellStyle name="Hyperlink" xfId="852" builtinId="8" hidden="1"/>
    <cellStyle name="Hyperlink" xfId="6254" builtinId="8" hidden="1"/>
    <cellStyle name="Hyperlink" xfId="4774" builtinId="8" hidden="1"/>
    <cellStyle name="Hyperlink" xfId="5560" builtinId="8" hidden="1"/>
    <cellStyle name="Hyperlink" xfId="4358" builtinId="8" hidden="1"/>
    <cellStyle name="Hyperlink" xfId="2434" builtinId="8" hidden="1"/>
    <cellStyle name="Hyperlink" xfId="3758" builtinId="8" hidden="1"/>
    <cellStyle name="Hyperlink" xfId="5246" builtinId="8" hidden="1"/>
    <cellStyle name="Hyperlink" xfId="7580" builtinId="8" hidden="1"/>
    <cellStyle name="Hyperlink" xfId="6112" builtinId="8" hidden="1"/>
    <cellStyle name="Hyperlink" xfId="4236" builtinId="8" hidden="1"/>
    <cellStyle name="Hyperlink" xfId="1524" builtinId="8" hidden="1"/>
    <cellStyle name="Hyperlink" xfId="1532" builtinId="8" hidden="1"/>
    <cellStyle name="Hyperlink" xfId="3440" builtinId="8" hidden="1"/>
    <cellStyle name="Hyperlink" xfId="1438" builtinId="8" hidden="1"/>
    <cellStyle name="Hyperlink" xfId="1618" builtinId="8" hidden="1"/>
    <cellStyle name="Hyperlink" xfId="7334" builtinId="8" hidden="1"/>
    <cellStyle name="Hyperlink" xfId="6462" builtinId="8" hidden="1"/>
    <cellStyle name="Hyperlink" xfId="1504" builtinId="8" hidden="1"/>
    <cellStyle name="Hyperlink" xfId="7266" builtinId="8" hidden="1"/>
    <cellStyle name="Hyperlink" xfId="351" builtinId="8" hidden="1"/>
    <cellStyle name="Hyperlink" xfId="5302" builtinId="8" hidden="1"/>
    <cellStyle name="Hyperlink" xfId="5254" builtinId="8" hidden="1"/>
    <cellStyle name="Hyperlink" xfId="692" builtinId="8" hidden="1"/>
    <cellStyle name="Hyperlink" xfId="764" builtinId="8" hidden="1"/>
    <cellStyle name="Hyperlink" xfId="6080" builtinId="8" hidden="1"/>
    <cellStyle name="Hyperlink" xfId="796" builtinId="8" hidden="1"/>
    <cellStyle name="Hyperlink" xfId="5316" builtinId="8" hidden="1"/>
    <cellStyle name="Hyperlink" xfId="6738" builtinId="8" hidden="1"/>
    <cellStyle name="Hyperlink" xfId="1750" builtinId="8" hidden="1"/>
    <cellStyle name="Hyperlink" xfId="932" builtinId="8" hidden="1"/>
    <cellStyle name="Hyperlink" xfId="2018" builtinId="8" hidden="1"/>
    <cellStyle name="Hyperlink" xfId="3252" builtinId="8" hidden="1"/>
    <cellStyle name="Hyperlink" xfId="4280" builtinId="8" hidden="1"/>
    <cellStyle name="Hyperlink" xfId="281" builtinId="8" hidden="1"/>
    <cellStyle name="Hyperlink" xfId="1146" builtinId="8" hidden="1"/>
    <cellStyle name="Hyperlink" xfId="1548" builtinId="8" hidden="1"/>
    <cellStyle name="Hyperlink" xfId="5702" builtinId="8" hidden="1"/>
    <cellStyle name="Hyperlink" xfId="3396" builtinId="8" hidden="1"/>
    <cellStyle name="Hyperlink" xfId="457" builtinId="8" hidden="1"/>
    <cellStyle name="Hyperlink" xfId="7832" builtinId="8" hidden="1"/>
    <cellStyle name="Hyperlink" xfId="3532" builtinId="8" hidden="1"/>
    <cellStyle name="Hyperlink" xfId="1700" builtinId="8" hidden="1"/>
    <cellStyle name="Hyperlink" xfId="912" builtinId="8" hidden="1"/>
    <cellStyle name="Hyperlink" xfId="7204" builtinId="8" hidden="1"/>
    <cellStyle name="Hyperlink" xfId="1018" builtinId="8" hidden="1"/>
    <cellStyle name="Hyperlink" xfId="3124" builtinId="8" hidden="1"/>
    <cellStyle name="Hyperlink" xfId="429" builtinId="8" hidden="1"/>
    <cellStyle name="Hyperlink" xfId="5814" builtinId="8" hidden="1"/>
    <cellStyle name="Hyperlink" xfId="2222" builtinId="8" hidden="1"/>
    <cellStyle name="Hyperlink" xfId="1536" builtinId="8" hidden="1"/>
    <cellStyle name="Hyperlink" xfId="69" builtinId="8" hidden="1"/>
    <cellStyle name="Hyperlink" xfId="6312" builtinId="8" hidden="1"/>
    <cellStyle name="Hyperlink" xfId="3046" builtinId="8" hidden="1"/>
    <cellStyle name="Hyperlink" xfId="419" builtinId="8" hidden="1"/>
    <cellStyle name="Hyperlink" xfId="393" builtinId="8" hidden="1"/>
    <cellStyle name="Hyperlink" xfId="6414" builtinId="8" hidden="1"/>
    <cellStyle name="Hyperlink" xfId="6610" builtinId="8" hidden="1"/>
    <cellStyle name="Hyperlink" xfId="1198" builtinId="8" hidden="1"/>
    <cellStyle name="Hyperlink" xfId="1262" builtinId="8" hidden="1"/>
    <cellStyle name="Hyperlink" xfId="5286" builtinId="8" hidden="1"/>
    <cellStyle name="Hyperlink" xfId="2272" builtinId="8" hidden="1"/>
    <cellStyle name="Hyperlink" xfId="1254" builtinId="8" hidden="1"/>
    <cellStyle name="Hyperlink" xfId="521" builtinId="8" hidden="1"/>
    <cellStyle name="Hyperlink" xfId="4626" builtinId="8" hidden="1"/>
    <cellStyle name="Hyperlink" xfId="6988" builtinId="8" hidden="1"/>
    <cellStyle name="Hyperlink" xfId="2148" builtinId="8" hidden="1"/>
    <cellStyle name="Hyperlink" xfId="5132" builtinId="8" hidden="1"/>
    <cellStyle name="Hyperlink" xfId="447" builtinId="8" hidden="1"/>
    <cellStyle name="Hyperlink" xfId="6966" builtinId="8" hidden="1"/>
    <cellStyle name="Hyperlink" xfId="890" builtinId="8" hidden="1"/>
    <cellStyle name="Hyperlink" xfId="7596" builtinId="8" hidden="1"/>
    <cellStyle name="Hyperlink" xfId="4396" builtinId="8" hidden="1"/>
    <cellStyle name="Hyperlink" xfId="125" builtinId="8" hidden="1"/>
    <cellStyle name="Hyperlink" xfId="4394" builtinId="8" hidden="1"/>
    <cellStyle name="Hyperlink" xfId="8036" builtinId="8" hidden="1"/>
    <cellStyle name="Hyperlink" xfId="1496" builtinId="8" hidden="1"/>
    <cellStyle name="Hyperlink" xfId="2724" builtinId="8" hidden="1"/>
    <cellStyle name="Hyperlink" xfId="7760" builtinId="8" hidden="1"/>
    <cellStyle name="Hyperlink" xfId="4664" builtinId="8" hidden="1"/>
    <cellStyle name="Hyperlink" xfId="6960" builtinId="8" hidden="1"/>
    <cellStyle name="Hyperlink" xfId="4380" builtinId="8" hidden="1"/>
    <cellStyle name="Hyperlink" xfId="1828" builtinId="8" hidden="1"/>
    <cellStyle name="Hyperlink" xfId="4356" builtinId="8" hidden="1"/>
    <cellStyle name="Hyperlink" xfId="2928" builtinId="8" hidden="1"/>
    <cellStyle name="Hyperlink" xfId="4846" builtinId="8" hidden="1"/>
    <cellStyle name="Hyperlink" xfId="5474" builtinId="8" hidden="1"/>
    <cellStyle name="Hyperlink" xfId="8098" builtinId="8" hidden="1"/>
    <cellStyle name="Hyperlink" xfId="5376" builtinId="8" hidden="1"/>
    <cellStyle name="Hyperlink" xfId="958" builtinId="8" hidden="1"/>
    <cellStyle name="Hyperlink" xfId="2734" builtinId="8" hidden="1"/>
    <cellStyle name="Hyperlink" xfId="5752" builtinId="8" hidden="1"/>
    <cellStyle name="Hyperlink" xfId="1710" builtinId="8" hidden="1"/>
    <cellStyle name="Hyperlink" xfId="2368" builtinId="8" hidden="1"/>
    <cellStyle name="Hyperlink" xfId="4238" builtinId="8" hidden="1"/>
    <cellStyle name="Hyperlink" xfId="3696" builtinId="8" hidden="1"/>
    <cellStyle name="Hyperlink" xfId="996" builtinId="8" hidden="1"/>
    <cellStyle name="Hyperlink" xfId="3454" builtinId="8" hidden="1"/>
    <cellStyle name="Hyperlink" xfId="2712" builtinId="8" hidden="1"/>
    <cellStyle name="Hyperlink" xfId="5052" builtinId="8" hidden="1"/>
    <cellStyle name="Hyperlink" xfId="2442" builtinId="8" hidden="1"/>
    <cellStyle name="Hyperlink" xfId="7630" builtinId="8" hidden="1"/>
    <cellStyle name="Hyperlink" xfId="836" builtinId="8" hidden="1"/>
    <cellStyle name="Hyperlink" xfId="6480" builtinId="8" hidden="1"/>
    <cellStyle name="Hyperlink" xfId="2618" builtinId="8" hidden="1"/>
    <cellStyle name="Hyperlink" xfId="7830" builtinId="8" hidden="1"/>
    <cellStyle name="Hyperlink" xfId="6420" builtinId="8" hidden="1"/>
    <cellStyle name="Hyperlink" xfId="7290" builtinId="8" hidden="1"/>
    <cellStyle name="Hyperlink" xfId="3274" builtinId="8" hidden="1"/>
    <cellStyle name="Hyperlink" xfId="1560" builtinId="8" hidden="1"/>
    <cellStyle name="Hyperlink" xfId="2620" builtinId="8" hidden="1"/>
    <cellStyle name="Hyperlink" xfId="5552" builtinId="8" hidden="1"/>
    <cellStyle name="Hyperlink" xfId="2852" builtinId="8" hidden="1"/>
    <cellStyle name="Hyperlink" xfId="3928" builtinId="8" hidden="1"/>
    <cellStyle name="Hyperlink" xfId="4992" builtinId="8" hidden="1"/>
    <cellStyle name="Hyperlink" xfId="2556" builtinId="8" hidden="1"/>
    <cellStyle name="Hyperlink" xfId="6068" builtinId="8" hidden="1"/>
    <cellStyle name="Hyperlink" xfId="7066" builtinId="8" hidden="1"/>
    <cellStyle name="Hyperlink" xfId="2496" builtinId="8" hidden="1"/>
    <cellStyle name="Hyperlink" xfId="4952" builtinId="8" hidden="1"/>
    <cellStyle name="Hyperlink" xfId="7306" builtinId="8" hidden="1"/>
    <cellStyle name="Hyperlink" xfId="6934" builtinId="8" hidden="1"/>
    <cellStyle name="Hyperlink" xfId="3036" builtinId="8" hidden="1"/>
    <cellStyle name="Hyperlink" xfId="3078" builtinId="8" hidden="1"/>
    <cellStyle name="Hyperlink" xfId="4266" builtinId="8" hidden="1"/>
    <cellStyle name="Hyperlink" xfId="5726" builtinId="8" hidden="1"/>
    <cellStyle name="Hyperlink" xfId="7756" builtinId="8" hidden="1"/>
    <cellStyle name="Hyperlink" xfId="3076" builtinId="8" hidden="1"/>
    <cellStyle name="Hyperlink" xfId="3268" builtinId="8" hidden="1"/>
    <cellStyle name="Hyperlink" xfId="5232" builtinId="8" hidden="1"/>
    <cellStyle name="Hyperlink" xfId="4212" builtinId="8" hidden="1"/>
    <cellStyle name="Hyperlink" xfId="3962" builtinId="8" hidden="1"/>
    <cellStyle name="Hyperlink" xfId="1614" builtinId="8" hidden="1"/>
    <cellStyle name="Hyperlink" xfId="5092" builtinId="8" hidden="1"/>
    <cellStyle name="Hyperlink" xfId="7944" builtinId="8" hidden="1"/>
    <cellStyle name="Hyperlink" xfId="4158" builtinId="8" hidden="1"/>
    <cellStyle name="Hyperlink" xfId="8024" builtinId="8" hidden="1"/>
    <cellStyle name="Hyperlink" xfId="1712" builtinId="8" hidden="1"/>
    <cellStyle name="Hyperlink" xfId="1610" builtinId="8" hidden="1"/>
    <cellStyle name="Hyperlink" xfId="1212" builtinId="8" hidden="1"/>
    <cellStyle name="Hyperlink" xfId="5020" builtinId="8" hidden="1"/>
    <cellStyle name="Hyperlink" xfId="7896" builtinId="8" hidden="1"/>
    <cellStyle name="Hyperlink" xfId="1856" builtinId="8" hidden="1"/>
    <cellStyle name="Hyperlink" xfId="5212" builtinId="8" hidden="1"/>
    <cellStyle name="Hyperlink" xfId="600" builtinId="8" hidden="1"/>
    <cellStyle name="Hyperlink" xfId="696" builtinId="8" hidden="1"/>
    <cellStyle name="Hyperlink" xfId="3994" builtinId="8" hidden="1"/>
    <cellStyle name="Hyperlink" xfId="81" builtinId="8" hidden="1"/>
    <cellStyle name="Hyperlink" xfId="968" builtinId="8" hidden="1"/>
    <cellStyle name="Hyperlink" xfId="285" builtinId="8" hidden="1"/>
    <cellStyle name="Hyperlink" xfId="417" builtinId="8" hidden="1"/>
    <cellStyle name="Hyperlink" xfId="8090" builtinId="8" hidden="1"/>
    <cellStyle name="Hyperlink" xfId="6174" builtinId="8" hidden="1"/>
    <cellStyle name="Hyperlink" xfId="3244" builtinId="8" hidden="1"/>
    <cellStyle name="Hyperlink" xfId="475" builtinId="8" hidden="1"/>
    <cellStyle name="Hyperlink" xfId="2162" builtinId="8" hidden="1"/>
    <cellStyle name="Hyperlink" xfId="616" builtinId="8" hidden="1"/>
    <cellStyle name="Hyperlink" xfId="3514" builtinId="8" hidden="1"/>
    <cellStyle name="Hyperlink" xfId="1948" builtinId="8" hidden="1"/>
    <cellStyle name="Hyperlink" xfId="2192" builtinId="8" hidden="1"/>
    <cellStyle name="Hyperlink" xfId="6668" builtinId="8" hidden="1"/>
    <cellStyle name="Hyperlink" xfId="7908" builtinId="8" hidden="1"/>
    <cellStyle name="Hyperlink" xfId="91" builtinId="8" hidden="1"/>
    <cellStyle name="Hyperlink" xfId="3166" builtinId="8" hidden="1"/>
    <cellStyle name="Hyperlink" xfId="1888" builtinId="8" hidden="1"/>
    <cellStyle name="Hyperlink" xfId="4350" builtinId="8" hidden="1"/>
    <cellStyle name="Hyperlink" xfId="3606" builtinId="8" hidden="1"/>
    <cellStyle name="Hyperlink" xfId="4016" builtinId="8" hidden="1"/>
    <cellStyle name="Hyperlink" xfId="1382" builtinId="8" hidden="1"/>
    <cellStyle name="Hyperlink" xfId="8006" builtinId="8" hidden="1"/>
    <cellStyle name="Hyperlink" xfId="1844" builtinId="8" hidden="1"/>
    <cellStyle name="Hyperlink" xfId="938" builtinId="8" hidden="1"/>
    <cellStyle name="Hyperlink" xfId="4220" builtinId="8" hidden="1"/>
    <cellStyle name="Hyperlink" xfId="3588" builtinId="8" hidden="1"/>
    <cellStyle name="Hyperlink" xfId="1172" builtinId="8" hidden="1"/>
    <cellStyle name="Hyperlink" xfId="5940" builtinId="8" hidden="1"/>
    <cellStyle name="Hyperlink" xfId="5548" builtinId="8" hidden="1"/>
    <cellStyle name="Hyperlink" xfId="7480" builtinId="8" hidden="1"/>
    <cellStyle name="Hyperlink" xfId="3878" builtinId="8" hidden="1"/>
    <cellStyle name="Hyperlink" xfId="800" builtinId="8" hidden="1"/>
    <cellStyle name="Hyperlink" xfId="5278" builtinId="8" hidden="1"/>
    <cellStyle name="Hyperlink" xfId="1464" builtinId="8" hidden="1"/>
    <cellStyle name="Hyperlink" xfId="7256" builtinId="8" hidden="1"/>
    <cellStyle name="Hyperlink" xfId="4136" builtinId="8" hidden="1"/>
    <cellStyle name="Hyperlink" xfId="6852" builtinId="8" hidden="1"/>
    <cellStyle name="Hyperlink" xfId="7500" builtinId="8" hidden="1"/>
    <cellStyle name="Hyperlink" xfId="5798" builtinId="8" hidden="1"/>
    <cellStyle name="Hyperlink" xfId="257" builtinId="8" hidden="1"/>
    <cellStyle name="Hyperlink" xfId="7778" builtinId="8" hidden="1"/>
    <cellStyle name="Hyperlink" xfId="2478" builtinId="8" hidden="1"/>
    <cellStyle name="Hyperlink" xfId="2974" builtinId="8" hidden="1"/>
    <cellStyle name="Hyperlink" xfId="261" builtinId="8" hidden="1"/>
    <cellStyle name="Hyperlink" xfId="6300" builtinId="8" hidden="1"/>
    <cellStyle name="Hyperlink" xfId="5298" builtinId="8" hidden="1"/>
    <cellStyle name="Hyperlink" xfId="7946" builtinId="8" hidden="1"/>
    <cellStyle name="Hyperlink" xfId="746" builtinId="8" hidden="1"/>
    <cellStyle name="Hyperlink" xfId="4860" builtinId="8" hidden="1"/>
    <cellStyle name="Hyperlink" xfId="672" builtinId="8" hidden="1"/>
    <cellStyle name="Hyperlink" xfId="4694" builtinId="8" hidden="1"/>
    <cellStyle name="Hyperlink" xfId="4762" builtinId="8" hidden="1"/>
    <cellStyle name="Hyperlink" xfId="3332" builtinId="8" hidden="1"/>
    <cellStyle name="Hyperlink" xfId="2460" builtinId="8" hidden="1"/>
    <cellStyle name="Hyperlink" xfId="5916" builtinId="8" hidden="1"/>
    <cellStyle name="Hyperlink" xfId="303" builtinId="8" hidden="1"/>
    <cellStyle name="Hyperlink" xfId="1452" builtinId="8" hidden="1"/>
    <cellStyle name="Hyperlink" xfId="6408" builtinId="8" hidden="1"/>
    <cellStyle name="Hyperlink" xfId="7874" builtinId="8" hidden="1"/>
    <cellStyle name="Hyperlink" xfId="1456" builtinId="8" hidden="1"/>
    <cellStyle name="Hyperlink" xfId="728" builtinId="8" hidden="1"/>
    <cellStyle name="Hyperlink" xfId="2464" builtinId="8" hidden="1"/>
    <cellStyle name="Hyperlink" xfId="678" builtinId="8" hidden="1"/>
    <cellStyle name="Hyperlink" xfId="455" builtinId="8" hidden="1"/>
    <cellStyle name="Hyperlink" xfId="1628" builtinId="8" hidden="1"/>
    <cellStyle name="Hyperlink" xfId="1968" builtinId="8" hidden="1"/>
    <cellStyle name="Hyperlink" xfId="6078" builtinId="8" hidden="1"/>
    <cellStyle name="Hyperlink" xfId="4234" builtinId="8" hidden="1"/>
    <cellStyle name="Hyperlink" xfId="640" builtinId="8" hidden="1"/>
    <cellStyle name="Hyperlink" xfId="2684" builtinId="8" hidden="1"/>
    <cellStyle name="Hyperlink" xfId="786" builtinId="8" hidden="1"/>
    <cellStyle name="Hyperlink" xfId="7232" builtinId="8" hidden="1"/>
    <cellStyle name="Hyperlink" xfId="1150" builtinId="8" hidden="1"/>
    <cellStyle name="Hyperlink" xfId="4864" builtinId="8" hidden="1"/>
    <cellStyle name="Hyperlink" xfId="571" builtinId="8" hidden="1"/>
    <cellStyle name="Hyperlink" xfId="2738" builtinId="8" hidden="1"/>
    <cellStyle name="Hyperlink" xfId="6822" builtinId="8" hidden="1"/>
    <cellStyle name="Hyperlink" xfId="920" builtinId="8" hidden="1"/>
    <cellStyle name="Hyperlink" xfId="3940" builtinId="8" hidden="1"/>
    <cellStyle name="Hyperlink" xfId="5186" builtinId="8" hidden="1"/>
    <cellStyle name="Hyperlink" xfId="3034" builtinId="8" hidden="1"/>
    <cellStyle name="Hyperlink" xfId="6204" builtinId="8" hidden="1"/>
    <cellStyle name="Hyperlink" xfId="4610" builtinId="8" hidden="1"/>
    <cellStyle name="Hyperlink" xfId="1330" builtinId="8" hidden="1"/>
    <cellStyle name="Hyperlink" xfId="5466" builtinId="8" hidden="1"/>
    <cellStyle name="Hyperlink" xfId="259" builtinId="8" hidden="1"/>
    <cellStyle name="Hyperlink" xfId="780" builtinId="8" hidden="1"/>
    <cellStyle name="Hyperlink" xfId="5268" builtinId="8" hidden="1"/>
    <cellStyle name="Hyperlink" xfId="5890" builtinId="8" hidden="1"/>
    <cellStyle name="Hyperlink" xfId="952" builtinId="8" hidden="1"/>
    <cellStyle name="Hyperlink" xfId="1458" builtinId="8" hidden="1"/>
    <cellStyle name="Hyperlink" xfId="219" builtinId="8" hidden="1"/>
    <cellStyle name="Hyperlink" xfId="7196" builtinId="8" hidden="1"/>
    <cellStyle name="Hyperlink" xfId="5892" builtinId="8" hidden="1"/>
    <cellStyle name="Hyperlink" xfId="5342" builtinId="8" hidden="1"/>
    <cellStyle name="Hyperlink" xfId="4094" builtinId="8" hidden="1"/>
    <cellStyle name="Hyperlink" xfId="2572" builtinId="8" hidden="1"/>
    <cellStyle name="Hyperlink" xfId="2524" builtinId="8" hidden="1"/>
    <cellStyle name="Hyperlink" xfId="5256" builtinId="8" hidden="1"/>
    <cellStyle name="Hyperlink" xfId="6864" builtinId="8" hidden="1"/>
    <cellStyle name="Hyperlink" xfId="5428" builtinId="8" hidden="1"/>
    <cellStyle name="Hyperlink" xfId="3300" builtinId="8" hidden="1"/>
    <cellStyle name="Hyperlink" xfId="1258" builtinId="8" hidden="1"/>
    <cellStyle name="Hyperlink" xfId="5782" builtinId="8" hidden="1"/>
    <cellStyle name="Hyperlink" xfId="7126" builtinId="8" hidden="1"/>
    <cellStyle name="Hyperlink" xfId="8174" builtinId="8" hidden="1"/>
    <cellStyle name="Hyperlink" xfId="7626" builtinId="8" hidden="1"/>
    <cellStyle name="Hyperlink" xfId="5558" builtinId="8" hidden="1"/>
    <cellStyle name="Hyperlink" xfId="4954" builtinId="8" hidden="1"/>
    <cellStyle name="Hyperlink" xfId="5012" builtinId="8" hidden="1"/>
    <cellStyle name="Hyperlink" xfId="4566" builtinId="8" hidden="1"/>
    <cellStyle name="Hyperlink" xfId="4658" builtinId="8" hidden="1"/>
    <cellStyle name="Hyperlink" xfId="1284" builtinId="8" hidden="1"/>
    <cellStyle name="Hyperlink" xfId="7730" builtinId="8" hidden="1"/>
    <cellStyle name="Hyperlink" xfId="2316" builtinId="8" hidden="1"/>
    <cellStyle name="Hyperlink" xfId="3584" builtinId="8" hidden="1"/>
    <cellStyle name="Hyperlink" xfId="6198" builtinId="8" hidden="1"/>
    <cellStyle name="Hyperlink" xfId="6054" builtinId="8" hidden="1"/>
    <cellStyle name="Hyperlink" xfId="4374" builtinId="8" hidden="1"/>
    <cellStyle name="Hyperlink" xfId="8140" builtinId="8" hidden="1"/>
    <cellStyle name="Hyperlink" xfId="6932" builtinId="8" hidden="1"/>
    <cellStyle name="Hyperlink" xfId="6614" builtinId="8" hidden="1"/>
    <cellStyle name="Hyperlink" xfId="832" builtinId="8" hidden="1"/>
    <cellStyle name="Hyperlink" xfId="966" builtinId="8" hidden="1"/>
    <cellStyle name="Hyperlink" xfId="3386" builtinId="8" hidden="1"/>
    <cellStyle name="Hyperlink" xfId="2686" builtinId="8" hidden="1"/>
    <cellStyle name="Hyperlink" xfId="37" builtinId="8" hidden="1"/>
    <cellStyle name="Hyperlink" xfId="4670" builtinId="8" hidden="1"/>
    <cellStyle name="Hyperlink" xfId="5802" builtinId="8" hidden="1"/>
    <cellStyle name="Hyperlink" xfId="553" builtinId="8" hidden="1"/>
    <cellStyle name="Hyperlink" xfId="5236" builtinId="8" hidden="1"/>
    <cellStyle name="Hyperlink" xfId="6846" builtinId="8" hidden="1"/>
    <cellStyle name="Hyperlink" xfId="7044" builtinId="8" hidden="1"/>
    <cellStyle name="Hyperlink" xfId="5058" builtinId="8" hidden="1"/>
    <cellStyle name="Hyperlink" xfId="1832" builtinId="8" hidden="1"/>
    <cellStyle name="Hyperlink" xfId="6160" builtinId="8" hidden="1"/>
    <cellStyle name="Hyperlink" xfId="4256" builtinId="8" hidden="1"/>
    <cellStyle name="Hyperlink" xfId="3170" builtinId="8" hidden="1"/>
    <cellStyle name="Hyperlink" xfId="1200" builtinId="8" hidden="1"/>
    <cellStyle name="Hyperlink" xfId="31" builtinId="8" hidden="1"/>
    <cellStyle name="Hyperlink" xfId="4030" builtinId="8" hidden="1"/>
    <cellStyle name="Hyperlink" xfId="7740" builtinId="8" hidden="1"/>
    <cellStyle name="Hyperlink" xfId="3990" builtinId="8" hidden="1"/>
    <cellStyle name="Hyperlink" xfId="5758" builtinId="8" hidden="1"/>
    <cellStyle name="Hyperlink" xfId="6746" builtinId="8" hidden="1"/>
    <cellStyle name="Hyperlink" xfId="896" builtinId="8" hidden="1"/>
    <cellStyle name="Hyperlink" xfId="255" builtinId="8" hidden="1"/>
    <cellStyle name="Hyperlink" xfId="5208" builtinId="8" hidden="1"/>
    <cellStyle name="Hyperlink" xfId="5952" builtinId="8" hidden="1"/>
    <cellStyle name="Hyperlink" xfId="7714" builtinId="8" hidden="1"/>
    <cellStyle name="Hyperlink" xfId="549" builtinId="8" hidden="1"/>
    <cellStyle name="Hyperlink" xfId="6782" builtinId="8" hidden="1"/>
    <cellStyle name="Hyperlink" xfId="6790" builtinId="8" hidden="1"/>
    <cellStyle name="Hyperlink" xfId="1744" builtinId="8" hidden="1"/>
    <cellStyle name="Hyperlink" xfId="483" builtinId="8" hidden="1"/>
    <cellStyle name="Hyperlink" xfId="5568" builtinId="8" hidden="1"/>
    <cellStyle name="Hyperlink" xfId="7254" builtinId="8" hidden="1"/>
    <cellStyle name="Hyperlink" xfId="4298" builtinId="8" hidden="1"/>
    <cellStyle name="Hyperlink" xfId="6504" builtinId="8" hidden="1"/>
    <cellStyle name="Hyperlink" xfId="1640" builtinId="8" hidden="1"/>
    <cellStyle name="Hyperlink" xfId="7938" builtinId="8" hidden="1"/>
    <cellStyle name="Hyperlink" xfId="4434" builtinId="8" hidden="1"/>
    <cellStyle name="Hyperlink" xfId="3648" builtinId="8" hidden="1"/>
    <cellStyle name="Hyperlink" xfId="7790" builtinId="8" hidden="1"/>
    <cellStyle name="Hyperlink" xfId="3844" builtinId="8" hidden="1"/>
    <cellStyle name="Hyperlink" xfId="7968" builtinId="8" hidden="1"/>
    <cellStyle name="Hyperlink" xfId="5570" builtinId="8" hidden="1"/>
    <cellStyle name="Hyperlink" xfId="6452" builtinId="8" hidden="1"/>
    <cellStyle name="Hyperlink" xfId="551" builtinId="8" hidden="1"/>
    <cellStyle name="Hyperlink" xfId="1562" builtinId="8" hidden="1"/>
    <cellStyle name="Hyperlink" xfId="2934" builtinId="8" hidden="1"/>
    <cellStyle name="Hyperlink" xfId="6042" builtinId="8" hidden="1"/>
    <cellStyle name="Hyperlink" xfId="3024" builtinId="8" hidden="1"/>
    <cellStyle name="Hyperlink" xfId="2254" builtinId="8" hidden="1"/>
    <cellStyle name="Hyperlink" xfId="4726" builtinId="8" hidden="1"/>
    <cellStyle name="Hyperlink" xfId="2288" builtinId="8" hidden="1"/>
    <cellStyle name="Hyperlink" xfId="5440" builtinId="8" hidden="1"/>
    <cellStyle name="Hyperlink" xfId="3316" builtinId="8" hidden="1"/>
    <cellStyle name="Hyperlink" xfId="6220" builtinId="8" hidden="1"/>
    <cellStyle name="Hyperlink" xfId="7514" builtinId="8" hidden="1"/>
    <cellStyle name="Hyperlink" xfId="6774" builtinId="8" hidden="1"/>
    <cellStyle name="Hyperlink" xfId="5318" builtinId="8" hidden="1"/>
    <cellStyle name="Hyperlink" xfId="4200" builtinId="8" hidden="1"/>
    <cellStyle name="Hyperlink" xfId="1522" builtinId="8" hidden="1"/>
    <cellStyle name="Hyperlink" xfId="7970" builtinId="8" hidden="1"/>
    <cellStyle name="Hyperlink" xfId="6576" builtinId="8" hidden="1"/>
    <cellStyle name="Hyperlink" xfId="3418" builtinId="8" hidden="1"/>
    <cellStyle name="Hyperlink" xfId="3446" builtinId="8" hidden="1"/>
    <cellStyle name="Hyperlink" xfId="3900" builtinId="8" hidden="1"/>
    <cellStyle name="Hyperlink" xfId="6416" builtinId="8" hidden="1"/>
    <cellStyle name="Hyperlink" xfId="5960" builtinId="8" hidden="1"/>
    <cellStyle name="Hyperlink" xfId="5338" builtinId="8" hidden="1"/>
    <cellStyle name="Hyperlink" xfId="1502" builtinId="8" hidden="1"/>
    <cellStyle name="Hyperlink" xfId="4096" builtinId="8" hidden="1"/>
    <cellStyle name="Hyperlink" xfId="5396" builtinId="8" hidden="1"/>
    <cellStyle name="Hyperlink" xfId="7588" builtinId="8" hidden="1"/>
    <cellStyle name="Hyperlink" xfId="7118" builtinId="8" hidden="1"/>
    <cellStyle name="Hyperlink" xfId="7424" builtinId="8" hidden="1"/>
    <cellStyle name="Hyperlink" xfId="5982" builtinId="8" hidden="1"/>
    <cellStyle name="Hyperlink" xfId="2380" builtinId="8" hidden="1"/>
    <cellStyle name="Hyperlink" xfId="3638" builtinId="8" hidden="1"/>
    <cellStyle name="Hyperlink" xfId="1094" builtinId="8" hidden="1"/>
    <cellStyle name="Hyperlink" xfId="6940" builtinId="8" hidden="1"/>
    <cellStyle name="Hyperlink" xfId="6830" builtinId="8" hidden="1"/>
    <cellStyle name="Hyperlink" xfId="8142" builtinId="8" hidden="1"/>
    <cellStyle name="Hyperlink" xfId="3128" builtinId="8" hidden="1"/>
    <cellStyle name="Hyperlink" xfId="3086" builtinId="8" hidden="1"/>
    <cellStyle name="Hyperlink" xfId="4996" builtinId="8" hidden="1"/>
    <cellStyle name="Hyperlink" xfId="4454" builtinId="8" hidden="1"/>
    <cellStyle name="Hyperlink" xfId="4254" builtinId="8" hidden="1"/>
    <cellStyle name="Hyperlink" xfId="181" builtinId="8" hidden="1"/>
    <cellStyle name="Hyperlink" xfId="6698" builtinId="8" hidden="1"/>
    <cellStyle name="Hyperlink" xfId="4724" builtinId="8" hidden="1"/>
    <cellStyle name="Hyperlink" xfId="3426" builtinId="8" hidden="1"/>
    <cellStyle name="Hyperlink" xfId="7742" builtinId="8" hidden="1"/>
    <cellStyle name="Hyperlink" xfId="6842" builtinId="8" hidden="1"/>
    <cellStyle name="Hyperlink" xfId="5108" builtinId="8" hidden="1"/>
    <cellStyle name="Hyperlink" xfId="7108" builtinId="8" hidden="1"/>
    <cellStyle name="Hyperlink" xfId="7860" builtinId="8" hidden="1"/>
    <cellStyle name="Hyperlink" xfId="4932" builtinId="8" hidden="1"/>
    <cellStyle name="Hyperlink" xfId="3752" builtinId="8" hidden="1"/>
    <cellStyle name="Hyperlink" xfId="147" builtinId="8" hidden="1"/>
    <cellStyle name="Hyperlink" xfId="561" builtinId="8" hidden="1"/>
    <cellStyle name="Hyperlink" xfId="2708" builtinId="8" hidden="1"/>
    <cellStyle name="Hyperlink" xfId="7374" builtinId="8" hidden="1"/>
    <cellStyle name="Hyperlink" xfId="4712" builtinId="8" hidden="1"/>
    <cellStyle name="Hyperlink" xfId="1756" builtinId="8" hidden="1"/>
    <cellStyle name="Hyperlink" xfId="7528" builtinId="8" hidden="1"/>
    <cellStyle name="Hyperlink" xfId="820" builtinId="8" hidden="1"/>
    <cellStyle name="Hyperlink" xfId="6906" builtinId="8" hidden="1"/>
    <cellStyle name="Hyperlink" xfId="1068" builtinId="8" hidden="1"/>
    <cellStyle name="Hyperlink" xfId="6098" builtinId="8" hidden="1"/>
    <cellStyle name="Hyperlink" xfId="291" builtinId="8" hidden="1"/>
    <cellStyle name="Hyperlink" xfId="1538" builtinId="8" hidden="1"/>
    <cellStyle name="Hyperlink" xfId="6484" builtinId="8" hidden="1"/>
    <cellStyle name="Hyperlink" xfId="2870" builtinId="8" hidden="1"/>
    <cellStyle name="Hyperlink" xfId="2486" builtinId="8" hidden="1"/>
    <cellStyle name="Hyperlink" xfId="3842" builtinId="8" hidden="1"/>
    <cellStyle name="Hyperlink" xfId="2886" builtinId="8" hidden="1"/>
    <cellStyle name="Hyperlink" xfId="57" builtinId="8" hidden="1"/>
    <cellStyle name="Hyperlink" xfId="1780" builtinId="8" hidden="1"/>
    <cellStyle name="Hyperlink" xfId="722" builtinId="8" hidden="1"/>
    <cellStyle name="Hyperlink" xfId="401" builtinId="8" hidden="1"/>
    <cellStyle name="Hyperlink" xfId="2700" builtinId="8" hidden="1"/>
    <cellStyle name="Hyperlink" xfId="6598" builtinId="8" hidden="1"/>
    <cellStyle name="Hyperlink" xfId="1210" builtinId="8" hidden="1"/>
    <cellStyle name="Hyperlink" xfId="5472" builtinId="8" hidden="1"/>
    <cellStyle name="Hyperlink" xfId="3590" builtinId="8" hidden="1"/>
    <cellStyle name="Hyperlink" xfId="7226" builtinId="8" hidden="1"/>
    <cellStyle name="Hyperlink" xfId="834" builtinId="8" hidden="1"/>
    <cellStyle name="Hyperlink" xfId="4092" builtinId="8" hidden="1"/>
    <cellStyle name="Hyperlink" xfId="3016" builtinId="8" hidden="1"/>
    <cellStyle name="Hyperlink" xfId="4642" builtinId="8" hidden="1"/>
    <cellStyle name="Hyperlink" xfId="1098" builtinId="8" hidden="1"/>
    <cellStyle name="Hyperlink" xfId="3924" builtinId="8" hidden="1"/>
    <cellStyle name="Hyperlink" xfId="756" builtinId="8" hidden="1"/>
    <cellStyle name="Hyperlink" xfId="4102" builtinId="8" hidden="1"/>
    <cellStyle name="Hyperlink" xfId="6878" builtinId="8" hidden="1"/>
    <cellStyle name="Hyperlink" xfId="4704" builtinId="8" hidden="1"/>
    <cellStyle name="Hyperlink" xfId="5090" builtinId="8" hidden="1"/>
    <cellStyle name="Hyperlink" xfId="5774" builtinId="8" hidden="1"/>
    <cellStyle name="Hyperlink" xfId="2070" builtinId="8" hidden="1"/>
    <cellStyle name="Hyperlink" xfId="7394" builtinId="8" hidden="1"/>
    <cellStyle name="Hyperlink" xfId="5426" builtinId="8" hidden="1"/>
    <cellStyle name="Hyperlink" xfId="2506" builtinId="8" hidden="1"/>
    <cellStyle name="Hyperlink" xfId="3846" builtinId="8" hidden="1"/>
    <cellStyle name="Hyperlink" xfId="4248" builtinId="8" hidden="1"/>
    <cellStyle name="Hyperlink" xfId="4702" builtinId="8" hidden="1"/>
    <cellStyle name="Hyperlink" xfId="6376" builtinId="8" hidden="1"/>
    <cellStyle name="Hyperlink" xfId="7304" builtinId="8" hidden="1"/>
    <cellStyle name="Hyperlink" xfId="3618" builtinId="8" hidden="1"/>
    <cellStyle name="Hyperlink" xfId="7994" builtinId="8" hidden="1"/>
    <cellStyle name="Hyperlink" xfId="2808" builtinId="8" hidden="1"/>
    <cellStyle name="Hyperlink" xfId="4278" builtinId="8" hidden="1"/>
    <cellStyle name="Hyperlink" xfId="2910" builtinId="8" hidden="1"/>
    <cellStyle name="Hyperlink" xfId="1952" builtinId="8" hidden="1"/>
    <cellStyle name="Hyperlink" xfId="545" builtinId="8" hidden="1"/>
    <cellStyle name="Hyperlink" xfId="2030" builtinId="8" hidden="1"/>
    <cellStyle name="Hyperlink" xfId="6810" builtinId="8" hidden="1"/>
    <cellStyle name="Hyperlink" xfId="7614" builtinId="8" hidden="1"/>
    <cellStyle name="Hyperlink" xfId="1534" builtinId="8" hidden="1"/>
    <cellStyle name="Hyperlink" xfId="101" builtinId="8" hidden="1"/>
    <cellStyle name="Hyperlink" xfId="2778" builtinId="8" hidden="1"/>
    <cellStyle name="Hyperlink" xfId="4580" builtinId="8" hidden="1"/>
    <cellStyle name="Hyperlink" xfId="3934" builtinId="8" hidden="1"/>
    <cellStyle name="Hyperlink" xfId="7818" builtinId="8" hidden="1"/>
    <cellStyle name="Hyperlink" xfId="4242" builtinId="8" hidden="1"/>
    <cellStyle name="Hyperlink" xfId="784" builtinId="8" hidden="1"/>
    <cellStyle name="Hyperlink" xfId="5640" builtinId="8" hidden="1"/>
    <cellStyle name="Hyperlink" xfId="2188" builtinId="8" hidden="1"/>
    <cellStyle name="Hyperlink" xfId="7292" builtinId="8" hidden="1"/>
    <cellStyle name="Hyperlink" xfId="7544" builtinId="8" hidden="1"/>
    <cellStyle name="Hyperlink" xfId="6320" builtinId="8" hidden="1"/>
    <cellStyle name="Hyperlink" xfId="7048" builtinId="8" hidden="1"/>
    <cellStyle name="Hyperlink" xfId="6272" builtinId="8" hidden="1"/>
    <cellStyle name="Hyperlink" xfId="4972" builtinId="8" hidden="1"/>
    <cellStyle name="Hyperlink" xfId="5518" builtinId="8" hidden="1"/>
    <cellStyle name="Hyperlink" xfId="7370" builtinId="8" hidden="1"/>
    <cellStyle name="Hyperlink" xfId="1014" builtinId="8" hidden="1"/>
    <cellStyle name="Hyperlink" xfId="5756" builtinId="8" hidden="1"/>
    <cellStyle name="Hyperlink" xfId="1798" builtinId="8" hidden="1"/>
    <cellStyle name="Hyperlink" xfId="5920" builtinId="8" hidden="1"/>
    <cellStyle name="Hyperlink" xfId="3094" builtinId="8" hidden="1"/>
    <cellStyle name="Hyperlink" xfId="4594" builtinId="8" hidden="1"/>
    <cellStyle name="Hyperlink" xfId="3792" builtinId="8" hidden="1"/>
    <cellStyle name="Hyperlink" xfId="381" builtinId="8" hidden="1"/>
    <cellStyle name="Hyperlink" xfId="3156" builtinId="8" hidden="1"/>
    <cellStyle name="Hyperlink" xfId="1286" builtinId="8" hidden="1"/>
    <cellStyle name="Hyperlink" xfId="5332" builtinId="8" hidden="1"/>
    <cellStyle name="Hyperlink" xfId="6626" builtinId="8" hidden="1"/>
    <cellStyle name="Hyperlink" xfId="6308" builtinId="8" hidden="1"/>
    <cellStyle name="Hyperlink" xfId="4126" builtinId="8" hidden="1"/>
    <cellStyle name="Hyperlink" xfId="7458" builtinId="8" hidden="1"/>
    <cellStyle name="Hyperlink" xfId="3242" builtinId="8" hidden="1"/>
    <cellStyle name="Hyperlink" xfId="5382" builtinId="8" hidden="1"/>
    <cellStyle name="Hyperlink" xfId="5326" builtinId="8" hidden="1"/>
    <cellStyle name="Hyperlink" xfId="5078" builtinId="8" hidden="1"/>
    <cellStyle name="Hyperlink" xfId="575" builtinId="8" hidden="1"/>
    <cellStyle name="Hyperlink" xfId="6492" builtinId="8" hidden="1"/>
    <cellStyle name="Hyperlink" xfId="6682" builtinId="8" hidden="1"/>
    <cellStyle name="Hyperlink" xfId="5224" builtinId="8" hidden="1"/>
    <cellStyle name="Hyperlink" xfId="804" builtinId="8" hidden="1"/>
    <cellStyle name="Hyperlink" xfId="3286" builtinId="8" hidden="1"/>
    <cellStyle name="Hyperlink" xfId="8014" builtinId="8" hidden="1"/>
    <cellStyle name="Hyperlink" xfId="3926" builtinId="8" hidden="1"/>
    <cellStyle name="Hyperlink" xfId="7932" builtinId="8" hidden="1"/>
    <cellStyle name="Hyperlink" xfId="109" builtinId="8" hidden="1"/>
    <cellStyle name="Hyperlink" xfId="7244" builtinId="8" hidden="1"/>
    <cellStyle name="Hyperlink" xfId="4052" builtinId="8" hidden="1"/>
    <cellStyle name="Hyperlink" xfId="6704" builtinId="8" hidden="1"/>
    <cellStyle name="Hyperlink" xfId="5194" builtinId="8" hidden="1"/>
    <cellStyle name="Hyperlink" xfId="6710" builtinId="8" hidden="1"/>
    <cellStyle name="Hyperlink" xfId="1114" builtinId="8" hidden="1"/>
    <cellStyle name="Hyperlink" xfId="7764" builtinId="8" hidden="1"/>
    <cellStyle name="Hyperlink" xfId="3986" builtinId="8" hidden="1"/>
    <cellStyle name="Hyperlink" xfId="3226" builtinId="8" hidden="1"/>
    <cellStyle name="Hyperlink" xfId="2026" builtinId="8" hidden="1"/>
    <cellStyle name="Hyperlink" xfId="5074" builtinId="8" hidden="1"/>
    <cellStyle name="Hyperlink" xfId="3574" builtinId="8" hidden="1"/>
    <cellStyle name="Hyperlink" xfId="8100" builtinId="8" hidden="1"/>
    <cellStyle name="Hyperlink" xfId="207" builtinId="8" hidden="1"/>
    <cellStyle name="Hyperlink" xfId="1764" builtinId="8" hidden="1"/>
    <cellStyle name="Hyperlink" xfId="7912" builtinId="8" hidden="1"/>
    <cellStyle name="Hyperlink" xfId="3216" builtinId="8" hidden="1"/>
    <cellStyle name="Hyperlink" xfId="5482" builtinId="8" hidden="1"/>
    <cellStyle name="Hyperlink" xfId="1886" builtinId="8" hidden="1"/>
    <cellStyle name="Hyperlink" xfId="3346" builtinId="8" hidden="1"/>
    <cellStyle name="Hyperlink" xfId="4428" builtinId="8" hidden="1"/>
    <cellStyle name="Hyperlink" xfId="3530" builtinId="8" hidden="1"/>
    <cellStyle name="Hyperlink" xfId="3392" builtinId="8" hidden="1"/>
    <cellStyle name="Hyperlink" xfId="4674" builtinId="8" hidden="1"/>
    <cellStyle name="Hyperlink" xfId="7930" builtinId="8" hidden="1"/>
    <cellStyle name="Hyperlink" xfId="159" builtinId="8" hidden="1"/>
    <cellStyle name="Hyperlink" xfId="596" builtinId="8" hidden="1"/>
    <cellStyle name="Hyperlink" xfId="6534" builtinId="8" hidden="1"/>
    <cellStyle name="Hyperlink" xfId="4804" builtinId="8" hidden="1"/>
    <cellStyle name="Hyperlink" xfId="3704" builtinId="8" hidden="1"/>
    <cellStyle name="Hyperlink" xfId="3706" builtinId="8" hidden="1"/>
    <cellStyle name="Hyperlink" xfId="8193" builtinId="8" hidden="1"/>
    <cellStyle name="Hyperlink" xfId="5162" builtinId="8" hidden="1"/>
    <cellStyle name="Hyperlink" xfId="5530" builtinId="8" hidden="1"/>
    <cellStyle name="Hyperlink" xfId="1544" builtinId="8" hidden="1"/>
    <cellStyle name="Hyperlink" xfId="6412" builtinId="8" hidden="1"/>
    <cellStyle name="Hyperlink" xfId="738" builtinId="8" hidden="1"/>
    <cellStyle name="Hyperlink" xfId="305" builtinId="8" hidden="1"/>
    <cellStyle name="Hyperlink" xfId="6812" builtinId="8" hidden="1"/>
    <cellStyle name="Hyperlink" xfId="6244" builtinId="8" hidden="1"/>
    <cellStyle name="Hyperlink" xfId="2810" builtinId="8" hidden="1"/>
    <cellStyle name="Hyperlink" xfId="7708" builtinId="8" hidden="1"/>
    <cellStyle name="Hyperlink" xfId="2828" builtinId="8" hidden="1"/>
    <cellStyle name="Hyperlink" xfId="6600" builtinId="8" hidden="1"/>
    <cellStyle name="Hyperlink" xfId="2696" builtinId="8" hidden="1"/>
    <cellStyle name="Hyperlink" xfId="383" builtinId="8" hidden="1"/>
    <cellStyle name="Hyperlink" xfId="2720" builtinId="8" hidden="1"/>
    <cellStyle name="Hyperlink" xfId="4978" builtinId="8" hidden="1"/>
    <cellStyle name="Hyperlink" xfId="3152" builtinId="8" hidden="1"/>
    <cellStyle name="Hyperlink" xfId="4854" builtinId="8" hidden="1"/>
    <cellStyle name="Hyperlink" xfId="4210" builtinId="8" hidden="1"/>
    <cellStyle name="Hyperlink" xfId="654" builtinId="8" hidden="1"/>
    <cellStyle name="Hyperlink" xfId="3804" builtinId="8" hidden="1"/>
    <cellStyle name="Hyperlink" xfId="7182" builtinId="8" hidden="1"/>
    <cellStyle name="Hyperlink" xfId="2158" builtinId="8" hidden="1"/>
    <cellStyle name="Hyperlink" xfId="5506" builtinId="8" hidden="1"/>
    <cellStyle name="Hyperlink" xfId="7598" builtinId="8" hidden="1"/>
    <cellStyle name="Hyperlink" xfId="754" builtinId="8" hidden="1"/>
    <cellStyle name="Hyperlink" xfId="4222" builtinId="8" hidden="1"/>
    <cellStyle name="Hyperlink" xfId="1352" builtinId="8" hidden="1"/>
    <cellStyle name="Hyperlink" xfId="6100" builtinId="8" hidden="1"/>
    <cellStyle name="Hyperlink" xfId="8126" builtinId="8" hidden="1"/>
    <cellStyle name="Hyperlink" xfId="1386" builtinId="8" hidden="1"/>
    <cellStyle name="Hyperlink" xfId="3614" builtinId="8" hidden="1"/>
    <cellStyle name="Hyperlink" xfId="2602" builtinId="8" hidden="1"/>
    <cellStyle name="Hyperlink" xfId="1804" builtinId="8" hidden="1"/>
    <cellStyle name="Hyperlink" xfId="4468" builtinId="8" hidden="1"/>
    <cellStyle name="Hyperlink" xfId="3710" builtinId="8" hidden="1"/>
    <cellStyle name="Hyperlink" xfId="4064" builtinId="8" hidden="1"/>
    <cellStyle name="Hyperlink" xfId="6538" builtinId="8" hidden="1"/>
    <cellStyle name="Hyperlink" xfId="4778" builtinId="8" hidden="1"/>
    <cellStyle name="Hyperlink" xfId="67" builtinId="8" hidden="1"/>
    <cellStyle name="Hyperlink" xfId="3546" builtinId="8" hidden="1"/>
    <cellStyle name="Hyperlink" xfId="6450" builtinId="8" hidden="1"/>
    <cellStyle name="Hyperlink" xfId="922" builtinId="8" hidden="1"/>
    <cellStyle name="Hyperlink" xfId="149" builtinId="8" hidden="1"/>
    <cellStyle name="Hyperlink" xfId="2314" builtinId="8" hidden="1"/>
    <cellStyle name="Hyperlink" xfId="3084" builtinId="8" hidden="1"/>
    <cellStyle name="Hyperlink" xfId="6186" builtinId="8" hidden="1"/>
    <cellStyle name="Hyperlink" xfId="2930" builtinId="8" hidden="1"/>
    <cellStyle name="Hyperlink" xfId="6622" builtinId="8" hidden="1"/>
    <cellStyle name="Hyperlink" xfId="435" builtinId="8" hidden="1"/>
    <cellStyle name="Hyperlink" xfId="7284" builtinId="8" hidden="1"/>
    <cellStyle name="Hyperlink" xfId="7858" builtinId="8" hidden="1"/>
    <cellStyle name="Hyperlink" xfId="5184" builtinId="8" hidden="1"/>
    <cellStyle name="Hyperlink" xfId="4606" builtinId="8" hidden="1"/>
    <cellStyle name="Hyperlink" xfId="7218" builtinId="8" hidden="1"/>
    <cellStyle name="Hyperlink" xfId="2596" builtinId="8" hidden="1"/>
    <cellStyle name="Hyperlink" xfId="5992" builtinId="8" hidden="1"/>
    <cellStyle name="Hyperlink" xfId="1864" builtinId="8" hidden="1"/>
    <cellStyle name="Hyperlink" xfId="4708" builtinId="8" hidden="1"/>
    <cellStyle name="Hyperlink" xfId="7980" builtinId="8" hidden="1"/>
    <cellStyle name="Hyperlink" xfId="4386" builtinId="8" hidden="1"/>
    <cellStyle name="Hyperlink" xfId="6164" builtinId="8" hidden="1"/>
    <cellStyle name="Hyperlink" xfId="5178" builtinId="8" hidden="1"/>
    <cellStyle name="Hyperlink" xfId="2312" builtinId="8" hidden="1"/>
    <cellStyle name="Hyperlink" xfId="4508" builtinId="8" hidden="1"/>
    <cellStyle name="Hyperlink" xfId="3520" builtinId="8" hidden="1"/>
    <cellStyle name="Hyperlink" xfId="7550" builtinId="8" hidden="1"/>
    <cellStyle name="Hyperlink" xfId="7212" builtinId="8" hidden="1"/>
    <cellStyle name="Hyperlink" xfId="4986" builtinId="8" hidden="1"/>
    <cellStyle name="Hyperlink" xfId="1854" builtinId="8" hidden="1"/>
    <cellStyle name="Hyperlink" xfId="6548" builtinId="8" hidden="1"/>
    <cellStyle name="Hyperlink" xfId="2144" builtinId="8" hidden="1"/>
    <cellStyle name="Hyperlink" xfId="1984" builtinId="8" hidden="1"/>
    <cellStyle name="Hyperlink" xfId="5130" builtinId="8" hidden="1"/>
    <cellStyle name="Hyperlink" xfId="5878" builtinId="8" hidden="1"/>
    <cellStyle name="Hyperlink" xfId="1476" builtinId="8" hidden="1"/>
    <cellStyle name="Hyperlink" xfId="7792" builtinId="8" hidden="1"/>
    <cellStyle name="Hyperlink" xfId="3686" builtinId="8" hidden="1"/>
    <cellStyle name="Hyperlink" xfId="185" builtinId="8" hidden="1"/>
    <cellStyle name="Hyperlink" xfId="6364" builtinId="8" hidden="1"/>
    <cellStyle name="Hyperlink" xfId="3306" builtinId="8" hidden="1"/>
    <cellStyle name="Hyperlink" xfId="858" builtinId="8" hidden="1"/>
    <cellStyle name="Hyperlink" xfId="4196" builtinId="8" hidden="1"/>
    <cellStyle name="Hyperlink" xfId="4850" builtinId="8" hidden="1"/>
    <cellStyle name="Hyperlink" xfId="3452" builtinId="8" hidden="1"/>
    <cellStyle name="Hyperlink" xfId="7468" builtinId="8" hidden="1"/>
    <cellStyle name="Hyperlink" xfId="4620" builtinId="8" hidden="1"/>
    <cellStyle name="Hyperlink" xfId="4644" builtinId="8" hidden="1"/>
    <cellStyle name="Hyperlink" xfId="1492" builtinId="8" hidden="1"/>
    <cellStyle name="Hyperlink" xfId="4114" builtinId="8" hidden="1"/>
    <cellStyle name="Hyperlink" xfId="7894" builtinId="8" hidden="1"/>
    <cellStyle name="Hyperlink" xfId="3100" builtinId="8" hidden="1"/>
    <cellStyle name="Hyperlink" xfId="7680" builtinId="8" hidden="1"/>
    <cellStyle name="Hyperlink" xfId="1658" builtinId="8" hidden="1"/>
    <cellStyle name="Hyperlink" xfId="5906" builtinId="8" hidden="1"/>
    <cellStyle name="Hyperlink" xfId="1266" builtinId="8" hidden="1"/>
    <cellStyle name="Hyperlink" xfId="6716" builtinId="8" hidden="1"/>
    <cellStyle name="Hyperlink" xfId="141" builtinId="8" hidden="1"/>
    <cellStyle name="Hyperlink" xfId="2366" builtinId="8" hidden="1"/>
    <cellStyle name="Hyperlink" xfId="6566" builtinId="8" hidden="1"/>
    <cellStyle name="Hyperlink" xfId="950" builtinId="8" hidden="1"/>
    <cellStyle name="Hyperlink" xfId="5436" builtinId="8" hidden="1"/>
    <cellStyle name="Hyperlink" xfId="2844" builtinId="8" hidden="1"/>
    <cellStyle name="Hyperlink" xfId="4946" builtinId="8" hidden="1"/>
    <cellStyle name="Hyperlink" xfId="6074" builtinId="8" hidden="1"/>
    <cellStyle name="Hyperlink" xfId="6018" builtinId="8" hidden="1"/>
    <cellStyle name="Hyperlink" xfId="4874" builtinId="8" hidden="1"/>
    <cellStyle name="Hyperlink" xfId="664" builtinId="8" hidden="1"/>
    <cellStyle name="Hyperlink" xfId="439" builtinId="8" hidden="1"/>
    <cellStyle name="Hyperlink" xfId="7082" builtinId="8" hidden="1"/>
    <cellStyle name="Hyperlink" xfId="8088" builtinId="8" hidden="1"/>
    <cellStyle name="Hyperlink" xfId="6508" builtinId="8" hidden="1"/>
    <cellStyle name="Hyperlink" xfId="1192" builtinId="8" hidden="1"/>
    <cellStyle name="Hyperlink" xfId="5538" builtinId="8" hidden="1"/>
    <cellStyle name="Hyperlink" xfId="6730" builtinId="8" hidden="1"/>
    <cellStyle name="Hyperlink" xfId="2538" builtinId="8" hidden="1"/>
    <cellStyle name="Hyperlink" xfId="700" builtinId="8" hidden="1"/>
    <cellStyle name="Hyperlink" xfId="3622" builtinId="8" hidden="1"/>
    <cellStyle name="Hyperlink" xfId="4270" builtinId="8" hidden="1"/>
    <cellStyle name="Hyperlink" xfId="7418" builtinId="8" hidden="1"/>
    <cellStyle name="Hyperlink" xfId="1360" builtinId="8" hidden="1"/>
    <cellStyle name="Hyperlink" xfId="4914" builtinId="8" hidden="1"/>
    <cellStyle name="Hyperlink" xfId="4812" builtinId="8" hidden="1"/>
    <cellStyle name="Hyperlink" xfId="73" builtinId="8" hidden="1"/>
    <cellStyle name="Hyperlink" xfId="2274" builtinId="8" hidden="1"/>
    <cellStyle name="Hyperlink" xfId="2550" builtinId="8" hidden="1"/>
    <cellStyle name="Hyperlink" xfId="6766" builtinId="8" hidden="1"/>
    <cellStyle name="Hyperlink" xfId="1016" builtinId="8" hidden="1"/>
    <cellStyle name="Hyperlink" xfId="1026" builtinId="8" hidden="1"/>
    <cellStyle name="Hyperlink" xfId="3176" builtinId="8" hidden="1"/>
    <cellStyle name="Hyperlink" xfId="4688" builtinId="8" hidden="1"/>
    <cellStyle name="Hyperlink" xfId="2130" builtinId="8" hidden="1"/>
    <cellStyle name="Hyperlink" xfId="6464" builtinId="8" hidden="1"/>
    <cellStyle name="Hyperlink" xfId="8058" builtinId="8" hidden="1"/>
    <cellStyle name="Hyperlink" xfId="7796" builtinId="8" hidden="1"/>
    <cellStyle name="Hyperlink" xfId="1316" builtinId="8" hidden="1"/>
    <cellStyle name="Hyperlink" xfId="6090" builtinId="8" hidden="1"/>
    <cellStyle name="Hyperlink" xfId="2826" builtinId="8" hidden="1"/>
    <cellStyle name="Hyperlink" xfId="1926" builtinId="8" hidden="1"/>
    <cellStyle name="Hyperlink" xfId="333" builtinId="8" hidden="1"/>
    <cellStyle name="Hyperlink" xfId="7474" builtinId="8" hidden="1"/>
    <cellStyle name="Hyperlink" xfId="1248" builtinId="8" hidden="1"/>
    <cellStyle name="Hyperlink" xfId="5830" builtinId="8" hidden="1"/>
    <cellStyle name="Hyperlink" xfId="1422" builtinId="8" hidden="1"/>
    <cellStyle name="Hyperlink" xfId="3772" builtinId="8" hidden="1"/>
    <cellStyle name="Hyperlink" xfId="5654" builtinId="8" hidden="1"/>
    <cellStyle name="Hyperlink" xfId="6340" builtinId="8" hidden="1"/>
    <cellStyle name="Hyperlink" xfId="1396" builtinId="8" hidden="1"/>
    <cellStyle name="Hyperlink" xfId="3012" builtinId="8" hidden="1"/>
    <cellStyle name="Hyperlink" xfId="5522" builtinId="8" hidden="1"/>
    <cellStyle name="Hyperlink" xfId="7362" builtinId="8" hidden="1"/>
    <cellStyle name="Hyperlink" xfId="4120" builtinId="8" hidden="1"/>
    <cellStyle name="Hyperlink" xfId="6132" builtinId="8" hidden="1"/>
    <cellStyle name="Hyperlink" xfId="5488" builtinId="8" hidden="1"/>
    <cellStyle name="Hyperlink" xfId="6918" builtinId="8" hidden="1"/>
    <cellStyle name="Hyperlink" xfId="577" builtinId="8" hidden="1"/>
    <cellStyle name="Hyperlink" xfId="4138" builtinId="8" hidden="1"/>
    <cellStyle name="Hyperlink" xfId="5862" builtinId="8" hidden="1"/>
    <cellStyle name="Hyperlink" xfId="7802" builtinId="8" hidden="1"/>
    <cellStyle name="Hyperlink" xfId="3040" builtinId="8" hidden="1"/>
    <cellStyle name="Hyperlink" xfId="762" builtinId="8" hidden="1"/>
    <cellStyle name="Hyperlink" xfId="8168" builtinId="8" hidden="1"/>
    <cellStyle name="Hyperlink" xfId="5310" builtinId="8" hidden="1"/>
    <cellStyle name="Hyperlink" xfId="6836" builtinId="8" hidden="1"/>
    <cellStyle name="Hyperlink" xfId="1204" builtinId="8" hidden="1"/>
    <cellStyle name="Hyperlink" xfId="49" builtinId="8" hidden="1"/>
    <cellStyle name="Hyperlink" xfId="3902" builtinId="8" hidden="1"/>
    <cellStyle name="Hyperlink" xfId="405" builtinId="8" hidden="1"/>
    <cellStyle name="Hyperlink" xfId="7104" builtinId="8" hidden="1"/>
    <cellStyle name="Hyperlink" xfId="7718" builtinId="8" hidden="1"/>
    <cellStyle name="Hyperlink" xfId="335" builtinId="8" hidden="1"/>
    <cellStyle name="Hyperlink" xfId="3628" builtinId="8" hidden="1"/>
    <cellStyle name="Hyperlink" xfId="3562" builtinId="8" hidden="1"/>
    <cellStyle name="Hyperlink" xfId="5180" builtinId="8" hidden="1"/>
    <cellStyle name="Hyperlink" xfId="3742" builtinId="8" hidden="1"/>
    <cellStyle name="Hyperlink" xfId="2292" builtinId="8" hidden="1"/>
    <cellStyle name="Hyperlink" xfId="7302" builtinId="8" hidden="1"/>
    <cellStyle name="Hyperlink" xfId="1252" builtinId="8" hidden="1"/>
    <cellStyle name="Hyperlink" xfId="4930" builtinId="8" hidden="1"/>
    <cellStyle name="Hyperlink" xfId="1398" builtinId="8" hidden="1"/>
    <cellStyle name="Hyperlink" xfId="2170" builtinId="8" hidden="1"/>
    <cellStyle name="Hyperlink" xfId="7928" builtinId="8" hidden="1"/>
    <cellStyle name="Hyperlink" xfId="5624" builtinId="8" hidden="1"/>
    <cellStyle name="Hyperlink" xfId="7098" builtinId="8" hidden="1"/>
    <cellStyle name="Hyperlink" xfId="3818" builtinId="8" hidden="1"/>
    <cellStyle name="Hyperlink" xfId="758" builtinId="8" hidden="1"/>
    <cellStyle name="Hyperlink" xfId="2370" builtinId="8" hidden="1"/>
    <cellStyle name="Hyperlink" xfId="1660" builtinId="8" hidden="1"/>
    <cellStyle name="Hyperlink" xfId="5464" builtinId="8" hidden="1"/>
    <cellStyle name="Hyperlink" xfId="6898" builtinId="8" hidden="1"/>
    <cellStyle name="Hyperlink" xfId="5984" builtinId="8" hidden="1"/>
    <cellStyle name="Hyperlink" xfId="3676" builtinId="8" hidden="1"/>
    <cellStyle name="Hyperlink" xfId="4524" builtinId="8" hidden="1"/>
    <cellStyle name="Hyperlink" xfId="2372" builtinId="8" hidden="1"/>
    <cellStyle name="Hyperlink" xfId="1992" builtinId="8" hidden="1"/>
    <cellStyle name="Hyperlink" xfId="4546" builtinId="8" hidden="1"/>
    <cellStyle name="Hyperlink" xfId="5848" builtinId="8" hidden="1"/>
    <cellStyle name="Hyperlink" xfId="1480" builtinId="8" hidden="1"/>
    <cellStyle name="Hyperlink" xfId="6304" builtinId="8" hidden="1"/>
    <cellStyle name="Hyperlink" xfId="6202" builtinId="8" hidden="1"/>
    <cellStyle name="Hyperlink" xfId="2128" builtinId="8" hidden="1"/>
    <cellStyle name="Hyperlink" xfId="1578" builtinId="8" hidden="1"/>
    <cellStyle name="Hyperlink" xfId="3666" builtinId="8" hidden="1"/>
    <cellStyle name="Hyperlink" xfId="6648" builtinId="8" hidden="1"/>
    <cellStyle name="Hyperlink" xfId="1232" builtinId="8" hidden="1"/>
    <cellStyle name="Hyperlink" xfId="2560" builtinId="8" hidden="1"/>
    <cellStyle name="Hyperlink" xfId="7820" builtinId="8" hidden="1"/>
    <cellStyle name="Hyperlink" xfId="5386" builtinId="8" hidden="1"/>
    <cellStyle name="Hyperlink" xfId="7140" builtinId="8" hidden="1"/>
    <cellStyle name="Hyperlink" xfId="2706" builtinId="8" hidden="1"/>
    <cellStyle name="Hyperlink" xfId="2262" builtinId="8" hidden="1"/>
    <cellStyle name="Hyperlink" xfId="1996" builtinId="8" hidden="1"/>
    <cellStyle name="Hyperlink" xfId="2146" builtinId="8" hidden="1"/>
    <cellStyle name="Hyperlink" xfId="5874" builtinId="8" hidden="1"/>
    <cellStyle name="Hyperlink" xfId="4362" builtinId="8" hidden="1"/>
    <cellStyle name="Hyperlink" xfId="2100" builtinId="8" hidden="1"/>
    <cellStyle name="Hyperlink" xfId="8028" builtinId="8" hidden="1"/>
    <cellStyle name="Hyperlink" xfId="4950" builtinId="8" hidden="1"/>
    <cellStyle name="Hyperlink" xfId="4400" builtinId="8" hidden="1"/>
    <cellStyle name="Hyperlink" xfId="289" builtinId="8" hidden="1"/>
    <cellStyle name="Hyperlink" xfId="6218" builtinId="8" hidden="1"/>
    <cellStyle name="Hyperlink" xfId="4624" builtinId="8" hidden="1"/>
    <cellStyle name="Hyperlink" xfId="2622" builtinId="8" hidden="1"/>
    <cellStyle name="Hyperlink" xfId="6948" builtinId="8" hidden="1"/>
    <cellStyle name="Hyperlink" xfId="2318" builtinId="8" hidden="1"/>
    <cellStyle name="Hyperlink" xfId="7486" builtinId="8" hidden="1"/>
    <cellStyle name="Hyperlink" xfId="6722" builtinId="8" hidden="1"/>
    <cellStyle name="Hyperlink" xfId="1410" builtinId="8" hidden="1"/>
    <cellStyle name="Hyperlink" xfId="3506" builtinId="8" hidden="1"/>
    <cellStyle name="Hyperlink" xfId="3052" builtinId="8" hidden="1"/>
    <cellStyle name="Hyperlink" xfId="4330" builtinId="8" hidden="1"/>
    <cellStyle name="Hyperlink" xfId="71" builtinId="8" hidden="1"/>
    <cellStyle name="Hyperlink" xfId="1964" builtinId="8" hidden="1"/>
    <cellStyle name="Hyperlink" xfId="4836" builtinId="8" hidden="1"/>
    <cellStyle name="Hyperlink" xfId="608" builtinId="8" hidden="1"/>
    <cellStyle name="Hyperlink" xfId="1102" builtinId="8" hidden="1"/>
    <cellStyle name="Hyperlink" xfId="1692" builtinId="8" hidden="1"/>
    <cellStyle name="Hyperlink" xfId="5888" builtinId="8" hidden="1"/>
    <cellStyle name="Hyperlink" xfId="8082" builtinId="8" hidden="1"/>
    <cellStyle name="Hyperlink" xfId="499" builtinId="8" hidden="1"/>
    <cellStyle name="Hyperlink" xfId="4162" builtinId="8" hidden="1"/>
    <cellStyle name="Hyperlink" xfId="822" builtinId="8" hidden="1"/>
    <cellStyle name="Hyperlink" xfId="1960" builtinId="8" hidden="1"/>
    <cellStyle name="Hyperlink" xfId="1446" builtinId="8" hidden="1"/>
    <cellStyle name="Hyperlink" xfId="4936" builtinId="8" hidden="1"/>
    <cellStyle name="Hyperlink" xfId="3690" builtinId="8" hidden="1"/>
    <cellStyle name="Hyperlink" xfId="1472" builtinId="8" hidden="1"/>
    <cellStyle name="Hyperlink" xfId="171" builtinId="8" hidden="1"/>
    <cellStyle name="Hyperlink" xfId="7214" builtinId="8" hidden="1"/>
    <cellStyle name="Hyperlink" xfId="2458" builtinId="8" hidden="1"/>
    <cellStyle name="Hyperlink" xfId="2912" builtinId="8" hidden="1"/>
    <cellStyle name="Hyperlink" xfId="1902" builtinId="8" hidden="1"/>
    <cellStyle name="Hyperlink" xfId="3812" builtinId="8" hidden="1"/>
    <cellStyle name="Hyperlink" xfId="3582" builtinId="8" hidden="1"/>
    <cellStyle name="Hyperlink" xfId="6686" builtinId="8" hidden="1"/>
    <cellStyle name="Hyperlink" xfId="5006" builtinId="8" hidden="1"/>
    <cellStyle name="Hyperlink" xfId="7732" builtinId="8" hidden="1"/>
    <cellStyle name="Hyperlink" xfId="7268" builtinId="8" hidden="1"/>
    <cellStyle name="Hyperlink" xfId="1846" builtinId="8" hidden="1"/>
    <cellStyle name="Hyperlink" xfId="808" builtinId="8" hidden="1"/>
    <cellStyle name="Hyperlink" xfId="986" builtinId="8" hidden="1"/>
    <cellStyle name="Hyperlink" xfId="5794" builtinId="8" hidden="1"/>
    <cellStyle name="Hyperlink" xfId="3424" builtinId="8" hidden="1"/>
    <cellStyle name="Hyperlink" xfId="1166" builtinId="8" hidden="1"/>
    <cellStyle name="Hyperlink" xfId="1332" builtinId="8" hidden="1"/>
    <cellStyle name="Hyperlink" xfId="3796" builtinId="8" hidden="1"/>
    <cellStyle name="Hyperlink" xfId="7978" builtinId="8" hidden="1"/>
    <cellStyle name="Hyperlink" xfId="467" builtinId="8" hidden="1"/>
    <cellStyle name="Hyperlink" xfId="2800" builtinId="8" hidden="1"/>
    <cellStyle name="Hyperlink" xfId="431" builtinId="8" hidden="1"/>
    <cellStyle name="Hyperlink" xfId="5998" builtinId="8" hidden="1"/>
    <cellStyle name="Hyperlink" xfId="3946" builtinId="8" hidden="1"/>
    <cellStyle name="Hyperlink" xfId="3198" builtinId="8" hidden="1"/>
    <cellStyle name="Hyperlink" xfId="2690" builtinId="8" hidden="1"/>
    <cellStyle name="Hyperlink" xfId="3922" builtinId="8" hidden="1"/>
    <cellStyle name="Hyperlink" xfId="3030" builtinId="8" hidden="1"/>
    <cellStyle name="Hyperlink" xfId="7610" builtinId="8" hidden="1"/>
    <cellStyle name="Hyperlink" xfId="6150" builtinId="8" hidden="1"/>
    <cellStyle name="Hyperlink" xfId="6116" builtinId="8" hidden="1"/>
    <cellStyle name="Hyperlink" xfId="7346" builtinId="8" hidden="1"/>
    <cellStyle name="Hyperlink" xfId="3074" builtinId="8" hidden="1"/>
    <cellStyle name="Hyperlink" xfId="1708" builtinId="8" hidden="1"/>
    <cellStyle name="Hyperlink" xfId="794" builtinId="8" hidden="1"/>
    <cellStyle name="Hyperlink" xfId="7690" builtinId="8" hidden="1"/>
    <cellStyle name="Hyperlink" xfId="6832" builtinId="8" hidden="1"/>
    <cellStyle name="Hyperlink" xfId="2224" builtinId="8" hidden="1"/>
    <cellStyle name="Hyperlink" xfId="7902" builtinId="8" hidden="1"/>
    <cellStyle name="Hyperlink" xfId="5698" builtinId="8" hidden="1"/>
    <cellStyle name="Hyperlink" xfId="5768" builtinId="8" hidden="1"/>
    <cellStyle name="Hyperlink" xfId="1294" builtinId="8" hidden="1"/>
    <cellStyle name="Hyperlink" xfId="5536" builtinId="8" hidden="1"/>
    <cellStyle name="Hyperlink" xfId="7512" builtinId="8" hidden="1"/>
    <cellStyle name="Hyperlink" xfId="2118" builtinId="8" hidden="1"/>
    <cellStyle name="Hyperlink" xfId="1328" builtinId="8" hidden="1"/>
    <cellStyle name="Hyperlink" xfId="277" builtinId="8" hidden="1"/>
    <cellStyle name="Hyperlink" xfId="4294" builtinId="8" hidden="1"/>
    <cellStyle name="Hyperlink" xfId="1042" builtinId="8" hidden="1"/>
    <cellStyle name="Hyperlink" xfId="5324" builtinId="8" hidden="1"/>
    <cellStyle name="Hyperlink" xfId="5054" builtinId="8" hidden="1"/>
    <cellStyle name="Hyperlink" xfId="4678" builtinId="8" hidden="1"/>
    <cellStyle name="Hyperlink" xfId="590" builtinId="8" hidden="1"/>
    <cellStyle name="Hyperlink" xfId="902" builtinId="8" hidden="1"/>
    <cellStyle name="Hyperlink" xfId="2504" builtinId="8" hidden="1"/>
    <cellStyle name="Hyperlink" xfId="4048" builtinId="8" hidden="1"/>
    <cellStyle name="Hyperlink" xfId="1934" builtinId="8" hidden="1"/>
    <cellStyle name="Hyperlink" xfId="1758" builtinId="8" hidden="1"/>
    <cellStyle name="Hyperlink" xfId="2052" builtinId="8" hidden="1"/>
    <cellStyle name="Hyperlink" xfId="4482" builtinId="8" hidden="1"/>
    <cellStyle name="Hyperlink" xfId="3232" builtinId="8" hidden="1"/>
    <cellStyle name="Hyperlink" xfId="6656" builtinId="8" hidden="1"/>
    <cellStyle name="Hyperlink" xfId="2074" builtinId="8" hidden="1"/>
    <cellStyle name="Hyperlink" xfId="251" builtinId="8" hidden="1"/>
    <cellStyle name="Hyperlink" xfId="7960" builtinId="8" hidden="1"/>
    <cellStyle name="Hyperlink" xfId="3116" builtinId="8" hidden="1"/>
    <cellStyle name="Hyperlink" xfId="4060" builtinId="8" hidden="1"/>
    <cellStyle name="Hyperlink" xfId="942" builtinId="8" hidden="1"/>
    <cellStyle name="Hyperlink" xfId="2964" builtinId="8" hidden="1"/>
    <cellStyle name="Hyperlink" xfId="2760" builtinId="8" hidden="1"/>
    <cellStyle name="Hyperlink" xfId="3512" builtinId="8" hidden="1"/>
    <cellStyle name="Hyperlink" xfId="2818" builtinId="8" hidden="1"/>
    <cellStyle name="Hyperlink" xfId="1474" builtinId="8" hidden="1"/>
    <cellStyle name="Hyperlink" xfId="6158" builtinId="8" hidden="1"/>
    <cellStyle name="Hyperlink" xfId="2136" builtinId="8" hidden="1"/>
    <cellStyle name="Hyperlink" xfId="5340" builtinId="8" hidden="1"/>
    <cellStyle name="Hyperlink" xfId="2298" builtinId="8" hidden="1"/>
    <cellStyle name="Hyperlink" xfId="5420" builtinId="8" hidden="1"/>
    <cellStyle name="Hyperlink" xfId="2002" builtinId="8" hidden="1"/>
    <cellStyle name="Hyperlink" xfId="4104" builtinId="8" hidden="1"/>
    <cellStyle name="Hyperlink" xfId="3954" builtinId="8" hidden="1"/>
    <cellStyle name="Hyperlink" xfId="6296" builtinId="8" hidden="1"/>
    <cellStyle name="Hyperlink" xfId="6134" builtinId="8" hidden="1"/>
    <cellStyle name="Hyperlink" xfId="5486" builtinId="8" hidden="1"/>
    <cellStyle name="Hyperlink" xfId="399" builtinId="8" hidden="1"/>
    <cellStyle name="Hyperlink" xfId="1696" builtinId="8" hidden="1"/>
    <cellStyle name="Hyperlink" xfId="7862" builtinId="8" hidden="1"/>
    <cellStyle name="Hyperlink" xfId="6466" builtinId="8" hidden="1"/>
    <cellStyle name="Hyperlink" xfId="7220" builtinId="8" hidden="1"/>
    <cellStyle name="Hyperlink" xfId="3660" builtinId="8" hidden="1"/>
    <cellStyle name="Hyperlink" xfId="1350" builtinId="8" hidden="1"/>
    <cellStyle name="Hyperlink" xfId="7988" builtinId="8" hidden="1"/>
    <cellStyle name="Hyperlink" xfId="904" builtinId="8" hidden="1"/>
    <cellStyle name="Hyperlink" xfId="7188" builtinId="8" hidden="1"/>
    <cellStyle name="Hyperlink" xfId="6066" builtinId="8" hidden="1"/>
    <cellStyle name="Hyperlink" xfId="2670" builtinId="8" hidden="1"/>
    <cellStyle name="Hyperlink" xfId="628" builtinId="8" hidden="1"/>
    <cellStyle name="Hyperlink" xfId="6740" builtinId="8" hidden="1"/>
    <cellStyle name="Hyperlink" xfId="6708" builtinId="8" hidden="1"/>
    <cellStyle name="Hyperlink" xfId="1596" builtinId="8" hidden="1"/>
    <cellStyle name="Hyperlink" xfId="6212" builtinId="8" hidden="1"/>
    <cellStyle name="Hyperlink" xfId="1448" builtinId="8" hidden="1"/>
    <cellStyle name="Hyperlink" xfId="4632" builtinId="8" hidden="1"/>
    <cellStyle name="Hyperlink" xfId="6476" builtinId="8" hidden="1"/>
    <cellStyle name="Hyperlink" xfId="6986" builtinId="8" hidden="1"/>
    <cellStyle name="Hyperlink" xfId="7222" builtinId="8" hidden="1"/>
    <cellStyle name="Hyperlink" xfId="3746" builtinId="8" hidden="1"/>
    <cellStyle name="Hyperlink" xfId="1528" builtinId="8" hidden="1"/>
    <cellStyle name="Hyperlink" xfId="111" builtinId="8" hidden="1"/>
    <cellStyle name="Hyperlink" xfId="4988" builtinId="8" hidden="1"/>
    <cellStyle name="Hyperlink" xfId="579" builtinId="8" hidden="1"/>
    <cellStyle name="Hyperlink" xfId="7736" builtinId="8" hidden="1"/>
    <cellStyle name="Hyperlink" xfId="6086" builtinId="8" hidden="1"/>
    <cellStyle name="Hyperlink" xfId="3208" builtinId="8" hidden="1"/>
    <cellStyle name="Hyperlink" xfId="1310" builtinId="8" hidden="1"/>
    <cellStyle name="Hyperlink" xfId="143" builtinId="8" hidden="1"/>
    <cellStyle name="Hyperlink" xfId="3368" builtinId="8" hidden="1"/>
    <cellStyle name="Hyperlink" xfId="892" builtinId="8" hidden="1"/>
    <cellStyle name="Hyperlink" xfId="7316" builtinId="8" hidden="1"/>
    <cellStyle name="Hyperlink" xfId="4012" builtinId="8" hidden="1"/>
    <cellStyle name="Hyperlink" xfId="1170" builtinId="8" hidden="1"/>
    <cellStyle name="Hyperlink" xfId="1768" builtinId="8" hidden="1"/>
    <cellStyle name="Hyperlink" xfId="157" builtinId="8" hidden="1"/>
    <cellStyle name="Hyperlink" xfId="3586" builtinId="8" hidden="1"/>
    <cellStyle name="Hyperlink" xfId="1072" builtinId="8" hidden="1"/>
    <cellStyle name="Hyperlink" xfId="7724" builtinId="8" hidden="1"/>
    <cellStyle name="Hyperlink" xfId="4582" builtinId="8" hidden="1"/>
    <cellStyle name="Hyperlink" xfId="5922" builtinId="8" hidden="1"/>
    <cellStyle name="Hyperlink" xfId="3932" builtinId="8" hidden="1"/>
    <cellStyle name="Hyperlink" xfId="3138" builtinId="8" hidden="1"/>
    <cellStyle name="Hyperlink" xfId="5158" builtinId="8" hidden="1"/>
    <cellStyle name="Hyperlink" xfId="6190" builtinId="8" hidden="1"/>
    <cellStyle name="Hyperlink" xfId="2472" builtinId="8" hidden="1"/>
    <cellStyle name="Hyperlink" xfId="1698" builtinId="8" hidden="1"/>
    <cellStyle name="Hyperlink" xfId="7844" builtinId="8" hidden="1"/>
    <cellStyle name="Hyperlink" xfId="5660" builtinId="8" hidden="1"/>
    <cellStyle name="Hyperlink" xfId="846" builtinId="8" hidden="1"/>
    <cellStyle name="Hyperlink" xfId="3662" builtinId="8" hidden="1"/>
    <cellStyle name="Hyperlink" xfId="4894" builtinId="8" hidden="1"/>
    <cellStyle name="Hyperlink" xfId="7160" builtinId="8" hidden="1"/>
    <cellStyle name="Hyperlink" xfId="992" builtinId="8" hidden="1"/>
    <cellStyle name="Hyperlink" xfId="5980" builtinId="8" hidden="1"/>
    <cellStyle name="Hyperlink" xfId="6222" builtinId="8" hidden="1"/>
    <cellStyle name="Hyperlink" xfId="3322" builtinId="8" hidden="1"/>
    <cellStyle name="Hyperlink" xfId="3692" builtinId="8" hidden="1"/>
    <cellStyle name="Hyperlink" xfId="1250" builtinId="8" hidden="1"/>
    <cellStyle name="Hyperlink" xfId="8138" builtinId="8" hidden="1"/>
    <cellStyle name="Hyperlink" xfId="1082" builtinId="8" hidden="1"/>
    <cellStyle name="Hyperlink" xfId="1998" builtinId="8" hidden="1"/>
    <cellStyle name="Hyperlink" xfId="3748" builtinId="8" hidden="1"/>
    <cellStyle name="Hyperlink" xfId="4430" builtinId="8" hidden="1"/>
    <cellStyle name="Hyperlink" xfId="6950" builtinId="8" hidden="1"/>
    <cellStyle name="Hyperlink" xfId="5776" builtinId="8" hidden="1"/>
    <cellStyle name="Hyperlink" xfId="7516" builtinId="8" hidden="1"/>
    <cellStyle name="Hyperlink" xfId="1814" builtinId="8" hidden="1"/>
    <cellStyle name="Hyperlink" xfId="2650" builtinId="8" hidden="1"/>
    <cellStyle name="Hyperlink" xfId="6206" builtinId="8" hidden="1"/>
    <cellStyle name="Hyperlink" xfId="658" builtinId="8" hidden="1"/>
    <cellStyle name="Hyperlink" xfId="7524" builtinId="8" hidden="1"/>
    <cellStyle name="Hyperlink" xfId="1384" builtinId="8" hidden="1"/>
    <cellStyle name="Hyperlink" xfId="954" builtinId="8" hidden="1"/>
    <cellStyle name="Hyperlink" xfId="7096" builtinId="8" hidden="1"/>
    <cellStyle name="Hyperlink" xfId="4456" builtinId="8" hidden="1"/>
    <cellStyle name="Hyperlink" xfId="2418" builtinId="8" hidden="1"/>
    <cellStyle name="Hyperlink" xfId="7412" builtinId="8" hidden="1"/>
    <cellStyle name="Hyperlink" xfId="61" builtinId="8" hidden="1"/>
    <cellStyle name="Hyperlink" xfId="5728" builtinId="8" hidden="1"/>
    <cellStyle name="Hyperlink" xfId="7050" builtinId="8" hidden="1"/>
    <cellStyle name="Hyperlink" xfId="5432" builtinId="8" hidden="1"/>
    <cellStyle name="Hyperlink" xfId="4286" builtinId="8" hidden="1"/>
    <cellStyle name="Hyperlink" xfId="1950" builtinId="8" hidden="1"/>
    <cellStyle name="Hyperlink" xfId="6652" builtinId="8" hidden="1"/>
    <cellStyle name="Hyperlink" xfId="8130" builtinId="8" hidden="1"/>
    <cellStyle name="Hyperlink" xfId="3874" builtinId="8" hidden="1"/>
    <cellStyle name="Hyperlink" xfId="1162" builtinId="8" hidden="1"/>
    <cellStyle name="Hyperlink" xfId="5994" builtinId="8" hidden="1"/>
    <cellStyle name="Hyperlink" xfId="5288" builtinId="8" hidden="1"/>
    <cellStyle name="Hyperlink" xfId="3060" builtinId="8" hidden="1"/>
    <cellStyle name="Hyperlink" xfId="6524" builtinId="8" hidden="1"/>
    <cellStyle name="Hyperlink" xfId="4888" builtinId="8" hidden="1"/>
    <cellStyle name="Hyperlink" xfId="5470" builtinId="8" hidden="1"/>
    <cellStyle name="Hyperlink" xfId="1372" builtinId="8" hidden="1"/>
    <cellStyle name="Hyperlink" xfId="2750" builtinId="8" hidden="1"/>
    <cellStyle name="Hyperlink" xfId="1682" builtinId="8" hidden="1"/>
    <cellStyle name="Hyperlink" xfId="7030" builtinId="8" hidden="1"/>
    <cellStyle name="Hyperlink" xfId="5864" builtinId="8" hidden="1"/>
    <cellStyle name="Hyperlink" xfId="2450" builtinId="8" hidden="1"/>
    <cellStyle name="Hyperlink" xfId="1300" builtinId="8" hidden="1"/>
    <cellStyle name="Hyperlink" xfId="2536" builtinId="8" hidden="1"/>
    <cellStyle name="Hyperlink" xfId="5958" builtinId="8" hidden="1"/>
    <cellStyle name="Hyperlink" xfId="6448" builtinId="8" hidden="1"/>
    <cellStyle name="Hyperlink" xfId="7146" builtinId="8" hidden="1"/>
    <cellStyle name="Hyperlink" xfId="3916" builtinId="8" hidden="1"/>
    <cellStyle name="Hyperlink" xfId="1334" builtinId="8" hidden="1"/>
    <cellStyle name="Hyperlink" xfId="3406" builtinId="8" hidden="1"/>
    <cellStyle name="Hyperlink" xfId="4856" builtinId="8" hidden="1"/>
    <cellStyle name="Hyperlink" xfId="1880" builtinId="8" hidden="1"/>
    <cellStyle name="Hyperlink" xfId="1662" builtinId="8" hidden="1"/>
    <cellStyle name="Hyperlink" xfId="4884" builtinId="8" hidden="1"/>
    <cellStyle name="Hyperlink" xfId="4382" builtinId="8" hidden="1"/>
    <cellStyle name="Hyperlink" xfId="824" builtinId="8" hidden="1"/>
    <cellStyle name="Hyperlink" xfId="704" builtinId="8" hidden="1"/>
    <cellStyle name="Hyperlink" xfId="2322" builtinId="8" hidden="1"/>
    <cellStyle name="Hyperlink" xfId="4748" builtinId="8" hidden="1"/>
    <cellStyle name="Hyperlink" xfId="1268" builtinId="8" hidden="1"/>
    <cellStyle name="Hyperlink" xfId="3884" builtinId="8" hidden="1"/>
    <cellStyle name="Hyperlink" xfId="3470" builtinId="8" hidden="1"/>
    <cellStyle name="Hyperlink" xfId="1508" builtinId="8" hidden="1"/>
    <cellStyle name="Hyperlink" xfId="1994" builtinId="8" hidden="1"/>
    <cellStyle name="Hyperlink" xfId="6578" builtinId="8" hidden="1"/>
    <cellStyle name="Hyperlink" xfId="6542" builtinId="8" hidden="1"/>
    <cellStyle name="Hyperlink" xfId="5790" builtinId="8" hidden="1"/>
    <cellStyle name="Hyperlink" xfId="367" builtinId="8" hidden="1"/>
    <cellStyle name="Hyperlink" xfId="934" builtinId="8" hidden="1"/>
    <cellStyle name="Hyperlink" xfId="1308" builtinId="8" hidden="1"/>
    <cellStyle name="Hyperlink" xfId="6226" builtinId="8" hidden="1"/>
    <cellStyle name="Hyperlink" xfId="169" builtinId="8" hidden="1"/>
    <cellStyle name="Hyperlink" xfId="4338" builtinId="8" hidden="1"/>
    <cellStyle name="Hyperlink" xfId="7558" builtinId="8" hidden="1"/>
    <cellStyle name="Hyperlink" xfId="557" builtinId="8" hidden="1"/>
    <cellStyle name="Hyperlink" xfId="2126" builtinId="8" hidden="1"/>
    <cellStyle name="Hyperlink" xfId="1626" builtinId="8" hidden="1"/>
    <cellStyle name="Hyperlink" xfId="2726" builtinId="8" hidden="1"/>
    <cellStyle name="Hyperlink" xfId="2906" builtinId="8" hidden="1"/>
    <cellStyle name="Hyperlink" xfId="4264" builtinId="8" hidden="1"/>
    <cellStyle name="Hyperlink" xfId="3524" builtinId="8" hidden="1"/>
    <cellStyle name="Hyperlink" xfId="7686" builtinId="8" hidden="1"/>
    <cellStyle name="Hyperlink" xfId="19" builtinId="8" hidden="1"/>
    <cellStyle name="Hyperlink" xfId="918" builtinId="8" hidden="1"/>
    <cellStyle name="Hyperlink" xfId="1066" builtinId="8" hidden="1"/>
    <cellStyle name="Hyperlink" xfId="6588" builtinId="8" hidden="1"/>
    <cellStyle name="Hyperlink" xfId="8150" builtinId="8" hidden="1"/>
    <cellStyle name="Hyperlink" xfId="4604" builtinId="8" hidden="1"/>
    <cellStyle name="Hyperlink" xfId="4752" builtinId="8" hidden="1"/>
    <cellStyle name="Hyperlink" xfId="6418" builtinId="8" hidden="1"/>
    <cellStyle name="Hyperlink" xfId="4714" builtinId="8" hidden="1"/>
    <cellStyle name="Hyperlink" xfId="6302" builtinId="8" hidden="1"/>
    <cellStyle name="Hyperlink" xfId="4990" builtinId="8" hidden="1"/>
    <cellStyle name="Hyperlink" xfId="4782" builtinId="8" hidden="1"/>
    <cellStyle name="Hyperlink" xfId="525" builtinId="8" hidden="1"/>
    <cellStyle name="Hyperlink" xfId="7452" builtinId="8" hidden="1"/>
    <cellStyle name="Hyperlink" xfId="1378" builtinId="8" hidden="1"/>
    <cellStyle name="Hyperlink" xfId="275" builtinId="8" hidden="1"/>
    <cellStyle name="Hyperlink" xfId="7466" builtinId="8" hidden="1"/>
    <cellStyle name="Hyperlink" xfId="6438" builtinId="8" hidden="1"/>
    <cellStyle name="Hyperlink" xfId="8004" builtinId="8" hidden="1"/>
    <cellStyle name="Hyperlink" xfId="3338" builtinId="8" hidden="1"/>
    <cellStyle name="Hyperlink" xfId="5104" builtinId="8" hidden="1"/>
    <cellStyle name="Hyperlink" xfId="3190" builtinId="8" hidden="1"/>
    <cellStyle name="Hyperlink" xfId="4040" builtinId="8" hidden="1"/>
    <cellStyle name="Hyperlink" xfId="7298" builtinId="8" hidden="1"/>
    <cellStyle name="Hyperlink" xfId="379" builtinId="8" hidden="1"/>
    <cellStyle name="Hyperlink" xfId="726" builtinId="8" hidden="1"/>
    <cellStyle name="Hyperlink" xfId="3714" builtinId="8" hidden="1"/>
    <cellStyle name="Hyperlink" xfId="1556" builtinId="8" hidden="1"/>
    <cellStyle name="Hyperlink" xfId="7186" builtinId="8" hidden="1"/>
    <cellStyle name="Hyperlink" xfId="3088" builtinId="8" hidden="1"/>
    <cellStyle name="Hyperlink" xfId="3186" builtinId="8" hidden="1"/>
    <cellStyle name="Hyperlink" xfId="5828" builtinId="8" hidden="1"/>
    <cellStyle name="Hyperlink" xfId="2658" builtinId="8" hidden="1"/>
    <cellStyle name="Hyperlink" xfId="6282" builtinId="8" hidden="1"/>
    <cellStyle name="Hyperlink" xfId="377" builtinId="8" hidden="1"/>
    <cellStyle name="Hyperlink" xfId="7240" builtinId="8" hidden="1"/>
    <cellStyle name="Hyperlink" xfId="2790" builtinId="8" hidden="1"/>
    <cellStyle name="Hyperlink" xfId="6178" builtinId="8" hidden="1"/>
    <cellStyle name="Hyperlink" xfId="5348" builtinId="8" hidden="1"/>
    <cellStyle name="Hyperlink" xfId="1838" builtinId="8" hidden="1"/>
    <cellStyle name="Hyperlink" xfId="1680" builtinId="8" hidden="1"/>
    <cellStyle name="Hyperlink" xfId="3080" builtinId="8" hidden="1"/>
    <cellStyle name="Hyperlink" xfId="6430" builtinId="8" hidden="1"/>
    <cellStyle name="Hyperlink" xfId="2204" builtinId="8" hidden="1"/>
    <cellStyle name="Hyperlink" xfId="6728" builtinId="8" hidden="1"/>
    <cellStyle name="Hyperlink" xfId="2630" builtinId="8" hidden="1"/>
    <cellStyle name="Hyperlink" xfId="4680" builtinId="8" hidden="1"/>
    <cellStyle name="Hyperlink" xfId="7134" builtinId="8" hidden="1"/>
    <cellStyle name="Hyperlink" xfId="2914" builtinId="8" hidden="1"/>
    <cellStyle name="Hyperlink" xfId="1062" builtinId="8" hidden="1"/>
    <cellStyle name="Hyperlink" xfId="6126" builtinId="8" hidden="1"/>
    <cellStyle name="Hyperlink" xfId="3010" builtinId="8" hidden="1"/>
    <cellStyle name="Hyperlink" xfId="2718" builtinId="8" hidden="1"/>
    <cellStyle name="Hyperlink" xfId="2642" builtinId="8" hidden="1"/>
    <cellStyle name="Hyperlink" xfId="5454" builtinId="8" hidden="1"/>
    <cellStyle name="Hyperlink" xfId="3106" builtinId="8" hidden="1"/>
    <cellStyle name="Hyperlink" xfId="1022" builtinId="8" hidden="1"/>
    <cellStyle name="Hyperlink" xfId="5480" builtinId="8" hidden="1"/>
    <cellStyle name="Hyperlink" xfId="6672" builtinId="8" hidden="1"/>
    <cellStyle name="Hyperlink" xfId="5626" builtinId="8" hidden="1"/>
    <cellStyle name="Hyperlink" xfId="5028" builtinId="8" hidden="1"/>
    <cellStyle name="Hyperlink" xfId="4518" builtinId="8" hidden="1"/>
    <cellStyle name="Hyperlink" xfId="5238" builtinId="8" hidden="1"/>
    <cellStyle name="Hyperlink" xfId="7640" builtinId="8" hidden="1"/>
    <cellStyle name="Hyperlink" xfId="1956" builtinId="8" hidden="1"/>
    <cellStyle name="Hyperlink" xfId="7600" builtinId="8" hidden="1"/>
    <cellStyle name="Hyperlink" xfId="2522" builtinId="8" hidden="1"/>
    <cellStyle name="Hyperlink" xfId="4896" builtinId="8" hidden="1"/>
    <cellStyle name="Hyperlink" xfId="3230" builtinId="8" hidden="1"/>
    <cellStyle name="Hyperlink" xfId="6456" builtinId="8" hidden="1"/>
    <cellStyle name="Hyperlink" xfId="5126" builtinId="8" hidden="1"/>
    <cellStyle name="Hyperlink" xfId="3872" builtinId="8" hidden="1"/>
    <cellStyle name="Hyperlink" xfId="3380" builtinId="8" hidden="1"/>
    <cellStyle name="Hyperlink" xfId="2520" builtinId="8" hidden="1"/>
    <cellStyle name="Hyperlink" xfId="6954" builtinId="8" hidden="1"/>
    <cellStyle name="Hyperlink" xfId="2200" builtinId="8" hidden="1"/>
    <cellStyle name="Hyperlink" xfId="4134" builtinId="8" hidden="1"/>
    <cellStyle name="Hyperlink" xfId="441" builtinId="8" hidden="1"/>
    <cellStyle name="Hyperlink" xfId="8112" builtinId="8" hidden="1"/>
    <cellStyle name="Hyperlink" xfId="4832" builtinId="8" hidden="1"/>
    <cellStyle name="Hyperlink" xfId="7074" builtinId="8" hidden="1"/>
    <cellStyle name="Hyperlink" xfId="5876" builtinId="8" hidden="1"/>
    <cellStyle name="Hyperlink" xfId="1078" builtinId="8" hidden="1"/>
    <cellStyle name="Hyperlink" xfId="5048" builtinId="8" hidden="1"/>
    <cellStyle name="Hyperlink" xfId="3496" builtinId="8" hidden="1"/>
    <cellStyle name="Hyperlink" xfId="6394" builtinId="8" hidden="1"/>
    <cellStyle name="Hyperlink" xfId="7866" builtinId="8" hidden="1"/>
    <cellStyle name="Hyperlink" xfId="3178" builtinId="8" hidden="1"/>
    <cellStyle name="Hyperlink" xfId="1816" builtinId="8" hidden="1"/>
    <cellStyle name="Hyperlink" xfId="872" builtinId="8" hidden="1"/>
    <cellStyle name="Hyperlink" xfId="3784" builtinId="8" hidden="1"/>
    <cellStyle name="Hyperlink" xfId="6528" builtinId="8" hidden="1"/>
    <cellStyle name="Hyperlink" xfId="7330" builtinId="8" hidden="1"/>
    <cellStyle name="Hyperlink" xfId="3000" builtinId="8" hidden="1"/>
    <cellStyle name="Hyperlink" xfId="7314" builtinId="8" hidden="1"/>
    <cellStyle name="Hyperlink" xfId="666" builtinId="8" hidden="1"/>
    <cellStyle name="Hyperlink" xfId="4976" builtinId="8" hidden="1"/>
    <cellStyle name="Hyperlink" xfId="5264" builtinId="8" hidden="1"/>
    <cellStyle name="Hyperlink" xfId="8030" builtinId="8" hidden="1"/>
    <cellStyle name="Hyperlink" xfId="4316" builtinId="8" hidden="1"/>
    <cellStyle name="Hyperlink" xfId="227" builtinId="8" hidden="1"/>
    <cellStyle name="Hyperlink" xfId="2694" builtinId="8" hidden="1"/>
    <cellStyle name="Hyperlink" xfId="6332" builtinId="8" hidden="1"/>
    <cellStyle name="Hyperlink" xfId="6876" builtinId="8" hidden="1"/>
    <cellStyle name="Hyperlink" xfId="4742" builtinId="8" hidden="1"/>
    <cellStyle name="Hyperlink" xfId="4562" builtinId="8" hidden="1"/>
    <cellStyle name="Hyperlink" xfId="2106" builtinId="8" hidden="1"/>
    <cellStyle name="Hyperlink" xfId="3672" builtinId="8" hidden="1"/>
    <cellStyle name="Hyperlink" xfId="3536" builtinId="8" hidden="1"/>
    <cellStyle name="Hyperlink" xfId="1530" builtinId="8" hidden="1"/>
    <cellStyle name="Hyperlink" xfId="5908" builtinId="8" hidden="1"/>
    <cellStyle name="Hyperlink" xfId="3438" builtinId="8" hidden="1"/>
    <cellStyle name="Hyperlink" xfId="2876" builtinId="8" hidden="1"/>
    <cellStyle name="Hyperlink" xfId="7402" builtinId="8" hidden="1"/>
    <cellStyle name="Hyperlink" xfId="2388" builtinId="8" hidden="1"/>
    <cellStyle name="Hyperlink" xfId="3110" builtinId="8" hidden="1"/>
    <cellStyle name="Hyperlink" xfId="7728" builtinId="8" hidden="1"/>
    <cellStyle name="Hyperlink" xfId="2594" builtinId="8" hidden="1"/>
    <cellStyle name="Hyperlink" xfId="3966" builtinId="8" hidden="1"/>
    <cellStyle name="Hyperlink" xfId="862" builtinId="8" hidden="1"/>
    <cellStyle name="Hyperlink" xfId="1766" builtinId="8" hidden="1"/>
    <cellStyle name="Hyperlink" xfId="1972" builtinId="8" hidden="1"/>
    <cellStyle name="Hyperlink" xfId="8195" builtinId="8" hidden="1"/>
    <cellStyle name="Hyperlink" xfId="8144" builtinId="8" hidden="1"/>
    <cellStyle name="Hyperlink" xfId="2202" builtinId="8" hidden="1"/>
    <cellStyle name="Hyperlink" xfId="6632" builtinId="8" hidden="1"/>
    <cellStyle name="Hyperlink" xfId="2742" builtinId="8" hidden="1"/>
    <cellStyle name="Hyperlink" xfId="1512" builtinId="8" hidden="1"/>
    <cellStyle name="Hyperlink" xfId="2548" builtinId="8" hidden="1"/>
    <cellStyle name="Hyperlink" xfId="7336" builtinId="8" hidden="1"/>
    <cellStyle name="Hyperlink" xfId="6724" builtinId="8" hidden="1"/>
    <cellStyle name="Hyperlink" xfId="6616" builtinId="8" hidden="1"/>
    <cellStyle name="Hyperlink" xfId="4654" builtinId="8" hidden="1"/>
    <cellStyle name="Hyperlink" xfId="806" builtinId="8" hidden="1"/>
    <cellStyle name="Hyperlink" xfId="21" builtinId="8" hidden="1"/>
    <cellStyle name="Hyperlink" xfId="1842" builtinId="8" hidden="1"/>
    <cellStyle name="Hyperlink" xfId="4730" builtinId="8" hidden="1"/>
    <cellStyle name="Hyperlink" xfId="4290" builtinId="8" hidden="1"/>
    <cellStyle name="Hyperlink" xfId="6848" builtinId="8" hidden="1"/>
    <cellStyle name="Hyperlink" xfId="2986" builtinId="8" hidden="1"/>
    <cellStyle name="Hyperlink" xfId="4216" builtinId="8" hidden="1"/>
    <cellStyle name="Hyperlink" xfId="1270" builtinId="8" hidden="1"/>
    <cellStyle name="Hyperlink" xfId="4982" builtinId="8" hidden="1"/>
    <cellStyle name="Hyperlink" xfId="2184" builtinId="8" hidden="1"/>
    <cellStyle name="Hyperlink" xfId="1314" builtinId="8" hidden="1"/>
    <cellStyle name="Hyperlink" xfId="313" builtinId="8" hidden="1"/>
    <cellStyle name="Hyperlink" xfId="445" builtinId="8" hidden="1"/>
    <cellStyle name="Hyperlink" xfId="4014" builtinId="8" hidden="1"/>
    <cellStyle name="Hyperlink" xfId="1592" builtinId="8" hidden="1"/>
    <cellStyle name="Hyperlink" xfId="4366" builtinId="8" hidden="1"/>
    <cellStyle name="Hyperlink" xfId="6586" builtinId="8" hidden="1"/>
    <cellStyle name="Hyperlink" xfId="7710" builtinId="8" hidden="1"/>
    <cellStyle name="Hyperlink" xfId="2094" builtinId="8" hidden="1"/>
    <cellStyle name="Hyperlink" xfId="3430" builtinId="8" hidden="1"/>
    <cellStyle name="Hyperlink" xfId="1156" builtinId="8" hidden="1"/>
    <cellStyle name="Hyperlink" xfId="1776" builtinId="8" hidden="1"/>
    <cellStyle name="Hyperlink" xfId="2394" builtinId="8" hidden="1"/>
    <cellStyle name="Hyperlink" xfId="3896" builtinId="8" hidden="1"/>
    <cellStyle name="Hyperlink" xfId="3558" builtinId="8" hidden="1"/>
    <cellStyle name="Hyperlink" xfId="5598" builtinId="8" hidden="1"/>
    <cellStyle name="Hyperlink" xfId="6478" builtinId="8" hidden="1"/>
    <cellStyle name="Hyperlink" xfId="1790" builtinId="8" hidden="1"/>
    <cellStyle name="Hyperlink" xfId="5976" builtinId="8" hidden="1"/>
    <cellStyle name="Hyperlink" xfId="2856" builtinId="8" hidden="1"/>
    <cellStyle name="Hyperlink" xfId="2348" builtinId="8" hidden="1"/>
    <cellStyle name="Hyperlink" xfId="1466" builtinId="8" hidden="1"/>
    <cellStyle name="Hyperlink" xfId="3398" builtinId="8" hidden="1"/>
    <cellStyle name="Hyperlink" xfId="7130" builtinId="8" hidden="1"/>
    <cellStyle name="Hyperlink" xfId="3500" builtinId="8" hidden="1"/>
    <cellStyle name="Hyperlink" xfId="1406" builtinId="8" hidden="1"/>
    <cellStyle name="Hyperlink" xfId="6674" builtinId="8" hidden="1"/>
    <cellStyle name="Hyperlink" xfId="1836" builtinId="8" hidden="1"/>
    <cellStyle name="Hyperlink" xfId="2054" builtinId="8" hidden="1"/>
    <cellStyle name="Hyperlink" xfId="960" builtinId="8" hidden="1"/>
    <cellStyle name="Hyperlink" xfId="4828" builtinId="8" hidden="1"/>
    <cellStyle name="Hyperlink" xfId="5498" builtinId="8" hidden="1"/>
    <cellStyle name="Hyperlink" xfId="293" builtinId="8" hidden="1"/>
    <cellStyle name="Hyperlink" xfId="1118" builtinId="8" hidden="1"/>
    <cellStyle name="Hyperlink" xfId="2424" builtinId="8" hidden="1"/>
    <cellStyle name="Hyperlink" xfId="6664" builtinId="8" hidden="1"/>
    <cellStyle name="Hyperlink" xfId="5064" builtinId="8" hidden="1"/>
    <cellStyle name="Hyperlink" xfId="2142" builtinId="8" hidden="1"/>
    <cellStyle name="Hyperlink" xfId="3474" builtinId="8" hidden="1"/>
    <cellStyle name="Hyperlink" xfId="5516" builtinId="8" hidden="1"/>
    <cellStyle name="Hyperlink" xfId="1138" builtinId="8" hidden="1"/>
    <cellStyle name="Hyperlink" xfId="4050" builtinId="8" hidden="1"/>
    <cellStyle name="Hyperlink" xfId="349" builtinId="8" hidden="1"/>
    <cellStyle name="Hyperlink" xfId="6156" builtinId="8" hidden="1"/>
    <cellStyle name="Hyperlink" xfId="7568" builtinId="8" hidden="1"/>
    <cellStyle name="Hyperlink" xfId="5118" builtinId="8" hidden="1"/>
    <cellStyle name="Hyperlink" xfId="7280" builtinId="8" hidden="1"/>
    <cellStyle name="Hyperlink" xfId="3620" builtinId="8" hidden="1"/>
    <cellStyle name="Hyperlink" xfId="6062" builtinId="8" hidden="1"/>
    <cellStyle name="Hyperlink" xfId="1954" builtinId="8" hidden="1"/>
    <cellStyle name="Hyperlink" xfId="1304" builtinId="8" hidden="1"/>
    <cellStyle name="Hyperlink" xfId="2134" builtinId="8" hidden="1"/>
    <cellStyle name="Hyperlink" xfId="3038" builtinId="8" hidden="1"/>
    <cellStyle name="Hyperlink" xfId="2338" builtinId="8" hidden="1"/>
    <cellStyle name="Hyperlink" xfId="6440" builtinId="8" hidden="1"/>
    <cellStyle name="Hyperlink" xfId="2842" builtinId="8" hidden="1"/>
    <cellStyle name="Hyperlink" xfId="2898" builtinId="8" hidden="1"/>
    <cellStyle name="Hyperlink" xfId="11" builtinId="8" hidden="1"/>
    <cellStyle name="Hyperlink" xfId="403" builtinId="8" hidden="1"/>
    <cellStyle name="Hyperlink" xfId="1794" builtinId="8" hidden="1"/>
    <cellStyle name="Hyperlink" xfId="7854" builtinId="8" hidden="1"/>
    <cellStyle name="Hyperlink" xfId="4614" builtinId="8" hidden="1"/>
    <cellStyle name="Hyperlink" xfId="2324" builtinId="8" hidden="1"/>
    <cellStyle name="Hyperlink" xfId="7006" builtinId="8" hidden="1"/>
    <cellStyle name="Hyperlink" xfId="3382" builtinId="8" hidden="1"/>
    <cellStyle name="Hyperlink" xfId="3298" builtinId="8" hidden="1"/>
    <cellStyle name="Hyperlink" xfId="3184" builtinId="8" hidden="1"/>
    <cellStyle name="Hyperlink" xfId="1800" builtinId="8" hidden="1"/>
    <cellStyle name="Hyperlink" xfId="7900" builtinId="8" hidden="1"/>
    <cellStyle name="Hyperlink" xfId="2542" builtinId="8" hidden="1"/>
    <cellStyle name="Hyperlink" xfId="5408" builtinId="8" hidden="1"/>
    <cellStyle name="Hyperlink" xfId="63" builtinId="8" hidden="1"/>
    <cellStyle name="Hyperlink" xfId="3460" builtinId="8" hidden="1"/>
    <cellStyle name="Hyperlink" xfId="2092" builtinId="8" hidden="1"/>
    <cellStyle name="Hyperlink" xfId="6678" builtinId="8" hidden="1"/>
    <cellStyle name="Hyperlink" xfId="7010" builtinId="8" hidden="1"/>
    <cellStyle name="Hyperlink" xfId="636" builtinId="8" hidden="1"/>
    <cellStyle name="Hyperlink" xfId="4560" builtinId="8" hidden="1"/>
    <cellStyle name="Hyperlink" xfId="3022" builtinId="8" hidden="1"/>
    <cellStyle name="Hyperlink" xfId="8108" builtinId="8" hidden="1"/>
    <cellStyle name="Hyperlink" xfId="7554" builtinId="8" hidden="1"/>
    <cellStyle name="Hyperlink" xfId="708" builtinId="8" hidden="1"/>
    <cellStyle name="Hyperlink" xfId="3448" builtinId="8" hidden="1"/>
    <cellStyle name="Hyperlink" xfId="4252" builtinId="8" hidden="1"/>
    <cellStyle name="Hyperlink" xfId="5114" builtinId="8" hidden="1"/>
    <cellStyle name="Hyperlink" xfId="1664" builtinId="8" hidden="1"/>
    <cellStyle name="Hyperlink" xfId="5710" builtinId="8" hidden="1"/>
    <cellStyle name="Hyperlink" xfId="6826" builtinId="8" hidden="1"/>
    <cellStyle name="Hyperlink" xfId="5866" builtinId="8" hidden="1"/>
    <cellStyle name="Hyperlink" xfId="5730" builtinId="8" hidden="1"/>
    <cellStyle name="Hyperlink" xfId="1130" builtinId="8" hidden="1"/>
    <cellStyle name="Hyperlink" xfId="2138" builtinId="8" hidden="1"/>
    <cellStyle name="Hyperlink" xfId="3670" builtinId="8" hidden="1"/>
    <cellStyle name="Hyperlink" xfId="5094" builtinId="8" hidden="1"/>
    <cellStyle name="Hyperlink" xfId="7804" builtinId="8" hidden="1"/>
    <cellStyle name="Hyperlink" xfId="5942" builtinId="8" hidden="1"/>
    <cellStyle name="Hyperlink" xfId="7396" builtinId="8" hidden="1"/>
    <cellStyle name="Hyperlink" xfId="489" builtinId="8" hidden="1"/>
    <cellStyle name="Hyperlink" xfId="4332" builtinId="8" hidden="1"/>
    <cellStyle name="Hyperlink" xfId="4384" builtinId="8" hidden="1"/>
    <cellStyle name="Hyperlink" xfId="5294" builtinId="8" hidden="1"/>
    <cellStyle name="Hyperlink" xfId="8040" builtinId="8" hidden="1"/>
    <cellStyle name="Hyperlink" xfId="4958" builtinId="8" hidden="1"/>
    <cellStyle name="Hyperlink" xfId="6714" builtinId="8" hidden="1"/>
    <cellStyle name="Hyperlink" xfId="3744" builtinId="8" hidden="1"/>
    <cellStyle name="Hyperlink" xfId="8170" builtinId="8" hidden="1"/>
    <cellStyle name="Hyperlink" xfId="6646" builtinId="8" hidden="1"/>
    <cellStyle name="Hyperlink" xfId="4928" builtinId="8" hidden="1"/>
    <cellStyle name="Hyperlink" xfId="8034" builtinId="8" hidden="1"/>
    <cellStyle name="Hyperlink" xfId="6814" builtinId="8" hidden="1"/>
    <cellStyle name="Hyperlink" xfId="2680" builtinId="8" hidden="1"/>
    <cellStyle name="Hyperlink" xfId="4450" builtinId="8" hidden="1"/>
    <cellStyle name="Hyperlink" xfId="6978" builtinId="8" hidden="1"/>
    <cellStyle name="Hyperlink" xfId="5304" builtinId="8" hidden="1"/>
    <cellStyle name="Hyperlink" xfId="6612" builtinId="8" hidden="1"/>
    <cellStyle name="Hyperlink" xfId="7982" builtinId="8" hidden="1"/>
    <cellStyle name="Hyperlink" xfId="3018" builtinId="8" hidden="1"/>
    <cellStyle name="Hyperlink" xfId="6170" builtinId="8" hidden="1"/>
    <cellStyle name="Hyperlink" xfId="8054" builtinId="8" hidden="1"/>
    <cellStyle name="Hyperlink" xfId="6188" builtinId="8" hidden="1"/>
    <cellStyle name="Hyperlink" xfId="6284" builtinId="8" hidden="1"/>
    <cellStyle name="Hyperlink" xfId="4908" builtinId="8" hidden="1"/>
    <cellStyle name="Hyperlink" xfId="5556" builtinId="8" hidden="1"/>
    <cellStyle name="Hyperlink" xfId="682" builtinId="8" hidden="1"/>
    <cellStyle name="Hyperlink" xfId="660" builtinId="8" hidden="1"/>
    <cellStyle name="Hyperlink" xfId="2888" builtinId="8" hidden="1"/>
    <cellStyle name="Hyperlink" xfId="7726" builtinId="8" hidden="1"/>
    <cellStyle name="Hyperlink" xfId="15" builtinId="8" hidden="1"/>
    <cellStyle name="Hyperlink" xfId="5956" builtinId="8" hidden="1"/>
    <cellStyle name="Hyperlink" xfId="4474" builtinId="8" hidden="1"/>
    <cellStyle name="Hyperlink" xfId="295" builtinId="8" hidden="1"/>
    <cellStyle name="Hyperlink" xfId="4544" builtinId="8" hidden="1"/>
    <cellStyle name="Hyperlink" xfId="3790" builtinId="8" hidden="1"/>
    <cellStyle name="Hyperlink" xfId="948" builtinId="8" hidden="1"/>
    <cellStyle name="Hyperlink" xfId="5762" builtinId="8" hidden="1"/>
    <cellStyle name="Hyperlink" xfId="3560" builtinId="8" hidden="1"/>
    <cellStyle name="Hyperlink" xfId="5904" builtinId="8" hidden="1"/>
    <cellStyle name="Hyperlink" xfId="7014" builtinId="8" hidden="1"/>
    <cellStyle name="Hyperlink" xfId="810" builtinId="8" hidden="1"/>
    <cellStyle name="Hyperlink" xfId="7688" builtinId="8" hidden="1"/>
    <cellStyle name="Hyperlink" xfId="3416" builtinId="8" hidden="1"/>
    <cellStyle name="Hyperlink" xfId="55" builtinId="8" hidden="1"/>
    <cellStyle name="Hyperlink" xfId="507" builtinId="8" hidden="1"/>
    <cellStyle name="Hyperlink" xfId="7974" builtinId="8" hidden="1"/>
    <cellStyle name="Hyperlink" xfId="4346" builtinId="8" hidden="1"/>
    <cellStyle name="Hyperlink" xfId="6046" builtinId="8" hidden="1"/>
    <cellStyle name="Hyperlink" xfId="5136" builtinId="8" hidden="1"/>
    <cellStyle name="Hyperlink" xfId="3948" builtinId="8" hidden="1"/>
    <cellStyle name="Hyperlink" xfId="4436" builtinId="8" hidden="1"/>
    <cellStyle name="Hyperlink" xfId="1340" builtinId="8" hidden="1"/>
    <cellStyle name="Hyperlink" xfId="5586" builtinId="8" hidden="1"/>
    <cellStyle name="Hyperlink" xfId="2616" builtinId="8" hidden="1"/>
    <cellStyle name="Hyperlink" xfId="7138" builtinId="8" hidden="1"/>
    <cellStyle name="Hyperlink" xfId="2238" builtinId="8" hidden="1"/>
    <cellStyle name="Hyperlink" xfId="1420" builtinId="8" hidden="1"/>
    <cellStyle name="Hyperlink" xfId="7876" builtinId="8" hidden="1"/>
    <cellStyle name="Hyperlink" xfId="4410" builtinId="8" hidden="1"/>
    <cellStyle name="Hyperlink" xfId="8056" builtinId="8" hidden="1"/>
    <cellStyle name="Hyperlink" xfId="732" builtinId="8" hidden="1"/>
    <cellStyle name="Hyperlink" xfId="7344" builtinId="8" hidden="1"/>
    <cellStyle name="Hyperlink" xfId="4300" builtinId="8" hidden="1"/>
    <cellStyle name="Hyperlink" xfId="3118" builtinId="8" hidden="1"/>
    <cellStyle name="Hyperlink" xfId="1002" builtinId="8" hidden="1"/>
    <cellStyle name="Hyperlink" xfId="2678" builtinId="8" hidden="1"/>
    <cellStyle name="Hyperlink" xfId="5398" builtinId="8" hidden="1"/>
    <cellStyle name="Hyperlink" xfId="2226" builtinId="8" hidden="1"/>
    <cellStyle name="Hyperlink" xfId="5266" builtinId="8" hidden="1"/>
    <cellStyle name="Hyperlink" xfId="5014" builtinId="8" hidden="1"/>
    <cellStyle name="Hyperlink" xfId="5646" builtinId="8" hidden="1"/>
    <cellStyle name="Hyperlink" xfId="3370" builtinId="8" hidden="1"/>
    <cellStyle name="Hyperlink" xfId="4056" builtinId="8" hidden="1"/>
    <cellStyle name="Hyperlink" xfId="7572" builtinId="8" hidden="1"/>
    <cellStyle name="Hyperlink" xfId="235" builtinId="8" hidden="1"/>
    <cellStyle name="Hyperlink" xfId="7966" builtinId="8" hidden="1"/>
    <cellStyle name="Hyperlink" xfId="2066" builtinId="8" hidden="1"/>
    <cellStyle name="Hyperlink" xfId="5860" builtinId="8" hidden="1"/>
    <cellStyle name="Hyperlink" xfId="2666" builtinId="8" hidden="1"/>
    <cellStyle name="Hyperlink" xfId="4172" builtinId="8" hidden="1"/>
    <cellStyle name="Hyperlink" xfId="7378" builtinId="8" hidden="1"/>
    <cellStyle name="Hyperlink" xfId="2278" builtinId="8" hidden="1"/>
    <cellStyle name="Hyperlink" xfId="89" builtinId="8" hidden="1"/>
    <cellStyle name="Hyperlink" xfId="5196" builtinId="8" hidden="1"/>
    <cellStyle name="Hyperlink" xfId="7870" builtinId="8" hidden="1"/>
    <cellStyle name="Hyperlink" xfId="2400" builtinId="8" hidden="1"/>
    <cellStyle name="Hyperlink" xfId="2804" builtinId="8" hidden="1"/>
    <cellStyle name="Hyperlink" xfId="7294" builtinId="8" hidden="1"/>
    <cellStyle name="Hyperlink" xfId="6892" builtinId="8" hidden="1"/>
    <cellStyle name="Hyperlink" xfId="2408" builtinId="8" hidden="1"/>
    <cellStyle name="Hyperlink" xfId="6514" builtinId="8" hidden="1"/>
    <cellStyle name="Hyperlink" xfId="2774" builtinId="8" hidden="1"/>
    <cellStyle name="Hyperlink" xfId="2196" builtinId="8" hidden="1"/>
    <cellStyle name="Hyperlink" xfId="7848" builtinId="8" hidden="1"/>
    <cellStyle name="Hyperlink" xfId="2156" builtinId="8" hidden="1"/>
    <cellStyle name="Hyperlink" xfId="5390" builtinId="8" hidden="1"/>
    <cellStyle name="Hyperlink" xfId="2438" builtinId="8" hidden="1"/>
    <cellStyle name="Hyperlink" xfId="3478" builtinId="8" hidden="1"/>
    <cellStyle name="Hyperlink" xfId="1622" builtinId="8" hidden="1"/>
    <cellStyle name="Hyperlink" xfId="6200" builtinId="8" hidden="1"/>
    <cellStyle name="Hyperlink" xfId="2824" builtinId="8" hidden="1"/>
    <cellStyle name="Hyperlink" xfId="5392" builtinId="8" hidden="1"/>
    <cellStyle name="Hyperlink" xfId="6942" builtinId="8" hidden="1"/>
    <cellStyle name="Hyperlink" xfId="7904" builtinId="8" hidden="1"/>
    <cellStyle name="Hyperlink" xfId="1494" builtinId="8" hidden="1"/>
    <cellStyle name="Hyperlink" xfId="7404" builtinId="8" hidden="1"/>
    <cellStyle name="Hyperlink" xfId="1374" builtinId="8" hidden="1"/>
    <cellStyle name="Hyperlink" xfId="642" builtinId="8" hidden="1"/>
    <cellStyle name="Hyperlink" xfId="5950" builtinId="8" hidden="1"/>
    <cellStyle name="Hyperlink" xfId="4820" builtinId="8" hidden="1"/>
    <cellStyle name="Hyperlink" xfId="2516" builtinId="8" hidden="1"/>
    <cellStyle name="Hyperlink" xfId="4740" builtinId="8" hidden="1"/>
    <cellStyle name="Hyperlink" xfId="8002" builtinId="8" hidden="1"/>
    <cellStyle name="Hyperlink" xfId="2768" builtinId="8" hidden="1"/>
    <cellStyle name="Hyperlink" xfId="5434" builtinId="8" hidden="1"/>
    <cellStyle name="Hyperlink" xfId="4066" builtinId="8" hidden="1"/>
    <cellStyle name="Hyperlink" xfId="4182" builtinId="8" hidden="1"/>
    <cellStyle name="Hyperlink" xfId="2412" builtinId="8" hidden="1"/>
    <cellStyle name="Hyperlink" xfId="5620" builtinId="8" hidden="1"/>
    <cellStyle name="Hyperlink" xfId="4408" builtinId="8" hidden="1"/>
    <cellStyle name="Hyperlink" xfId="5328" builtinId="8" hidden="1"/>
    <cellStyle name="Hyperlink" xfId="7692" builtinId="8" hidden="1"/>
    <cellStyle name="Hyperlink" xfId="2414" builtinId="8" hidden="1"/>
    <cellStyle name="Hyperlink" xfId="1046" builtinId="8" hidden="1"/>
    <cellStyle name="Hyperlink" xfId="6140" builtinId="8" hidden="1"/>
    <cellStyle name="Hyperlink" xfId="4086" builtinId="8" hidden="1"/>
    <cellStyle name="Hyperlink" xfId="2606" builtinId="8" hidden="1"/>
    <cellStyle name="Hyperlink" xfId="327" builtinId="8" hidden="1"/>
    <cellStyle name="Hyperlink" xfId="3250" builtinId="8" hidden="1"/>
    <cellStyle name="Hyperlink" xfId="5584" builtinId="8" hidden="1"/>
    <cellStyle name="Hyperlink" xfId="1008" builtinId="8" hidden="1"/>
    <cellStyle name="Hyperlink" xfId="4336" builtinId="8" hidden="1"/>
    <cellStyle name="Hyperlink" xfId="7884" builtinId="8" hidden="1"/>
    <cellStyle name="Hyperlink" xfId="5948" builtinId="8" hidden="1"/>
    <cellStyle name="Hyperlink" xfId="2326" builtinId="8" hidden="1"/>
    <cellStyle name="Hyperlink" xfId="6338" builtinId="8" hidden="1"/>
    <cellStyle name="Hyperlink" xfId="6352" builtinId="8" hidden="1"/>
    <cellStyle name="Hyperlink" xfId="3598" builtinId="8" hidden="1"/>
    <cellStyle name="Hyperlink" xfId="2636" builtinId="8" hidden="1"/>
    <cellStyle name="Hyperlink" xfId="5934" builtinId="8" hidden="1"/>
    <cellStyle name="Hyperlink" xfId="1064" builtinId="8" hidden="1"/>
    <cellStyle name="Hyperlink" xfId="6490" builtinId="8" hidden="1"/>
    <cellStyle name="Hyperlink" xfId="5056" builtinId="8" hidden="1"/>
    <cellStyle name="Hyperlink" xfId="6442" builtinId="8" hidden="1"/>
    <cellStyle name="Hyperlink" xfId="634" builtinId="8" hidden="1"/>
    <cellStyle name="Hyperlink" xfId="7836" builtinId="8" hidden="1"/>
    <cellStyle name="Hyperlink" xfId="8102" builtinId="8" hidden="1"/>
    <cellStyle name="Hyperlink" xfId="6570" builtinId="8" hidden="1"/>
    <cellStyle name="Hyperlink" xfId="3684" builtinId="8" hidden="1"/>
    <cellStyle name="Hyperlink" xfId="1872" builtinId="8" hidden="1"/>
    <cellStyle name="Hyperlink" xfId="27" builtinId="8" hidden="1"/>
    <cellStyle name="Hyperlink" xfId="2096" builtinId="8" hidden="1"/>
    <cellStyle name="Hyperlink" xfId="5696" builtinId="8" hidden="1"/>
    <cellStyle name="Hyperlink" xfId="3064" builtinId="8" hidden="1"/>
    <cellStyle name="Hyperlink" xfId="1988" builtinId="8" hidden="1"/>
    <cellStyle name="Hyperlink" xfId="5704" builtinId="8" hidden="1"/>
    <cellStyle name="Hyperlink" xfId="5858" builtinId="8" hidden="1"/>
    <cellStyle name="Hyperlink" xfId="363" builtinId="8" hidden="1"/>
    <cellStyle name="Hyperlink" xfId="1894" builtinId="8" hidden="1"/>
    <cellStyle name="Hyperlink" xfId="3120" builtinId="8" hidden="1"/>
    <cellStyle name="Hyperlink" xfId="8114" builtinId="8" hidden="1"/>
    <cellStyle name="Hyperlink" xfId="2336" builtinId="8" hidden="1"/>
    <cellStyle name="Hyperlink" xfId="2978" builtinId="8" hidden="1"/>
    <cellStyle name="Hyperlink" xfId="584" builtinId="8" hidden="1"/>
    <cellStyle name="Hyperlink" xfId="5686" builtinId="8" hidden="1"/>
    <cellStyle name="Hyperlink" xfId="4054" builtinId="8" hidden="1"/>
    <cellStyle name="Hyperlink" xfId="6874" builtinId="8" hidden="1"/>
    <cellStyle name="Hyperlink" xfId="1638" builtinId="8" hidden="1"/>
    <cellStyle name="Hyperlink" xfId="5778" builtinId="8" hidden="1"/>
    <cellStyle name="Hyperlink" xfId="5800" builtinId="8" hidden="1"/>
    <cellStyle name="Hyperlink" xfId="1280" builtinId="8" hidden="1"/>
    <cellStyle name="Hyperlink" xfId="4496" builtinId="8" hidden="1"/>
    <cellStyle name="Hyperlink" xfId="3564" builtinId="8" hidden="1"/>
    <cellStyle name="Hyperlink" xfId="411" builtinId="8" hidden="1"/>
    <cellStyle name="Hyperlink" xfId="6654" builtinId="8" hidden="1"/>
    <cellStyle name="Hyperlink" xfId="3886" builtinId="8" hidden="1"/>
    <cellStyle name="Hyperlink" xfId="2236" builtinId="8" hidden="1"/>
    <cellStyle name="Hyperlink" xfId="4676" builtinId="8" hidden="1"/>
    <cellStyle name="Hyperlink" xfId="6192" builtinId="8" hidden="1"/>
    <cellStyle name="Hyperlink" xfId="1526" builtinId="8" hidden="1"/>
    <cellStyle name="Hyperlink" xfId="3466" builtinId="8" hidden="1"/>
    <cellStyle name="Hyperlink" xfId="5662" builtinId="8" hidden="1"/>
    <cellStyle name="Hyperlink" xfId="610" builtinId="8" hidden="1"/>
    <cellStyle name="Hyperlink" xfId="710" builtinId="8" hidden="1"/>
    <cellStyle name="Hyperlink" xfId="3810" builtinId="8" hidden="1"/>
    <cellStyle name="Hyperlink" xfId="3372" builtinId="8" hidden="1"/>
    <cellStyle name="Hyperlink" xfId="2482" builtinId="8" hidden="1"/>
    <cellStyle name="Hyperlink" xfId="3578" builtinId="8" hidden="1"/>
    <cellStyle name="Hyperlink" xfId="2160" builtinId="8" hidden="1"/>
    <cellStyle name="Hyperlink" xfId="3680" builtinId="8" hidden="1"/>
    <cellStyle name="Hyperlink" xfId="123" builtinId="8" hidden="1"/>
    <cellStyle name="Hyperlink" xfId="5576" builtinId="8" hidden="1"/>
    <cellStyle name="Hyperlink" xfId="4662" builtinId="8" hidden="1"/>
    <cellStyle name="Hyperlink" xfId="1848" builtinId="8" hidden="1"/>
    <cellStyle name="Hyperlink" xfId="1246" builtinId="8" hidden="1"/>
    <cellStyle name="Hyperlink" xfId="3210" builtinId="8" hidden="1"/>
    <cellStyle name="Hyperlink" xfId="3712" builtinId="8" hidden="1"/>
    <cellStyle name="Hyperlink" xfId="2632" builtinId="8" hidden="1"/>
    <cellStyle name="Hyperlink" xfId="4108" builtinId="8" hidden="1"/>
    <cellStyle name="Hyperlink" xfId="3270" builtinId="8" hidden="1"/>
    <cellStyle name="Hyperlink" xfId="77" builtinId="8" hidden="1"/>
    <cellStyle name="Hyperlink" xfId="1946" builtinId="8" hidden="1"/>
    <cellStyle name="Hyperlink" xfId="3164" builtinId="8" hidden="1"/>
    <cellStyle name="Hyperlink" xfId="1176" builtinId="8" hidden="1"/>
    <cellStyle name="Hyperlink" xfId="1032" builtinId="8" hidden="1"/>
    <cellStyle name="Hyperlink" xfId="3890" builtinId="8" hidden="1"/>
    <cellStyle name="Hyperlink" xfId="7164" builtinId="8" hidden="1"/>
    <cellStyle name="Hyperlink" xfId="2120" builtinId="8" hidden="1"/>
    <cellStyle name="Hyperlink" xfId="5404" builtinId="8" hidden="1"/>
    <cellStyle name="Hyperlink" xfId="1326" builtinId="8" hidden="1"/>
    <cellStyle name="Hyperlink" xfId="59" builtinId="8" hidden="1"/>
    <cellStyle name="Hyperlink" xfId="7068" builtinId="8" hidden="1"/>
    <cellStyle name="Hyperlink" xfId="6000" builtinId="8" hidden="1"/>
    <cellStyle name="Hyperlink" xfId="7766" builtinId="8" hidden="1"/>
    <cellStyle name="Hyperlink" xfId="1936" builtinId="8" hidden="1"/>
    <cellStyle name="Hyperlink" xfId="3516" builtinId="8" hidden="1"/>
    <cellStyle name="Hyperlink" xfId="1160" builtinId="8" hidden="1"/>
    <cellStyle name="Hyperlink" xfId="1958" builtinId="8" hidden="1"/>
    <cellStyle name="Hyperlink" xfId="8032" builtinId="8" hidden="1"/>
    <cellStyle name="Hyperlink" xfId="7556" builtinId="8" hidden="1"/>
    <cellStyle name="Hyperlink" xfId="4786" builtinId="8" hidden="1"/>
    <cellStyle name="Hyperlink" xfId="4798" builtinId="8" hidden="1"/>
    <cellStyle name="Hyperlink" xfId="6026" builtinId="8" hidden="1"/>
    <cellStyle name="Hyperlink" xfId="7342" builtinId="8" hidden="1"/>
    <cellStyle name="Hyperlink" xfId="4672" builtinId="8" hidden="1"/>
    <cellStyle name="Hyperlink" xfId="4912" builtinId="8" hidden="1"/>
    <cellStyle name="Hyperlink" xfId="7478" builtinId="8" hidden="1"/>
    <cellStyle name="Hyperlink" xfId="898" builtinId="8" hidden="1"/>
    <cellStyle name="Hyperlink" xfId="2358" builtinId="8" hidden="1"/>
    <cellStyle name="Hyperlink" xfId="4760" builtinId="8" hidden="1"/>
    <cellStyle name="Hyperlink" xfId="1586" builtinId="8" hidden="1"/>
    <cellStyle name="Hyperlink" xfId="826" builtinId="8" hidden="1"/>
    <cellStyle name="Hyperlink" xfId="3224" builtinId="8" hidden="1"/>
    <cellStyle name="Hyperlink" xfId="3292" builtinId="8" hidden="1"/>
    <cellStyle name="Hyperlink" xfId="7364" builtinId="8" hidden="1"/>
    <cellStyle name="Hyperlink" xfId="3484" builtinId="8" hidden="1"/>
    <cellStyle name="Hyperlink" xfId="3678" builtinId="8" hidden="1"/>
    <cellStyle name="Hyperlink" xfId="3774" builtinId="8" hidden="1"/>
    <cellStyle name="Hyperlink" xfId="6838" builtinId="8" hidden="1"/>
    <cellStyle name="Hyperlink" xfId="1920" builtinId="8" hidden="1"/>
    <cellStyle name="Hyperlink" xfId="3816" builtinId="8" hidden="1"/>
    <cellStyle name="Hyperlink" xfId="3236" builtinId="8" hidden="1"/>
    <cellStyle name="Hyperlink" xfId="7026" builtinId="8" hidden="1"/>
    <cellStyle name="Hyperlink" xfId="2672" builtinId="8" hidden="1"/>
    <cellStyle name="Hyperlink" xfId="5088" builtinId="8" hidden="1"/>
    <cellStyle name="Hyperlink" xfId="3998" builtinId="8" hidden="1"/>
    <cellStyle name="Hyperlink" xfId="7924" builtinId="8" hidden="1"/>
    <cellStyle name="Hyperlink" xfId="5446" builtinId="8" hidden="1"/>
    <cellStyle name="Hyperlink" xfId="7090" builtinId="8" hidden="1"/>
    <cellStyle name="Hyperlink" xfId="7380" builtinId="8" hidden="1"/>
    <cellStyle name="Hyperlink" xfId="888" builtinId="8" hidden="1"/>
    <cellStyle name="Hyperlink" xfId="3130" builtinId="8" hidden="1"/>
    <cellStyle name="Hyperlink" xfId="4282" builtinId="8" hidden="1"/>
    <cellStyle name="Hyperlink" xfId="4818" builtinId="8" hidden="1"/>
    <cellStyle name="Hyperlink" xfId="1414" builtinId="8" hidden="1"/>
    <cellStyle name="Hyperlink" xfId="1488" builtinId="8" hidden="1"/>
    <cellStyle name="Hyperlink" xfId="7282" builtinId="8" hidden="1"/>
    <cellStyle name="Hyperlink" xfId="3366" builtinId="8" hidden="1"/>
    <cellStyle name="Hyperlink" xfId="6922" builtinId="8" hidden="1"/>
    <cellStyle name="Hyperlink" xfId="465" builtinId="8" hidden="1"/>
    <cellStyle name="Hyperlink" xfId="7464" builtinId="8" hidden="1"/>
    <cellStyle name="Hyperlink" xfId="5022" builtinId="8" hidden="1"/>
    <cellStyle name="Hyperlink" xfId="6396" builtinId="8" hidden="1"/>
    <cellStyle name="Hyperlink" xfId="3970" builtinId="8" hidden="1"/>
    <cellStyle name="Hyperlink" xfId="760" builtinId="8" hidden="1"/>
    <cellStyle name="Hyperlink" xfId="4112" builtinId="8" hidden="1"/>
    <cellStyle name="Hyperlink" xfId="1346" builtinId="8" hidden="1"/>
    <cellStyle name="Hyperlink" xfId="6920" builtinId="8" hidden="1"/>
    <cellStyle name="Hyperlink" xfId="3328" builtinId="8" hidden="1"/>
    <cellStyle name="Hyperlink" xfId="1616" builtinId="8" hidden="1"/>
    <cellStyle name="Hyperlink" xfId="3276" builtinId="8" hidden="1"/>
    <cellStyle name="Hyperlink" xfId="5718" builtinId="8" hidden="1"/>
    <cellStyle name="Hyperlink" xfId="4802" builtinId="8" hidden="1"/>
    <cellStyle name="Hyperlink" xfId="2848" builtinId="8" hidden="1"/>
    <cellStyle name="Hyperlink" xfId="4206" builtinId="8" hidden="1"/>
    <cellStyle name="Hyperlink" xfId="2186" builtinId="8" hidden="1"/>
    <cellStyle name="Hyperlink" xfId="6816" builtinId="8" hidden="1"/>
    <cellStyle name="Hyperlink" xfId="3314" builtinId="8" hidden="1"/>
    <cellStyle name="Hyperlink" xfId="4486" builtinId="8" hidden="1"/>
    <cellStyle name="Hyperlink" xfId="3280" builtinId="8" hidden="1"/>
    <cellStyle name="Hyperlink" xfId="2302" builtinId="8" hidden="1"/>
    <cellStyle name="Hyperlink" xfId="2526" builtinId="8" hidden="1"/>
    <cellStyle name="Hyperlink" xfId="6580" builtinId="8" hidden="1"/>
    <cellStyle name="Hyperlink" xfId="4352" builtinId="8" hidden="1"/>
    <cellStyle name="Hyperlink" xfId="4438" builtinId="8" hidden="1"/>
    <cellStyle name="Hyperlink" xfId="3356" builtinId="8" hidden="1"/>
    <cellStyle name="Hyperlink" xfId="3612" builtinId="8" hidden="1"/>
    <cellStyle name="Hyperlink" xfId="5784" builtinId="8" hidden="1"/>
    <cellStyle name="Hyperlink" xfId="4426" builtinId="8" hidden="1"/>
    <cellStyle name="Hyperlink" xfId="3450" builtinId="8" hidden="1"/>
    <cellStyle name="Hyperlink" xfId="4840" builtinId="8" hidden="1"/>
    <cellStyle name="Hyperlink" xfId="5996" builtinId="8" hidden="1"/>
    <cellStyle name="Hyperlink" xfId="1364" builtinId="8" hidden="1"/>
    <cellStyle name="Hyperlink" xfId="5618" builtinId="8" hidden="1"/>
    <cellStyle name="Hyperlink" xfId="4734" builtinId="8" hidden="1"/>
    <cellStyle name="Hyperlink" xfId="3972" builtinId="8" hidden="1"/>
    <cellStyle name="Hyperlink" xfId="3352" builtinId="8" hidden="1"/>
    <cellStyle name="Hyperlink" xfId="1540" builtinId="8" hidden="1"/>
    <cellStyle name="Hyperlink" xfId="3472" builtinId="8" hidden="1"/>
    <cellStyle name="Hyperlink" xfId="3942" builtinId="8" hidden="1"/>
    <cellStyle name="Hyperlink" xfId="1178" builtinId="8" hidden="1"/>
    <cellStyle name="Hyperlink" xfId="6916" builtinId="8" hidden="1"/>
    <cellStyle name="Hyperlink" xfId="7434" builtinId="8" hidden="1"/>
    <cellStyle name="Hyperlink" xfId="2922" builtinId="8" hidden="1"/>
    <cellStyle name="Hyperlink" xfId="6924" builtinId="8" hidden="1"/>
    <cellStyle name="Hyperlink" xfId="245" builtinId="8" hidden="1"/>
    <cellStyle name="Hyperlink" xfId="1510" builtinId="8" hidden="1"/>
    <cellStyle name="Hyperlink" xfId="4750" builtinId="8" hidden="1"/>
    <cellStyle name="Hyperlink" xfId="6386" builtinId="8" hidden="1"/>
    <cellStyle name="Hyperlink" xfId="391" builtinId="8" hidden="1"/>
    <cellStyle name="Hyperlink" xfId="6238" builtinId="8" hidden="1"/>
    <cellStyle name="Hyperlink" xfId="5844" builtinId="8" hidden="1"/>
    <cellStyle name="Hyperlink" xfId="1588" builtinId="8" hidden="1"/>
    <cellStyle name="Hyperlink" xfId="6980" builtinId="8" hidden="1"/>
    <cellStyle name="Hyperlink" xfId="3182" builtinId="8" hidden="1"/>
    <cellStyle name="Hyperlink" xfId="5192" builtinId="8" hidden="1"/>
    <cellStyle name="Hyperlink" xfId="7076" builtinId="8" hidden="1"/>
    <cellStyle name="Hyperlink" xfId="6658" builtinId="8" hidden="1"/>
    <cellStyle name="Hyperlink" xfId="6564" builtinId="8" hidden="1"/>
    <cellStyle name="Hyperlink" xfId="5116" builtinId="8" hidden="1"/>
    <cellStyle name="Hyperlink" xfId="1228" builtinId="8" hidden="1"/>
    <cellStyle name="Hyperlink" xfId="103" builtinId="8" hidden="1"/>
    <cellStyle name="Hyperlink" xfId="7840" builtinId="8" hidden="1"/>
    <cellStyle name="Hyperlink" xfId="2996" builtinId="8" hidden="1"/>
    <cellStyle name="Hyperlink" xfId="4032" builtinId="8" hidden="1"/>
    <cellStyle name="Hyperlink" xfId="6400" builtinId="8" hidden="1"/>
    <cellStyle name="Hyperlink" xfId="4372" builtinId="8" hidden="1"/>
    <cellStyle name="Hyperlink" xfId="1546" builtinId="8" hidden="1"/>
    <cellStyle name="Hyperlink" xfId="5034" builtinId="8" hidden="1"/>
    <cellStyle name="Hyperlink" xfId="5912" builtinId="8" hidden="1"/>
    <cellStyle name="Hyperlink" xfId="2436" builtinId="8" hidden="1"/>
    <cellStyle name="Hyperlink" xfId="7548" builtinId="8" hidden="1"/>
    <cellStyle name="Hyperlink" xfId="7682" builtinId="8" hidden="1"/>
    <cellStyle name="Hyperlink" xfId="4082" builtinId="8" hidden="1"/>
    <cellStyle name="Hyperlink" xfId="1076" builtinId="8" hidden="1"/>
    <cellStyle name="Hyperlink" xfId="7360" builtinId="8" hidden="1"/>
    <cellStyle name="Hyperlink" xfId="6370" builtinId="8" hidden="1"/>
    <cellStyle name="Hyperlink" xfId="4292" builtinId="8" hidden="1"/>
    <cellStyle name="Hyperlink" xfId="3968" builtinId="8" hidden="1"/>
    <cellStyle name="Hyperlink" xfId="6010" builtinId="8" hidden="1"/>
    <cellStyle name="Hyperlink" xfId="724" builtinId="8" hidden="1"/>
    <cellStyle name="Hyperlink" xfId="3870" builtinId="8" hidden="1"/>
    <cellStyle name="Hyperlink" xfId="5370" builtinId="8" hidden="1"/>
    <cellStyle name="Hyperlink" xfId="2378" builtinId="8" hidden="1"/>
    <cellStyle name="Hyperlink" xfId="6246" builtinId="8" hidden="1"/>
    <cellStyle name="Hyperlink" xfId="463" builtinId="8" hidden="1"/>
    <cellStyle name="Hyperlink" xfId="5422" builtinId="8" hidden="1"/>
    <cellStyle name="Hyperlink" xfId="2310" builtinId="8" hidden="1"/>
    <cellStyle name="Hyperlink" xfId="850" builtinId="8" hidden="1"/>
    <cellStyle name="Hyperlink" xfId="7120" builtinId="8" hidden="1"/>
    <cellStyle name="Hyperlink" xfId="766" builtinId="8" hidden="1"/>
    <cellStyle name="Hyperlink" xfId="4834" builtinId="8" hidden="1"/>
    <cellStyle name="Hyperlink" xfId="6248" builtinId="8" hidden="1"/>
    <cellStyle name="Hyperlink" xfId="1318" builtinId="8" hidden="1"/>
    <cellStyle name="Hyperlink" xfId="4146" builtinId="8" hidden="1"/>
    <cellStyle name="Hyperlink" xfId="6558" builtinId="8" hidden="1"/>
    <cellStyle name="Hyperlink" xfId="7992" builtinId="8" hidden="1"/>
    <cellStyle name="Hyperlink" xfId="4532" builtinId="8" hidden="1"/>
    <cellStyle name="Hyperlink" xfId="2736" builtinId="8" hidden="1"/>
    <cellStyle name="Hyperlink" xfId="6162" builtinId="8" hidden="1"/>
    <cellStyle name="Hyperlink" xfId="1906" builtinId="8" hidden="1"/>
    <cellStyle name="Hyperlink" xfId="612" builtinId="8" hidden="1"/>
    <cellStyle name="Hyperlink" xfId="193" builtinId="8" hidden="1"/>
    <cellStyle name="Hyperlink" xfId="6082" builtinId="8" hidden="1"/>
    <cellStyle name="Hyperlink" xfId="4692" builtinId="8" hidden="1"/>
    <cellStyle name="Hyperlink" xfId="868" builtinId="8" hidden="1"/>
    <cellStyle name="Hyperlink" xfId="83" builtinId="8" hidden="1"/>
    <cellStyle name="Hyperlink" xfId="1796" builtinId="8" hidden="1"/>
    <cellStyle name="Hyperlink" xfId="6802" builtinId="8" hidden="1"/>
    <cellStyle name="Hyperlink" xfId="6858" builtinId="8" hidden="1"/>
    <cellStyle name="Hyperlink" xfId="2220" builtinId="8" hidden="1"/>
    <cellStyle name="Hyperlink" xfId="7436" builtinId="8" hidden="1"/>
    <cellStyle name="Hyperlink" xfId="1516" builtinId="8" hidden="1"/>
    <cellStyle name="Hyperlink" xfId="387" builtinId="8" hidden="1"/>
    <cellStyle name="Hyperlink" xfId="559" builtinId="8" hidden="1"/>
    <cellStyle name="Hyperlink" xfId="6856" builtinId="8" hidden="1"/>
    <cellStyle name="Hyperlink" xfId="7112" builtinId="8" hidden="1"/>
    <cellStyle name="Hyperlink" xfId="3572" builtinId="8" hidden="1"/>
    <cellStyle name="Hyperlink" xfId="225" builtinId="8" hidden="1"/>
    <cellStyle name="Hyperlink" xfId="7652" builtinId="8" hidden="1"/>
    <cellStyle name="Hyperlink" xfId="8038" builtinId="8" hidden="1"/>
    <cellStyle name="Hyperlink" xfId="4906" builtinId="8" hidden="1"/>
    <cellStyle name="Hyperlink" xfId="7546" builtinId="8" hidden="1"/>
    <cellStyle name="Hyperlink" xfId="4132" builtinId="8" hidden="1"/>
    <cellStyle name="Hyperlink" xfId="151" builtinId="8" hidden="1"/>
    <cellStyle name="Hyperlink" xfId="7868" builtinId="8" hidden="1"/>
    <cellStyle name="Hyperlink" xfId="5190" builtinId="8" hidden="1"/>
    <cellStyle name="Hyperlink" xfId="233" builtinId="8" hidden="1"/>
    <cellStyle name="Hyperlink" xfId="5038" builtinId="8" hidden="1"/>
    <cellStyle name="Hyperlink" xfId="4902" builtinId="8" hidden="1"/>
    <cellStyle name="Hyperlink" xfId="7194" builtinId="8" hidden="1"/>
    <cellStyle name="Hyperlink" xfId="4370" builtinId="8" hidden="1"/>
    <cellStyle name="Hyperlink" xfId="4420" builtinId="8" hidden="1"/>
    <cellStyle name="Hyperlink" xfId="531" builtinId="8" hidden="1"/>
    <cellStyle name="Hyperlink" xfId="2386" builtinId="8" hidden="1"/>
    <cellStyle name="Hyperlink" xfId="5230" builtinId="8" hidden="1"/>
    <cellStyle name="Hyperlink" xfId="3652" builtinId="8" hidden="1"/>
    <cellStyle name="Hyperlink" xfId="3554" builtinId="8" hidden="1"/>
    <cellStyle name="Hyperlink" xfId="6594" builtinId="8" hidden="1"/>
    <cellStyle name="Hyperlink" xfId="3682" builtinId="8" hidden="1"/>
    <cellStyle name="Hyperlink" xfId="8080" builtinId="8" hidden="1"/>
    <cellStyle name="Hyperlink" xfId="2864" builtinId="8" hidden="1"/>
    <cellStyle name="Hyperlink" xfId="7258" builtinId="8" hidden="1"/>
    <cellStyle name="Hyperlink" xfId="4046" builtinId="8" hidden="1"/>
    <cellStyle name="Hyperlink" xfId="3136" builtinId="8" hidden="1"/>
    <cellStyle name="Hyperlink" xfId="3312" builtinId="8" hidden="1"/>
    <cellStyle name="Hyperlink" xfId="3006" builtinId="8" hidden="1"/>
    <cellStyle name="Hyperlink" xfId="95" builtinId="8" hidden="1"/>
    <cellStyle name="Hyperlink" xfId="2028" builtinId="8" hidden="1"/>
    <cellStyle name="Hyperlink" xfId="7080" builtinId="8" hidden="1"/>
    <cellStyle name="Hyperlink" xfId="449" builtinId="8" hidden="1"/>
    <cellStyle name="Hyperlink" xfId="3390" builtinId="8" hidden="1"/>
    <cellStyle name="Hyperlink" xfId="5638" builtinId="8" hidden="1"/>
    <cellStyle name="Hyperlink" xfId="3576" builtinId="8" hidden="1"/>
    <cellStyle name="Hyperlink" xfId="1792" builtinId="8" hidden="1"/>
    <cellStyle name="Hyperlink" xfId="7440" builtinId="8" hidden="1"/>
    <cellStyle name="Hyperlink" xfId="5352" builtinId="8" hidden="1"/>
    <cellStyle name="Hyperlink" xfId="5678" builtinId="8" hidden="1"/>
    <cellStyle name="Hyperlink" xfId="6380" builtinId="8" hidden="1"/>
    <cellStyle name="Hyperlink" xfId="2592" builtinId="8" hidden="1"/>
    <cellStyle name="Hyperlink" xfId="543" builtinId="8" hidden="1"/>
    <cellStyle name="Hyperlink" xfId="2878" builtinId="8" hidden="1"/>
    <cellStyle name="Hyperlink" xfId="7260" builtinId="8" hidden="1"/>
    <cellStyle name="Hyperlink" xfId="6976" builtinId="8" hidden="1"/>
    <cellStyle name="Hyperlink" xfId="5272" builtinId="8" hidden="1"/>
    <cellStyle name="Hyperlink" xfId="7100" builtinId="8" hidden="1"/>
    <cellStyle name="Hyperlink" xfId="882" builtinId="8" hidden="1"/>
    <cellStyle name="Hyperlink" xfId="7562" builtinId="8" hidden="1"/>
    <cellStyle name="Hyperlink" xfId="8110" builtinId="8" hidden="1"/>
    <cellStyle name="Hyperlink" xfId="4598" builtinId="8" hidden="1"/>
    <cellStyle name="Hyperlink" xfId="2566" builtinId="8" hidden="1"/>
    <cellStyle name="Hyperlink" xfId="215" builtinId="8" hidden="1"/>
    <cellStyle name="Hyperlink" xfId="5214" builtinId="8" hidden="1"/>
    <cellStyle name="Hyperlink" xfId="4006" builtinId="8" hidden="1"/>
    <cellStyle name="Hyperlink" xfId="4880" builtinId="8" hidden="1"/>
    <cellStyle name="Hyperlink" xfId="7620" builtinId="8" hidden="1"/>
    <cellStyle name="Hyperlink" xfId="7538" builtinId="8" hidden="1"/>
    <cellStyle name="Hyperlink" xfId="4318" builtinId="8" hidden="1"/>
    <cellStyle name="Hyperlink" xfId="8186" builtinId="8" hidden="1"/>
    <cellStyle name="Hyperlink" xfId="1760" builtinId="8" hidden="1"/>
    <cellStyle name="Hyperlink" xfId="1312" builtinId="8" hidden="1"/>
    <cellStyle name="Hyperlink" xfId="1054" builtinId="8" hidden="1"/>
    <cellStyle name="Hyperlink" xfId="7864" builtinId="8" hidden="1"/>
    <cellStyle name="Hyperlink" xfId="7926" builtinId="8" hidden="1"/>
    <cellStyle name="Hyperlink" xfId="3822" builtinId="8" hidden="1"/>
    <cellStyle name="Hyperlink" xfId="3388" builtinId="8" hidden="1"/>
    <cellStyle name="Hyperlink" xfId="674" builtinId="8" hidden="1"/>
    <cellStyle name="Hyperlink" xfId="4706" builtinId="8" hidden="1"/>
    <cellStyle name="Hyperlink" xfId="814" builtinId="8" hidden="1"/>
    <cellStyle name="Hyperlink" xfId="7956" builtinId="8" hidden="1"/>
    <cellStyle name="Hyperlink" xfId="3636" builtinId="8" hidden="1"/>
    <cellStyle name="Hyperlink" xfId="2452" builtinId="8" hidden="1"/>
    <cellStyle name="Hyperlink" xfId="1074" builtinId="8" hidden="1"/>
    <cellStyle name="Hyperlink" xfId="1598" builtinId="8" hidden="1"/>
    <cellStyle name="Hyperlink" xfId="3858" builtinId="8" hidden="1"/>
    <cellStyle name="Hyperlink" xfId="3098" builtinId="8" hidden="1"/>
    <cellStyle name="Hyperlink" xfId="409" builtinId="8" hidden="1"/>
    <cellStyle name="Hyperlink" xfId="6058" builtinId="8" hidden="1"/>
    <cellStyle name="Hyperlink" xfId="3238" builtinId="8" hidden="1"/>
    <cellStyle name="Hyperlink" xfId="6720" builtinId="8" hidden="1"/>
    <cellStyle name="Hyperlink" xfId="3104" builtinId="8" hidden="1"/>
    <cellStyle name="Hyperlink" xfId="2172" builtinId="8" hidden="1"/>
    <cellStyle name="Hyperlink" xfId="6540" builtinId="8" hidden="1"/>
    <cellStyle name="Hyperlink" xfId="3308" builtinId="8" hidden="1"/>
    <cellStyle name="Hyperlink" xfId="153" builtinId="8" hidden="1"/>
    <cellStyle name="Hyperlink" xfId="3750" builtinId="8" hidden="1"/>
    <cellStyle name="Hyperlink" xfId="6596" builtinId="8" hidden="1"/>
    <cellStyle name="Hyperlink" xfId="5060" builtinId="8" hidden="1"/>
    <cellStyle name="Hyperlink" xfId="3650" builtinId="8" hidden="1"/>
    <cellStyle name="Hyperlink" xfId="5724" builtinId="8" hidden="1"/>
    <cellStyle name="Hyperlink" xfId="6240" builtinId="8" hidden="1"/>
    <cellStyle name="Hyperlink" xfId="5452" builtinId="8" hidden="1"/>
    <cellStyle name="Hyperlink" xfId="7198" builtinId="8" hidden="1"/>
    <cellStyle name="Hyperlink" xfId="6034" builtinId="8" hidden="1"/>
    <cellStyle name="Hyperlink" xfId="1106" builtinId="8" hidden="1"/>
    <cellStyle name="Hyperlink" xfId="1734" builtinId="8" hidden="1"/>
    <cellStyle name="Hyperlink" xfId="3160" builtinId="8" hidden="1"/>
    <cellStyle name="Hyperlink" xfId="4690" builtinId="8" hidden="1"/>
    <cellStyle name="Hyperlink" xfId="2178" builtinId="8" hidden="1"/>
    <cellStyle name="Hyperlink" xfId="2296" builtinId="8" hidden="1"/>
    <cellStyle name="Hyperlink" xfId="509" builtinId="8" hidden="1"/>
    <cellStyle name="Hyperlink" xfId="4696" builtinId="8" hidden="1"/>
    <cellStyle name="Hyperlink" xfId="471" builtinId="8" hidden="1"/>
    <cellStyle name="Hyperlink" xfId="3726" builtinId="8" hidden="1"/>
    <cellStyle name="Hyperlink" xfId="6040" builtinId="8" hidden="1"/>
    <cellStyle name="Hyperlink" xfId="3658" builtinId="8" hidden="1"/>
    <cellStyle name="Hyperlink" xfId="3340" builtinId="8" hidden="1"/>
    <cellStyle name="Hyperlink" xfId="3362" builtinId="8" hidden="1"/>
    <cellStyle name="Hyperlink" xfId="4926" builtinId="8" hidden="1"/>
    <cellStyle name="Hyperlink" xfId="5378" builtinId="8" hidden="1"/>
    <cellStyle name="Hyperlink" xfId="2558" builtinId="8" hidden="1"/>
    <cellStyle name="Hyperlink" xfId="1918" builtinId="8" hidden="1"/>
    <cellStyle name="Hyperlink" xfId="7564" builtinId="8" hidden="1"/>
    <cellStyle name="Hyperlink" xfId="3608" builtinId="8" hidden="1"/>
    <cellStyle name="Hyperlink" xfId="2250" builtinId="8" hidden="1"/>
    <cellStyle name="Hyperlink" xfId="6334" builtinId="8" hidden="1"/>
    <cellStyle name="Hyperlink" xfId="3802" builtinId="8" hidden="1"/>
    <cellStyle name="Hyperlink" xfId="790" builtinId="8" hidden="1"/>
    <cellStyle name="Hyperlink" xfId="1866" builtinId="8" hidden="1"/>
    <cellStyle name="Hyperlink" xfId="4288" builtinId="8" hidden="1"/>
    <cellStyle name="Hyperlink" xfId="5044" builtinId="8" hidden="1"/>
    <cellStyle name="Hyperlink" xfId="3518" builtinId="8" hidden="1"/>
    <cellStyle name="Hyperlink" xfId="3782" builtinId="8" hidden="1"/>
    <cellStyle name="Hyperlink" xfId="6406" builtinId="8" hidden="1"/>
    <cellStyle name="Hyperlink" xfId="2692" builtinId="8" hidden="1"/>
    <cellStyle name="Hyperlink" xfId="3982" builtinId="8" hidden="1"/>
    <cellStyle name="Hyperlink" xfId="6734" builtinId="8" hidden="1"/>
    <cellStyle name="Hyperlink" xfId="8008" builtinId="8" hidden="1"/>
    <cellStyle name="Hyperlink" xfId="3756" builtinId="8" hidden="1"/>
    <cellStyle name="Hyperlink" xfId="6800" builtinId="8" hidden="1"/>
    <cellStyle name="Hyperlink" xfId="5402" builtinId="8" hidden="1"/>
    <cellStyle name="Hyperlink" xfId="2062" builtinId="8" hidden="1"/>
    <cellStyle name="Hyperlink" xfId="6060" builtinId="8" hidden="1"/>
    <cellStyle name="Hyperlink" xfId="4528" builtinId="8" hidden="1"/>
    <cellStyle name="Hyperlink" xfId="5628" builtinId="8" hidden="1"/>
    <cellStyle name="Hyperlink" xfId="1218" builtinId="8" hidden="1"/>
    <cellStyle name="Hyperlink" xfId="3102" builtinId="8" hidden="1"/>
    <cellStyle name="Hyperlink" xfId="3794" builtinId="8" hidden="1"/>
    <cellStyle name="Hyperlink" xfId="301" builtinId="8" hidden="1"/>
    <cellStyle name="Hyperlink" xfId="3428" builtinId="8" hidden="1"/>
    <cellStyle name="Hyperlink" xfId="1704" builtinId="8" hidden="1"/>
    <cellStyle name="Hyperlink" xfId="4024" builtinId="8" hidden="1"/>
    <cellStyle name="Hyperlink" xfId="5476" builtinId="8" hidden="1"/>
    <cellStyle name="Hyperlink" xfId="4698" builtinId="8" hidden="1"/>
    <cellStyle name="Hyperlink" xfId="3048" builtinId="8" hidden="1"/>
    <cellStyle name="Hyperlink" xfId="750" builtinId="8" hidden="1"/>
    <cellStyle name="Hyperlink" xfId="299" builtinId="8" hidden="1"/>
    <cellStyle name="Hyperlink" xfId="1706" builtinId="8" hidden="1"/>
    <cellStyle name="Hyperlink" xfId="3132" builtinId="8" hidden="1"/>
    <cellStyle name="Hyperlink" xfId="8128" builtinId="8" hidden="1"/>
    <cellStyle name="Hyperlink" xfId="5772" builtinId="8" hidden="1"/>
    <cellStyle name="Hyperlink" xfId="6184" builtinId="8" hidden="1"/>
    <cellStyle name="Hyperlink" xfId="6120" builtinId="8" hidden="1"/>
    <cellStyle name="Hyperlink" xfId="3476" builtinId="8" hidden="1"/>
    <cellStyle name="Hyperlink" xfId="3028" builtinId="8" hidden="1"/>
    <cellStyle name="Hyperlink" xfId="2356" builtinId="8" hidden="1"/>
    <cellStyle name="Hyperlink" xfId="2788" builtinId="8" hidden="1"/>
    <cellStyle name="Hyperlink" xfId="7154" builtinId="8" hidden="1"/>
    <cellStyle name="Hyperlink" xfId="7888" builtinId="8" hidden="1"/>
    <cellStyle name="Hyperlink" xfId="4432" builtinId="8" hidden="1"/>
    <cellStyle name="Hyperlink" xfId="1580" builtinId="8" hidden="1"/>
    <cellStyle name="Hyperlink" xfId="676" builtinId="8" hidden="1"/>
    <cellStyle name="Hyperlink" xfId="4306" builtinId="8" hidden="1"/>
    <cellStyle name="Hyperlink" xfId="29" builtinId="8" hidden="1"/>
    <cellStyle name="Hyperlink" xfId="788" builtinId="8" hidden="1"/>
    <cellStyle name="Hyperlink" xfId="1324" builtinId="8" hidden="1"/>
    <cellStyle name="Hyperlink" xfId="485" builtinId="8" hidden="1"/>
    <cellStyle name="Hyperlink" xfId="4684" builtinId="8" hidden="1"/>
    <cellStyle name="Hyperlink" xfId="4452" builtinId="8" hidden="1"/>
    <cellStyle name="Hyperlink" xfId="6236" builtinId="8" hidden="1"/>
    <cellStyle name="Hyperlink" xfId="7318" builtinId="8" hidden="1"/>
    <cellStyle name="Hyperlink" xfId="5868" builtinId="8" hidden="1"/>
    <cellStyle name="Hyperlink" xfId="4466" builtinId="8" hidden="1"/>
    <cellStyle name="Hyperlink" xfId="359" builtinId="8" hidden="1"/>
    <cellStyle name="Hyperlink" xfId="2872" builtinId="8" hidden="1"/>
    <cellStyle name="Hyperlink" xfId="5842" builtinId="8" hidden="1"/>
    <cellStyle name="Hyperlink" xfId="7534" builtinId="8" hidden="1"/>
    <cellStyle name="Hyperlink" xfId="2056" builtinId="8" hidden="1"/>
    <cellStyle name="Hyperlink" xfId="3458" builtinId="8" hidden="1"/>
    <cellStyle name="Hyperlink" xfId="1890" builtinId="8" hidden="1"/>
    <cellStyle name="Hyperlink" xfId="7004" builtinId="8" hidden="1"/>
    <cellStyle name="Hyperlink" xfId="43" builtinId="8" hidden="1"/>
    <cellStyle name="Hyperlink" xfId="5024" builtinId="8" hidden="1"/>
    <cellStyle name="Hyperlink" xfId="1812" builtinId="8" hidden="1"/>
    <cellStyle name="Hyperlink" xfId="2530" builtinId="8" hidden="1"/>
    <cellStyle name="Hyperlink" xfId="3864" builtinId="8" hidden="1"/>
    <cellStyle name="Hyperlink" xfId="4460" builtinId="8" hidden="1"/>
    <cellStyle name="Hyperlink" xfId="4042" builtinId="8" hidden="1"/>
    <cellStyle name="Hyperlink" xfId="7270" builtinId="8" hidden="1"/>
    <cellStyle name="Hyperlink" xfId="6336" builtinId="8" hidden="1"/>
    <cellStyle name="Hyperlink" xfId="7604" builtinId="8" hidden="1"/>
    <cellStyle name="Hyperlink" xfId="2806" builtinId="8" hidden="1"/>
    <cellStyle name="Hyperlink" xfId="5820" builtinId="8" hidden="1"/>
    <cellStyle name="Hyperlink" xfId="1602" builtinId="8" hidden="1"/>
    <cellStyle name="Hyperlink" xfId="4074" builtinId="8" hidden="1"/>
    <cellStyle name="Hyperlink" xfId="3494" builtinId="8" hidden="1"/>
    <cellStyle name="Hyperlink" xfId="3556" builtinId="8" hidden="1"/>
    <cellStyle name="Hyperlink" xfId="2500" builtinId="8" hidden="1"/>
    <cellStyle name="Hyperlink" xfId="7510" builtinId="8" hidden="1"/>
    <cellStyle name="Hyperlink" xfId="588" builtinId="8" hidden="1"/>
    <cellStyle name="Hyperlink" xfId="4268" builtinId="8" hidden="1"/>
    <cellStyle name="Hyperlink" xfId="5198" builtinId="8" hidden="1"/>
    <cellStyle name="Hyperlink" xfId="3876" builtinId="8" hidden="1"/>
    <cellStyle name="Hyperlink" xfId="2012" builtinId="8" hidden="1"/>
    <cellStyle name="Hyperlink" xfId="7476" builtinId="8" hidden="1"/>
    <cellStyle name="Hyperlink" xfId="6982" builtinId="8" hidden="1"/>
    <cellStyle name="Hyperlink" xfId="3004" builtinId="8" hidden="1"/>
    <cellStyle name="Hyperlink" xfId="4354" builtinId="8" hidden="1"/>
    <cellStyle name="Hyperlink" xfId="2798" builtinId="8" hidden="1"/>
    <cellStyle name="Hyperlink" xfId="8132" builtinId="8" hidden="1"/>
    <cellStyle name="Hyperlink" xfId="8188" builtinId="8" hidden="1"/>
    <cellStyle name="Hyperlink" xfId="369" builtinId="8" hidden="1"/>
    <cellStyle name="Hyperlink" xfId="8074" builtinId="8" hidden="1"/>
    <cellStyle name="Hyperlink" xfId="1552" builtinId="8" hidden="1"/>
    <cellStyle name="Hyperlink" xfId="6554" builtinId="8" hidden="1"/>
    <cellStyle name="Hyperlink" xfId="2682" builtinId="8" hidden="1"/>
    <cellStyle name="Hyperlink" xfId="3950" builtinId="8" hidden="1"/>
    <cellStyle name="Hyperlink" xfId="3096" builtinId="8" hidden="1"/>
    <cellStyle name="Hyperlink" xfId="734" builtinId="8" hidden="1"/>
    <cellStyle name="Hyperlink" xfId="3668" builtinId="8" hidden="1"/>
    <cellStyle name="Hyperlink" xfId="1774" builtinId="8" hidden="1"/>
    <cellStyle name="Hyperlink" xfId="343" builtinId="8" hidden="1"/>
    <cellStyle name="Hyperlink" xfId="2676" builtinId="8" hidden="1"/>
    <cellStyle name="Hyperlink" xfId="3488" builtinId="8" hidden="1"/>
    <cellStyle name="Hyperlink" xfId="2722" builtinId="8" hidden="1"/>
    <cellStyle name="Hyperlink" xfId="2732" builtinId="8" hidden="1"/>
    <cellStyle name="Hyperlink" xfId="2090" builtinId="8" hidden="1"/>
    <cellStyle name="Hyperlink" xfId="5080" builtinId="8" hidden="1"/>
    <cellStyle name="Hyperlink" xfId="3400" builtinId="8" hidden="1"/>
    <cellStyle name="Hyperlink" xfId="1336" builtinId="8" hidden="1"/>
    <cellStyle name="Hyperlink" xfId="1000" builtinId="8" hidden="1"/>
    <cellStyle name="Hyperlink" xfId="812" builtinId="8" hidden="1"/>
    <cellStyle name="Hyperlink" xfId="7308" builtinId="8" hidden="1"/>
    <cellStyle name="Hyperlink" xfId="2406" builtinId="8" hidden="1"/>
    <cellStyle name="Hyperlink" xfId="5964" builtinId="8" hidden="1"/>
    <cellStyle name="Hyperlink" xfId="4942" builtinId="8" hidden="1"/>
    <cellStyle name="Hyperlink" xfId="145" builtinId="8" hidden="1"/>
    <cellStyle name="Hyperlink" xfId="6764" builtinId="8" hidden="1"/>
    <cellStyle name="Hyperlink" xfId="6294" builtinId="8" hidden="1"/>
    <cellStyle name="Hyperlink" xfId="7618" builtinId="8" hidden="1"/>
    <cellStyle name="Hyperlink" xfId="421" builtinId="8" hidden="1"/>
    <cellStyle name="Hyperlink" xfId="7880" builtinId="8" hidden="1"/>
    <cellStyle name="Hyperlink" xfId="5248" builtinId="8" hidden="1"/>
    <cellStyle name="Hyperlink" xfId="175" builtinId="8" hidden="1"/>
    <cellStyle name="Hyperlink" xfId="1338" builtinId="8" hidden="1"/>
    <cellStyle name="Hyperlink" xfId="2346" builtinId="8" hidden="1"/>
    <cellStyle name="Hyperlink" xfId="4168" builtinId="8" hidden="1"/>
    <cellStyle name="Hyperlink" xfId="3490" builtinId="8" hidden="1"/>
    <cellStyle name="Hyperlink" xfId="4838" builtinId="8" hidden="1"/>
    <cellStyle name="Hyperlink" xfId="6666" builtinId="8" hidden="1"/>
    <cellStyle name="Hyperlink" xfId="1654" builtinId="8" hidden="1"/>
    <cellStyle name="Hyperlink" xfId="1878" builtinId="8" hidden="1"/>
    <cellStyle name="Hyperlink" xfId="6786" builtinId="8" hidden="1"/>
    <cellStyle name="Hyperlink" xfId="5760" builtinId="8" hidden="1"/>
    <cellStyle name="Hyperlink" xfId="5000" builtinId="8" hidden="1"/>
    <cellStyle name="Hyperlink" xfId="5596" builtinId="8" hidden="1"/>
    <cellStyle name="Hyperlink" xfId="5806" builtinId="8" hidden="1"/>
    <cellStyle name="Hyperlink" xfId="1190" builtinId="8" hidden="1"/>
    <cellStyle name="Hyperlink" xfId="4004" builtinId="8" hidden="1"/>
    <cellStyle name="Hyperlink" xfId="7176" builtinId="8" hidden="1"/>
    <cellStyle name="Hyperlink" xfId="2080" builtinId="8" hidden="1"/>
    <cellStyle name="Hyperlink" xfId="1090" builtinId="8" hidden="1"/>
    <cellStyle name="Hyperlink" xfId="2114" builtinId="8" hidden="1"/>
    <cellStyle name="Hyperlink" xfId="2714" builtinId="8" hidden="1"/>
    <cellStyle name="Hyperlink" xfId="3228" builtinId="8" hidden="1"/>
    <cellStyle name="Hyperlink" xfId="7700" builtinId="8" hidden="1"/>
    <cellStyle name="Hyperlink" xfId="1834" builtinId="8" hidden="1"/>
    <cellStyle name="Hyperlink" xfId="4784" builtinId="8" hidden="1"/>
    <cellStyle name="Hyperlink" xfId="177" builtinId="8" hidden="1"/>
    <cellStyle name="Hyperlink" xfId="2488" builtinId="8" hidden="1"/>
    <cellStyle name="Hyperlink" xfId="5526" builtinId="8" hidden="1"/>
    <cellStyle name="Hyperlink" xfId="7312" builtinId="8" hidden="1"/>
    <cellStyle name="Hyperlink" xfId="7350" builtinId="8" hidden="1"/>
    <cellStyle name="Hyperlink" xfId="7954" builtinId="8" hidden="1"/>
    <cellStyle name="Hyperlink" xfId="7410" builtinId="8" hidden="1"/>
    <cellStyle name="Hyperlink" xfId="2304" builtinId="8" hidden="1"/>
    <cellStyle name="Hyperlink" xfId="1784" builtinId="8" hidden="1"/>
    <cellStyle name="Hyperlink" xfId="3148" builtinId="8" hidden="1"/>
    <cellStyle name="Hyperlink" xfId="6944" builtinId="8" hidden="1"/>
    <cellStyle name="Hyperlink" xfId="4758" builtinId="8" hidden="1"/>
    <cellStyle name="Hyperlink" xfId="8116" builtinId="8" hidden="1"/>
    <cellStyle name="Hyperlink" xfId="2916" builtinId="8" hidden="1"/>
    <cellStyle name="Hyperlink" xfId="2068" builtinId="8" hidden="1"/>
    <cellStyle name="Hyperlink" xfId="1168" builtinId="8" hidden="1"/>
    <cellStyle name="Hyperlink" xfId="668" builtinId="8" hidden="1"/>
    <cellStyle name="Hyperlink" xfId="994" builtinId="8" hidden="1"/>
    <cellStyle name="Hyperlink" xfId="5700" builtinId="8" hidden="1"/>
    <cellStyle name="Hyperlink" xfId="1808" builtinId="8" hidden="1"/>
    <cellStyle name="Hyperlink" xfId="5928" builtinId="8" hidden="1"/>
    <cellStyle name="Hyperlink" xfId="7606" builtinId="8" hidden="1"/>
    <cellStyle name="Hyperlink" xfId="2470" builtinId="8" hidden="1"/>
    <cellStyle name="Hyperlink" xfId="4214" builtinId="8" hidden="1"/>
    <cellStyle name="Hyperlink" xfId="1748" builtinId="8" hidden="1"/>
    <cellStyle name="Hyperlink" xfId="2628" builtinId="8" hidden="1"/>
    <cellStyle name="Hyperlink" xfId="3072" builtinId="8" hidden="1"/>
    <cellStyle name="Hyperlink" xfId="45" builtinId="8" hidden="1"/>
    <cellStyle name="Hyperlink" xfId="6926" builtinId="8" hidden="1"/>
    <cellStyle name="Hyperlink" xfId="6870" builtinId="8" hidden="1"/>
    <cellStyle name="Hyperlink" xfId="1320" builtinId="8" hidden="1"/>
    <cellStyle name="Hyperlink" xfId="4516" builtinId="8" hidden="1"/>
    <cellStyle name="Hyperlink" xfId="6684" builtinId="8" hidden="1"/>
    <cellStyle name="Hyperlink" xfId="7484" builtinId="8" hidden="1"/>
    <cellStyle name="Hyperlink" xfId="598" builtinId="8" hidden="1"/>
    <cellStyle name="Hyperlink" xfId="2998" builtinId="8" hidden="1"/>
    <cellStyle name="Hyperlink" xfId="2626" builtinId="8" hidden="1"/>
    <cellStyle name="Hyperlink" xfId="5604" builtinId="8" hidden="1"/>
    <cellStyle name="Hyperlink" xfId="4754" builtinId="8" hidden="1"/>
    <cellStyle name="Hyperlink" xfId="7322" builtinId="8" hidden="1"/>
    <cellStyle name="Hyperlink" xfId="373" builtinId="8" hidden="1"/>
    <cellStyle name="Hyperlink" xfId="2532" builtinId="8" hidden="1"/>
    <cellStyle name="Hyperlink" xfId="5002" builtinId="8" hidden="1"/>
    <cellStyle name="Hyperlink" xfId="4068" builtinId="8" hidden="1"/>
    <cellStyle name="Hyperlink" xfId="656" builtinId="8" hidden="1"/>
    <cellStyle name="Hyperlink" xfId="493" builtinId="8" hidden="1"/>
    <cellStyle name="Hyperlink" xfId="1390" builtinId="8" hidden="1"/>
    <cellStyle name="Hyperlink" xfId="4772" builtinId="8" hidden="1"/>
    <cellStyle name="Hyperlink" xfId="7758" builtinId="8" hidden="1"/>
    <cellStyle name="Hyperlink" xfId="2952" builtinId="8" hidden="1"/>
    <cellStyle name="Hyperlink" xfId="2836" builtinId="8" hidden="1"/>
    <cellStyle name="Hyperlink" xfId="3504" builtinId="8" hidden="1"/>
    <cellStyle name="Hyperlink" xfId="6366" builtinId="8" hidden="1"/>
    <cellStyle name="Hyperlink" xfId="940" builtinId="8" hidden="1"/>
    <cellStyle name="Hyperlink" xfId="4866" builtinId="8" hidden="1"/>
    <cellStyle name="Hyperlink" xfId="5652" builtinId="8" hidden="1"/>
    <cellStyle name="Hyperlink" xfId="5096" builtinId="8" hidden="1"/>
    <cellStyle name="Hyperlink" xfId="1104" builtinId="8" hidden="1"/>
    <cellStyle name="Hyperlink" xfId="1566" builtinId="8" hidden="1"/>
    <cellStyle name="Hyperlink" xfId="3848" builtinId="8" hidden="1"/>
    <cellStyle name="Hyperlink" xfId="2020" builtinId="8" hidden="1"/>
    <cellStyle name="Hyperlink" xfId="4178" builtinId="8" hidden="1"/>
    <cellStyle name="Hyperlink" xfId="2242" builtinId="8" hidden="1"/>
    <cellStyle name="Hyperlink" xfId="1942" builtinId="8" hidden="1"/>
    <cellStyle name="Hyperlink" xfId="3144" builtinId="8" hidden="1"/>
    <cellStyle name="Hyperlink" xfId="4806" builtinId="8" hidden="1"/>
    <cellStyle name="Hyperlink" xfId="3674" builtinId="8" hidden="1"/>
    <cellStyle name="Hyperlink" xfId="2382" builtinId="8" hidden="1"/>
    <cellStyle name="Hyperlink" xfId="6582" builtinId="8" hidden="1"/>
    <cellStyle name="Hyperlink" xfId="6070" builtinId="8" hidden="1"/>
    <cellStyle name="Hyperlink" xfId="5430" builtinId="8" hidden="1"/>
    <cellStyle name="Hyperlink" xfId="7878" builtinId="8" hidden="1"/>
    <cellStyle name="Hyperlink" xfId="6602" builtinId="8" hidden="1"/>
    <cellStyle name="Hyperlink" xfId="2832" builtinId="8" hidden="1"/>
    <cellStyle name="Hyperlink" xfId="6696" builtinId="8" hidden="1"/>
    <cellStyle name="Hyperlink" xfId="5128" builtinId="8" hidden="1"/>
    <cellStyle name="Hyperlink" xfId="3718" builtinId="8" hidden="1"/>
    <cellStyle name="Hyperlink" xfId="3290" builtinId="8" hidden="1"/>
    <cellStyle name="Hyperlink" xfId="3360" builtinId="8" hidden="1"/>
    <cellStyle name="Hyperlink" xfId="6354" builtinId="8" hidden="1"/>
    <cellStyle name="Hyperlink" xfId="2512" builtinId="8" hidden="1"/>
    <cellStyle name="Hyperlink" xfId="4368" builtinId="8" hidden="1"/>
    <cellStyle name="Hyperlink" xfId="2022" builtinId="8" hidden="1"/>
    <cellStyle name="Hyperlink" xfId="1226" builtinId="8" hidden="1"/>
    <cellStyle name="Hyperlink" xfId="7542" builtinId="8" hidden="1"/>
    <cellStyle name="Hyperlink" xfId="782" builtinId="8" hidden="1"/>
    <cellStyle name="Hyperlink" xfId="2240" builtinId="8" hidden="1"/>
    <cellStyle name="Hyperlink" xfId="3866" builtinId="8" hidden="1"/>
    <cellStyle name="Hyperlink" xfId="8136" builtinId="8" hidden="1"/>
    <cellStyle name="Hyperlink" xfId="6776" builtinId="8" hidden="1"/>
    <cellStyle name="Hyperlink" xfId="6908" builtinId="8" hidden="1"/>
    <cellStyle name="Hyperlink" xfId="5932" builtinId="8" hidden="1"/>
    <cellStyle name="Hyperlink" xfId="4218" builtinId="8" hidden="1"/>
    <cellStyle name="Hyperlink" xfId="7986" builtinId="8" hidden="1"/>
    <cellStyle name="Hyperlink" xfId="6182" builtinId="8" hidden="1"/>
    <cellStyle name="Hyperlink" xfId="3762" builtinId="8" hidden="1"/>
    <cellStyle name="Hyperlink" xfId="8092" builtinId="8" hidden="1"/>
    <cellStyle name="Hyperlink" xfId="2244" builtinId="8" hidden="1"/>
    <cellStyle name="Hyperlink" xfId="269" builtinId="8" hidden="1"/>
    <cellStyle name="Hyperlink" xfId="5684" builtinId="8" hidden="1"/>
    <cellStyle name="Hyperlink" xfId="4140" builtinId="8" hidden="1"/>
    <cellStyle name="Hyperlink" xfId="1570" builtinId="8" hidden="1"/>
    <cellStyle name="Hyperlink" xfId="1642" builtinId="8" hidden="1"/>
    <cellStyle name="Hyperlink" xfId="5514" builtinId="8" hidden="1"/>
    <cellStyle name="Hyperlink" xfId="962" builtinId="8" hidden="1"/>
    <cellStyle name="Hyperlink" xfId="2796" builtinId="8" hidden="1"/>
    <cellStyle name="Hyperlink" xfId="5068" builtinId="8" hidden="1"/>
    <cellStyle name="Hyperlink" xfId="6096" builtinId="8" hidden="1"/>
    <cellStyle name="Hyperlink" xfId="7882" builtinId="8" hidden="1"/>
    <cellStyle name="Hyperlink" xfId="7508" builtinId="8" hidden="1"/>
    <cellStyle name="Hyperlink" xfId="1362" builtinId="8" hidden="1"/>
    <cellStyle name="Hyperlink" xfId="5692" builtinId="8" hidden="1"/>
    <cellStyle name="Hyperlink" xfId="2258" builtinId="8" hidden="1"/>
    <cellStyle name="Hyperlink" xfId="866" builtinId="8" hidden="1"/>
    <cellStyle name="Hyperlink" xfId="5502" builtinId="8" hidden="1"/>
    <cellStyle name="Hyperlink" xfId="7578" builtinId="8" hidden="1"/>
    <cellStyle name="Hyperlink" xfId="203" builtinId="8" hidden="1"/>
    <cellStyle name="Hyperlink" xfId="6498" builtinId="8" hidden="1"/>
    <cellStyle name="Hyperlink" xfId="179" builtinId="8" hidden="1"/>
    <cellStyle name="Hyperlink" xfId="7388" builtinId="8" hidden="1"/>
    <cellStyle name="Hyperlink" xfId="6634" builtinId="8" hidden="1"/>
    <cellStyle name="Hyperlink" xfId="5358" builtinId="8" hidden="1"/>
    <cellStyle name="Hyperlink" xfId="5656" builtinId="8" hidden="1"/>
    <cellStyle name="Hyperlink" xfId="3482" builtinId="8" hidden="1"/>
    <cellStyle name="Hyperlink" xfId="5462" builtinId="8" hidden="1"/>
    <cellStyle name="Hyperlink" xfId="2754" builtinId="8" hidden="1"/>
    <cellStyle name="Hyperlink" xfId="5588" builtinId="8" hidden="1"/>
    <cellStyle name="Hyperlink" xfId="980" builtinId="8" hidden="1"/>
    <cellStyle name="Hyperlink" xfId="4800" builtinId="8" hidden="1"/>
    <cellStyle name="Hyperlink" xfId="2890" builtinId="8" hidden="1"/>
    <cellStyle name="Hyperlink" xfId="4962" builtinId="8" hidden="1"/>
    <cellStyle name="Hyperlink" xfId="6458" builtinId="8" hidden="1"/>
    <cellStyle name="Hyperlink" xfId="6180" builtinId="8" hidden="1"/>
    <cellStyle name="Hyperlink" xfId="8000" builtinId="8" hidden="1"/>
    <cellStyle name="Hyperlink" xfId="221" builtinId="8" hidden="1"/>
    <cellStyle name="Hyperlink" xfId="451" builtinId="8" hidden="1"/>
    <cellStyle name="Hyperlink" xfId="7532" builtinId="8" hidden="1"/>
    <cellStyle name="Hyperlink" xfId="3800" builtinId="8" hidden="1"/>
    <cellStyle name="Hyperlink" xfId="2190" builtinId="8" hidden="1"/>
    <cellStyle name="Hyperlink" xfId="1418" builtinId="8" hidden="1"/>
    <cellStyle name="Hyperlink" xfId="5672" builtinId="8" hidden="1"/>
    <cellStyle name="Hyperlink" xfId="854" builtinId="8" hidden="1"/>
    <cellStyle name="Hyperlink" xfId="2860" builtinId="8" hidden="1"/>
    <cellStyle name="Hyperlink" xfId="1122" builtinId="8" hidden="1"/>
    <cellStyle name="Hyperlink" xfId="2194" builtinId="8" hidden="1"/>
    <cellStyle name="Hyperlink" xfId="592" builtinId="8" hidden="1"/>
    <cellStyle name="Hyperlink" xfId="1736" builtinId="8" hidden="1"/>
    <cellStyle name="Hyperlink" xfId="2140" builtinId="8" hidden="1"/>
    <cellStyle name="Hyperlink" xfId="4612" builtinId="8" hidden="1"/>
    <cellStyle name="Hyperlink" xfId="1278" builtinId="8" hidden="1"/>
    <cellStyle name="Hyperlink" xfId="4552" builtinId="8" hidden="1"/>
    <cellStyle name="Hyperlink" xfId="936" builtinId="8" hidden="1"/>
    <cellStyle name="Hyperlink" xfId="4106" builtinId="8" hidden="1"/>
    <cellStyle name="Hyperlink" xfId="1550" builtinId="8" hidden="1"/>
    <cellStyle name="Hyperlink" xfId="2290" builtinId="8" hidden="1"/>
    <cellStyle name="Hyperlink" xfId="5152" builtinId="8" hidden="1"/>
    <cellStyle name="Hyperlink" xfId="1738" builtinId="8" hidden="1"/>
    <cellStyle name="Hyperlink" xfId="6880" builtinId="8" hidden="1"/>
    <cellStyle name="Hyperlink" xfId="283" builtinId="8" hidden="1"/>
    <cellStyle name="Hyperlink" xfId="6124" builtinId="8" hidden="1"/>
    <cellStyle name="Hyperlink" xfId="7810" builtinId="8" hidden="1"/>
    <cellStyle name="Hyperlink" xfId="3264" builtinId="8" hidden="1"/>
    <cellStyle name="Hyperlink" xfId="5168" builtinId="8" hidden="1"/>
    <cellStyle name="Hyperlink" xfId="6962" builtinId="8" hidden="1"/>
    <cellStyle name="Hyperlink" xfId="4470" builtinId="8" hidden="1"/>
    <cellStyle name="Hyperlink" xfId="3172" builtinId="8" hidden="1"/>
    <cellStyle name="Hyperlink" xfId="2150" builtinId="8" hidden="1"/>
    <cellStyle name="Hyperlink" xfId="2544" builtinId="8" hidden="1"/>
    <cellStyle name="Hyperlink" xfId="2182" builtinId="8" hidden="1"/>
    <cellStyle name="Hyperlink" xfId="7996" builtinId="8" hidden="1"/>
    <cellStyle name="Hyperlink" xfId="5534" builtinId="8" hidden="1"/>
    <cellStyle name="Hyperlink" xfId="1030" builtinId="8" hidden="1"/>
    <cellStyle name="Hyperlink" xfId="7078" builtinId="8" hidden="1"/>
    <cellStyle name="Hyperlink" xfId="2972" builtinId="8" hidden="1"/>
    <cellStyle name="Hyperlink" xfId="4376" builtinId="8" hidden="1"/>
    <cellStyle name="Hyperlink" xfId="3196" builtinId="8" hidden="1"/>
    <cellStyle name="Hyperlink" xfId="4188" builtinId="8" hidden="1"/>
    <cellStyle name="Hyperlink" xfId="3522" builtinId="8" hidden="1"/>
    <cellStyle name="Hyperlink" xfId="4628" builtinId="8" hidden="1"/>
    <cellStyle name="Hyperlink" xfId="2392" builtinId="8" hidden="1"/>
    <cellStyle name="Hyperlink" xfId="2608" builtinId="8" hidden="1"/>
    <cellStyle name="Hyperlink" xfId="3604" builtinId="8" hidden="1"/>
    <cellStyle name="Hyperlink" xfId="4810" builtinId="8" hidden="1"/>
    <cellStyle name="Hyperlink" xfId="3826" builtinId="8" hidden="1"/>
    <cellStyle name="Hyperlink" xfId="7136" builtinId="8" hidden="1"/>
    <cellStyle name="Hyperlink" xfId="223" builtinId="8" hidden="1"/>
    <cellStyle name="Hyperlink" xfId="1730" builtinId="8" hidden="1"/>
    <cellStyle name="Hyperlink" xfId="7990" builtinId="8" hidden="1"/>
    <cellStyle name="Hyperlink" xfId="139" builtinId="8" hidden="1"/>
    <cellStyle name="Hyperlink" xfId="2902" builtinId="8" hidden="1"/>
    <cellStyle name="Hyperlink" xfId="7776" builtinId="8" hidden="1"/>
    <cellStyle name="Hyperlink" xfId="802" builtinId="8" hidden="1"/>
    <cellStyle name="Hyperlink" xfId="8162" builtinId="8" hidden="1"/>
    <cellStyle name="Hyperlink" xfId="2634" builtinId="8" hidden="1"/>
    <cellStyle name="Hyperlink" xfId="479" builtinId="8" hidden="1"/>
    <cellStyle name="Hyperlink" xfId="3724" builtinId="8" hidden="1"/>
    <cellStyle name="Hyperlink" xfId="2640" builtinId="8" hidden="1"/>
    <cellStyle name="Hyperlink" xfId="4240" builtinId="8" hidden="1"/>
    <cellStyle name="Hyperlink" xfId="4576" builtinId="8" hidden="1"/>
    <cellStyle name="Hyperlink" xfId="395" builtinId="8" hidden="1"/>
    <cellStyle name="Hyperlink" xfId="8070" builtinId="8" hidden="1"/>
    <cellStyle name="Hyperlink" xfId="7056" builtinId="8" hidden="1"/>
    <cellStyle name="Hyperlink" xfId="3616" builtinId="8" hidden="1"/>
    <cellStyle name="Hyperlink" xfId="5456" builtinId="8" hidden="1"/>
    <cellStyle name="Hyperlink" xfId="4204" builtinId="8" hidden="1"/>
    <cellStyle name="Hyperlink" xfId="7520" builtinId="8" hidden="1"/>
    <cellStyle name="Hyperlink" xfId="4622" builtinId="8" hidden="1"/>
    <cellStyle name="Hyperlink" xfId="105" builtinId="8" hidden="1"/>
    <cellStyle name="Hyperlink" xfId="3032" builtinId="8" hidden="1"/>
    <cellStyle name="Hyperlink" xfId="5106" builtinId="8" hidden="1"/>
    <cellStyle name="Hyperlink" xfId="2936" builtinId="8" hidden="1"/>
    <cellStyle name="Hyperlink" xfId="547" builtinId="8" hidden="1"/>
    <cellStyle name="Hyperlink" xfId="7042" builtinId="8" hidden="1"/>
    <cellStyle name="Hyperlink" xfId="1238" builtinId="8" hidden="1"/>
    <cellStyle name="Hyperlink" xfId="1718" builtinId="8" hidden="1"/>
    <cellStyle name="Hyperlink" xfId="5270" builtinId="8" hidden="1"/>
    <cellStyle name="Hyperlink" xfId="7216" builtinId="8" hidden="1"/>
    <cellStyle name="Hyperlink" xfId="6788" builtinId="8" hidden="1"/>
    <cellStyle name="Hyperlink" xfId="1426" builtinId="8" hidden="1"/>
    <cellStyle name="Hyperlink" xfId="7462" builtinId="8" hidden="1"/>
    <cellStyle name="Hyperlink" xfId="7278" builtinId="8" hidden="1"/>
    <cellStyle name="Hyperlink" xfId="5804" builtinId="8" hidden="1"/>
    <cellStyle name="Hyperlink" xfId="6028" builtinId="8" hidden="1"/>
    <cellStyle name="Hyperlink" xfId="137" builtinId="8" hidden="1"/>
    <cellStyle name="Hyperlink" xfId="2968" builtinId="8" hidden="1"/>
    <cellStyle name="Hyperlink" xfId="3550" builtinId="8" hidden="1"/>
    <cellStyle name="Hyperlink" xfId="5380" builtinId="8" hidden="1"/>
    <cellStyle name="Hyperlink" xfId="2440" builtinId="8" hidden="1"/>
    <cellStyle name="Hyperlink" xfId="5284" builtinId="8" hidden="1"/>
    <cellStyle name="Hyperlink" xfId="7694" builtinId="8" hidden="1"/>
    <cellStyle name="Hyperlink" xfId="7168" builtinId="8" hidden="1"/>
    <cellStyle name="Hyperlink" xfId="7696" builtinId="8" hidden="1"/>
    <cellStyle name="Hyperlink" xfId="5" builtinId="8" hidden="1"/>
    <cellStyle name="Hyperlink" xfId="3852" builtinId="8" hidden="1"/>
    <cellStyle name="Hyperlink" xfId="6804" builtinId="8" hidden="1"/>
    <cellStyle name="Hyperlink" xfId="1292" builtinId="8" hidden="1"/>
    <cellStyle name="Hyperlink" xfId="4814" builtinId="8" hidden="1"/>
    <cellStyle name="Hyperlink" xfId="2300" builtinId="8" hidden="1"/>
    <cellStyle name="Hyperlink" xfId="3906" builtinId="8" hidden="1"/>
    <cellStyle name="Hyperlink" xfId="3738" builtinId="8" hidden="1"/>
    <cellStyle name="Hyperlink" xfId="3162" builtinId="8" hidden="1"/>
    <cellStyle name="Hyperlink" xfId="2758" builtinId="8" hidden="1"/>
    <cellStyle name="Hyperlink" xfId="1612" builtinId="8" hidden="1"/>
    <cellStyle name="Hyperlink" xfId="2108" builtinId="8" hidden="1"/>
    <cellStyle name="Hyperlink" xfId="6502" builtinId="8" hidden="1"/>
    <cellStyle name="Hyperlink" xfId="337" builtinId="8" hidden="1"/>
    <cellStyle name="Hyperlink" xfId="6904" builtinId="8" hidden="1"/>
    <cellStyle name="Hyperlink" xfId="6526" builtinId="8" hidden="1"/>
    <cellStyle name="Hyperlink" xfId="2514" builtinId="8" hidden="1"/>
    <cellStyle name="Hyperlink" xfId="6350" builtinId="8" hidden="1"/>
    <cellStyle name="Hyperlink" xfId="375" builtinId="8" hidden="1"/>
    <cellStyle name="Hyperlink" xfId="3266" builtinId="8" hidden="1"/>
    <cellStyle name="Hyperlink" xfId="6382" builtinId="8" hidden="1"/>
    <cellStyle name="Hyperlink" xfId="4588" builtinId="8" hidden="1"/>
    <cellStyle name="Hyperlink" xfId="7794" builtinId="8" hidden="1"/>
    <cellStyle name="Hyperlink" xfId="6958" builtinId="8" hidden="1"/>
    <cellStyle name="Hyperlink" xfId="5084" builtinId="8" hidden="1"/>
    <cellStyle name="Hyperlink" xfId="7660" builtinId="8" hidden="1"/>
    <cellStyle name="Hyperlink" xfId="1080" builtinId="8" hidden="1"/>
    <cellStyle name="Hyperlink" xfId="3626" builtinId="8" hidden="1"/>
    <cellStyle name="Hyperlink" xfId="7826" builtinId="8" hidden="1"/>
    <cellStyle name="Hyperlink" xfId="736" builtinId="8" hidden="1"/>
    <cellStyle name="Hyperlink" xfId="7190" builtinId="8" hidden="1"/>
    <cellStyle name="Hyperlink" xfId="5632" builtinId="8" hidden="1"/>
    <cellStyle name="Hyperlink" xfId="1264" builtinId="8" hidden="1"/>
    <cellStyle name="Hyperlink" xfId="1180" builtinId="8" hidden="1"/>
    <cellStyle name="Hyperlink" xfId="1174" builtinId="8" hidden="1"/>
    <cellStyle name="Hyperlink" xfId="3760" builtinId="8" hidden="1"/>
    <cellStyle name="Hyperlink" xfId="7612" builtinId="8" hidden="1"/>
    <cellStyle name="Hyperlink" xfId="4558" builtinId="8" hidden="1"/>
    <cellStyle name="Hyperlink" xfId="7024" builtinId="8" hidden="1"/>
    <cellStyle name="Hyperlink" xfId="1944" builtinId="8" hidden="1"/>
    <cellStyle name="Hyperlink" xfId="127" builtinId="8" hidden="1"/>
    <cellStyle name="Hyperlink" xfId="4602" builtinId="8" hidden="1"/>
    <cellStyle name="Hyperlink" xfId="3218" builtinId="8" hidden="1"/>
    <cellStyle name="Hyperlink" xfId="7574" builtinId="8" hidden="1"/>
    <cellStyle name="Hyperlink" xfId="6224" builtinId="8" hidden="1"/>
    <cellStyle name="Hyperlink" xfId="5160" builtinId="8" hidden="1"/>
    <cellStyle name="Hyperlink" xfId="2354" builtinId="8" hidden="1"/>
    <cellStyle name="Hyperlink" xfId="6628" builtinId="8" hidden="1"/>
    <cellStyle name="Hyperlink" xfId="7702" builtinId="8" hidden="1"/>
    <cellStyle name="Hyperlink" xfId="8178" builtinId="8" hidden="1"/>
    <cellStyle name="Hyperlink" xfId="3624" builtinId="8" hidden="1"/>
    <cellStyle name="Hyperlink" xfId="2444" builtinId="8" hidden="1"/>
    <cellStyle name="Hyperlink" xfId="5388" builtinId="8" hidden="1"/>
    <cellStyle name="Hyperlink" xfId="2846" builtinId="8" hidden="1"/>
    <cellStyle name="Hyperlink" xfId="7150" builtinId="8" hidden="1"/>
    <cellStyle name="Hyperlink" xfId="7482" builtinId="8" hidden="1"/>
    <cellStyle name="Hyperlink" xfId="2344" builtinId="8" hidden="1"/>
    <cellStyle name="Hyperlink" xfId="3984" builtinId="8" hidden="1"/>
    <cellStyle name="Hyperlink" xfId="165" builtinId="8" hidden="1"/>
    <cellStyle name="Hyperlink" xfId="2954" builtinId="8" hidden="1"/>
    <cellStyle name="Hyperlink" xfId="5840" builtinId="8" hidden="1"/>
    <cellStyle name="Hyperlink" xfId="6866" builtinId="8" hidden="1"/>
    <cellStyle name="Hyperlink" xfId="5040" builtinId="8" hidden="1"/>
    <cellStyle name="Hyperlink" xfId="2042" builtinId="8" hidden="1"/>
    <cellStyle name="Hyperlink" xfId="6662" builtinId="8" hidden="1"/>
    <cellStyle name="Hyperlink" xfId="2540" builtinId="8" hidden="1"/>
    <cellStyle name="Hyperlink" xfId="6518" builtinId="8" hidden="1"/>
    <cellStyle name="Hyperlink" xfId="3336" builtinId="8" hidden="1"/>
    <cellStyle name="Hyperlink" xfId="844" builtinId="8" hidden="1"/>
    <cellStyle name="Hyperlink" xfId="491" builtinId="8" hidden="1"/>
    <cellStyle name="Hyperlink" xfId="7060" builtinId="8" hidden="1"/>
    <cellStyle name="Hyperlink" xfId="3764" builtinId="8" hidden="1"/>
    <cellStyle name="Hyperlink" xfId="6076" builtinId="8" hidden="1"/>
    <cellStyle name="Hyperlink" xfId="774" builtinId="8" hidden="1"/>
    <cellStyle name="Hyperlink" xfId="6194" builtinId="8" hidden="1"/>
    <cellStyle name="Hyperlink" xfId="6216" builtinId="8" hidden="1"/>
    <cellStyle name="Hyperlink" xfId="1820" builtinId="8" hidden="1"/>
    <cellStyle name="Hyperlink" xfId="5240" builtinId="8" hidden="1"/>
    <cellStyle name="Hyperlink" xfId="3180" builtinId="8" hidden="1"/>
    <cellStyle name="Hyperlink" xfId="5668" builtinId="8" hidden="1"/>
    <cellStyle name="Hyperlink" xfId="189" builtinId="8" hidden="1"/>
    <cellStyle name="Hyperlink" xfId="6956" builtinId="8" hidden="1"/>
    <cellStyle name="Hyperlink" xfId="7102" builtinId="8" hidden="1"/>
    <cellStyle name="Hyperlink" xfId="2016" builtinId="8" hidden="1"/>
    <cellStyle name="Hyperlink" xfId="3788" builtinId="8" hidden="1"/>
    <cellStyle name="Hyperlink" xfId="5838" builtinId="8" hidden="1"/>
    <cellStyle name="Hyperlink" xfId="2786" builtinId="8" hidden="1"/>
    <cellStyle name="Hyperlink" xfId="6468" builtinId="8" hidden="1"/>
    <cellStyle name="Hyperlink" xfId="7448" builtinId="8" hidden="1"/>
    <cellStyle name="Hyperlink" xfId="1128" builtinId="8" hidden="1"/>
    <cellStyle name="Hyperlink" xfId="7782" builtinId="8" hidden="1"/>
    <cellStyle name="Hyperlink" xfId="768" builtinId="8" hidden="1"/>
    <cellStyle name="Hyperlink" xfId="4556" builtinId="8" hidden="1"/>
    <cellStyle name="Hyperlink" xfId="5226" builtinId="8" hidden="1"/>
    <cellStyle name="Hyperlink" xfId="5990" builtinId="8" hidden="1"/>
    <cellStyle name="Hyperlink" xfId="2456" builtinId="8" hidden="1"/>
    <cellStyle name="Hyperlink" xfId="5614" builtinId="8" hidden="1"/>
    <cellStyle name="Hyperlink" xfId="5400" builtinId="8" hidden="1"/>
    <cellStyle name="Hyperlink" xfId="2752" builtinId="8" hidden="1"/>
    <cellStyle name="Hyperlink" xfId="3980" builtinId="8" hidden="1"/>
    <cellStyle name="Hyperlink" xfId="1690" builtinId="8" hidden="1"/>
    <cellStyle name="Hyperlink" xfId="4722" builtinId="8" hidden="1"/>
    <cellStyle name="Hyperlink" xfId="3334" builtinId="8" hidden="1"/>
    <cellStyle name="Hyperlink" xfId="423" builtinId="8" hidden="1"/>
    <cellStyle name="Hyperlink" xfId="7670" builtinId="8" hidden="1"/>
    <cellStyle name="Hyperlink" xfId="3002" builtinId="8" hidden="1"/>
    <cellStyle name="Hyperlink" xfId="4984" builtinId="8" hidden="1"/>
    <cellStyle name="Hyperlink" xfId="2246" builtinId="8" hidden="1"/>
    <cellStyle name="Hyperlink" xfId="7162" builtinId="8" hidden="1"/>
    <cellStyle name="Hyperlink" xfId="3898" builtinId="8" hidden="1"/>
    <cellStyle name="Hyperlink" xfId="7038" builtinId="8" hidden="1"/>
    <cellStyle name="Hyperlink" xfId="7716" builtinId="8" hidden="1"/>
    <cellStyle name="Hyperlink" xfId="5100" builtinId="8" hidden="1"/>
    <cellStyle name="Hyperlink" xfId="7358" builtinId="8" hidden="1"/>
    <cellStyle name="Hyperlink" xfId="155" builtinId="8" hidden="1"/>
    <cellStyle name="Hyperlink" xfId="1040" builtinId="8" hidden="1"/>
    <cellStyle name="Hyperlink" xfId="6020" builtinId="8" hidden="1"/>
    <cellStyle name="Hyperlink" xfId="5924" builtinId="8" hidden="1"/>
    <cellStyle name="Hyperlink" xfId="7456" builtinId="8" hidden="1"/>
    <cellStyle name="Hyperlink" xfId="4744" builtinId="8" hidden="1"/>
    <cellStyle name="Hyperlink" xfId="8044" builtinId="8" hidden="1"/>
    <cellStyle name="Hyperlink" xfId="529" builtinId="8" hidden="1"/>
    <cellStyle name="Hyperlink" xfId="5320" builtinId="8" hidden="1"/>
    <cellStyle name="Hyperlink" xfId="6888" builtinId="8" hidden="1"/>
    <cellStyle name="Hyperlink" xfId="309" builtinId="8" hidden="1"/>
    <cellStyle name="Hyperlink" xfId="4966" builtinId="8" hidden="1"/>
    <cellStyle name="Hyperlink" xfId="5444" builtinId="8" hidden="1"/>
    <cellStyle name="Hyperlink" xfId="1722" builtinId="8" hidden="1"/>
    <cellStyle name="Hyperlink" xfId="4442" builtinId="8" hidden="1"/>
    <cellStyle name="Hyperlink" xfId="2648" builtinId="8" hidden="1"/>
    <cellStyle name="Hyperlink" xfId="4414" builtinId="8" hidden="1"/>
    <cellStyle name="Hyperlink" xfId="2944" builtinId="8" hidden="1"/>
    <cellStyle name="Hyperlink" xfId="5910" builtinId="8" hidden="1"/>
    <cellStyle name="Hyperlink" xfId="2476" builtinId="8" hidden="1"/>
    <cellStyle name="Hyperlink" xfId="5394" builtinId="8" hidden="1"/>
    <cellStyle name="Hyperlink" xfId="4022" builtinId="8" hidden="1"/>
    <cellStyle name="Hyperlink" xfId="1184" builtinId="8" hidden="1"/>
    <cellStyle name="Hyperlink" xfId="6546" builtinId="8" hidden="1"/>
    <cellStyle name="Hyperlink" xfId="229" builtinId="8" hidden="1"/>
    <cellStyle name="Hyperlink" xfId="4716" builtinId="8" hidden="1"/>
    <cellStyle name="Hyperlink" xfId="1914" builtinId="8" hidden="1"/>
    <cellStyle name="Hyperlink" xfId="1850" builtinId="8" hidden="1"/>
    <cellStyle name="Hyperlink" xfId="565" builtinId="8" hidden="1"/>
    <cellStyle name="Hyperlink" xfId="5004" builtinId="8" hidden="1"/>
    <cellStyle name="Hyperlink" xfId="3640" builtinId="8" hidden="1"/>
    <cellStyle name="Hyperlink" xfId="3342" builtinId="8" hidden="1"/>
    <cellStyle name="Hyperlink" xfId="3992" builtinId="8" hidden="1"/>
    <cellStyle name="Hyperlink" xfId="630" builtinId="8" hidden="1"/>
    <cellStyle name="Hyperlink" xfId="93" builtinId="8" hidden="1"/>
    <cellStyle name="Hyperlink" xfId="2410" builtinId="8" hidden="1"/>
    <cellStyle name="Hyperlink" xfId="4464" builtinId="8" hidden="1"/>
    <cellStyle name="Hyperlink" xfId="4344" builtinId="8" hidden="1"/>
    <cellStyle name="Hyperlink" xfId="1302" builtinId="8" hidden="1"/>
    <cellStyle name="Hyperlink" xfId="2664" builtinId="8" hidden="1"/>
    <cellStyle name="Hyperlink" xfId="2710" builtinId="8" hidden="1"/>
    <cellStyle name="Hyperlink" xfId="6138" builtinId="8" hidden="1"/>
    <cellStyle name="Hyperlink" xfId="3688" builtinId="8" hidden="1"/>
    <cellStyle name="Hyperlink" xfId="7584" builtinId="8" hidden="1"/>
    <cellStyle name="Hyperlink" xfId="7892" builtinId="8" hidden="1"/>
    <cellStyle name="Hyperlink" xfId="7420" builtinId="8" hidden="1"/>
    <cellStyle name="Hyperlink" xfId="988" builtinId="8" hidden="1"/>
    <cellStyle name="Hyperlink" xfId="4568" builtinId="8" hidden="1"/>
    <cellStyle name="Hyperlink" xfId="6036" builtinId="8" hidden="1"/>
    <cellStyle name="Hyperlink" xfId="4844" builtinId="8" hidden="1"/>
    <cellStyle name="Hyperlink" xfId="5252" builtinId="8" hidden="1"/>
    <cellStyle name="Hyperlink" xfId="2854" builtinId="8" hidden="1"/>
    <cellStyle name="Hyperlink" xfId="5712" builtinId="8" hidden="1"/>
    <cellStyle name="Hyperlink" xfId="5786" builtinId="8" hidden="1"/>
    <cellStyle name="Hyperlink" xfId="6154" builtinId="8" hidden="1"/>
    <cellStyle name="Hyperlink" xfId="2704" builtinId="8" hidden="1"/>
    <cellStyle name="Hyperlink" xfId="4666" builtinId="8" hidden="1"/>
    <cellStyle name="Hyperlink" xfId="4110" builtinId="8" hidden="1"/>
    <cellStyle name="Hyperlink" xfId="4122" builtinId="8" hidden="1"/>
    <cellStyle name="Hyperlink" xfId="6990" builtinId="8" hidden="1"/>
    <cellStyle name="Hyperlink" xfId="2644" builtinId="8" hidden="1"/>
    <cellStyle name="Hyperlink" xfId="5748" builtinId="8" hidden="1"/>
    <cellStyle name="Hyperlink" xfId="5594" builtinId="8" hidden="1"/>
    <cellStyle name="Hyperlink" xfId="2360" builtinId="8" hidden="1"/>
    <cellStyle name="Hyperlink" xfId="415" builtinId="8" hidden="1"/>
    <cellStyle name="Hyperlink" xfId="267" builtinId="8" hidden="1"/>
    <cellStyle name="Hyperlink" xfId="427" builtinId="8" hidden="1"/>
    <cellStyle name="Hyperlink" xfId="4510" builtinId="8" hidden="1"/>
    <cellStyle name="Hyperlink" xfId="5900" builtinId="8" hidden="1"/>
    <cellStyle name="Hyperlink" xfId="1932" builtinId="8" hidden="1"/>
    <cellStyle name="Hyperlink" xfId="6522" builtinId="8" hidden="1"/>
    <cellStyle name="Hyperlink" xfId="5322" builtinId="8" hidden="1"/>
    <cellStyle name="Hyperlink" xfId="4934" builtinId="8" hidden="1"/>
    <cellStyle name="Hyperlink" xfId="3200" builtinId="8" hidden="1"/>
    <cellStyle name="Hyperlink" xfId="1048" builtinId="8" hidden="1"/>
    <cellStyle name="Hyperlink" xfId="4418" builtinId="8" hidden="1"/>
    <cellStyle name="Hyperlink" xfId="4900" builtinId="8" hidden="1"/>
    <cellStyle name="Hyperlink" xfId="1634" builtinId="8" hidden="1"/>
    <cellStyle name="Hyperlink" xfId="4650" builtinId="8" hidden="1"/>
    <cellStyle name="Hyperlink" xfId="7784" builtinId="8" hidden="1"/>
    <cellStyle name="Hyperlink" xfId="6828" builtinId="8" hidden="1"/>
    <cellStyle name="Hyperlink" xfId="1434" builtinId="8" hidden="1"/>
    <cellStyle name="Hyperlink" xfId="2218" builtinId="8" hidden="1"/>
    <cellStyle name="Hyperlink" xfId="4616" builtinId="8" hidden="1"/>
    <cellStyle name="Hyperlink" xfId="4152" builtinId="8" hidden="1"/>
    <cellStyle name="Hyperlink" xfId="6770" builtinId="8" hidden="1"/>
    <cellStyle name="Hyperlink" xfId="1282" builtinId="8" hidden="1"/>
    <cellStyle name="Hyperlink" xfId="928" builtinId="8" hidden="1"/>
    <cellStyle name="Hyperlink" xfId="7022" builtinId="8" hidden="1"/>
    <cellStyle name="Hyperlink" xfId="8020" builtinId="8" hidden="1"/>
    <cellStyle name="Hyperlink" xfId="1980" builtinId="8" hidden="1"/>
    <cellStyle name="Hyperlink" xfId="1244" builtinId="8" hidden="1"/>
    <cellStyle name="Hyperlink" xfId="4764" builtinId="8" hidden="1"/>
    <cellStyle name="Hyperlink" xfId="1924" builtinId="8" hidden="1"/>
    <cellStyle name="Hyperlink" xfId="3526" builtinId="8" hidden="1"/>
    <cellStyle name="Hyperlink" xfId="7948" builtinId="8" hidden="1"/>
    <cellStyle name="Hyperlink" xfId="3212" builtinId="8" hidden="1"/>
    <cellStyle name="Hyperlink" xfId="1672" builtinId="8" hidden="1"/>
    <cellStyle name="Hyperlink" xfId="433" builtinId="8" hidden="1"/>
    <cellStyle name="Hyperlink" xfId="6808" builtinId="8" hidden="1"/>
    <cellStyle name="Hyperlink" xfId="2426" builtinId="8" hidden="1"/>
    <cellStyle name="Hyperlink" xfId="3770" builtinId="8" hidden="1"/>
    <cellStyle name="Hyperlink" xfId="23" builtinId="8" hidden="1"/>
    <cellStyle name="Hyperlink" xfId="3260" builtinId="8" hidden="1"/>
    <cellStyle name="Hyperlink" xfId="5330" builtinId="8" hidden="1"/>
    <cellStyle name="Hyperlink" xfId="2580" builtinId="8" hidden="1"/>
    <cellStyle name="Hyperlink" xfId="4360" builtinId="8" hidden="1"/>
    <cellStyle name="Hyperlink" xfId="2822" builtinId="8" hidden="1"/>
    <cellStyle name="Hyperlink" xfId="1714" builtinId="8" hidden="1"/>
    <cellStyle name="Hyperlink" xfId="7958" builtinId="8" hidden="1"/>
    <cellStyle name="Hyperlink" xfId="3296" builtinId="8" hidden="1"/>
    <cellStyle name="Hyperlink" xfId="652" builtinId="8" hidden="1"/>
    <cellStyle name="Hyperlink" xfId="6460" builtinId="8" hidden="1"/>
    <cellStyle name="Hyperlink" xfId="347" builtinId="8" hidden="1"/>
    <cellStyle name="Hyperlink" xfId="3202" builtinId="8" hidden="1"/>
    <cellStyle name="Hyperlink" xfId="7592" builtinId="8" hidden="1"/>
    <cellStyle name="Hyperlink" xfId="3326" builtinId="8" hidden="1"/>
    <cellStyle name="Hyperlink" xfId="7504" builtinId="8" hidden="1"/>
    <cellStyle name="Hyperlink" xfId="3780" builtinId="8" hidden="1"/>
    <cellStyle name="Hyperlink" xfId="7744" builtinId="8" hidden="1"/>
    <cellStyle name="Hyperlink" xfId="3112" builtinId="8" hidden="1"/>
    <cellStyle name="Hyperlink" xfId="5810" builtinId="8" hidden="1"/>
    <cellStyle name="Hyperlink" xfId="864" builtinId="8" hidden="1"/>
    <cellStyle name="Hyperlink" xfId="4424" builtinId="8" hidden="1"/>
    <cellStyle name="Hyperlink" xfId="3310" builtinId="8" hidden="1"/>
    <cellStyle name="Hyperlink" xfId="4780" builtinId="8" hidden="1"/>
    <cellStyle name="Hyperlink" xfId="4618" builtinId="8" hidden="1"/>
    <cellStyle name="Hyperlink" xfId="5648" builtinId="8" hidden="1"/>
    <cellStyle name="Hyperlink" xfId="5902" builtinId="8" hidden="1"/>
    <cellStyle name="Hyperlink" xfId="135" builtinId="8" hidden="1"/>
    <cellStyle name="Hyperlink" xfId="1400" builtinId="8" hidden="1"/>
    <cellStyle name="Hyperlink" xfId="646" builtinId="8" hidden="1"/>
    <cellStyle name="Hyperlink" xfId="1366" builtinId="8" hidden="1"/>
    <cellStyle name="Hyperlink" xfId="7846" builtinId="8" hidden="1"/>
    <cellStyle name="Hyperlink" xfId="3766" builtinId="8" hidden="1"/>
    <cellStyle name="Hyperlink" xfId="5914" builtinId="8" hidden="1"/>
    <cellStyle name="Hyperlink" xfId="1542" builtinId="8" hidden="1"/>
    <cellStyle name="Hyperlink" xfId="4968" builtinId="8" hidden="1"/>
    <cellStyle name="Hyperlink" xfId="1216" builtinId="8" hidden="1"/>
    <cellStyle name="Hyperlink" xfId="2084" builtinId="8" hidden="1"/>
    <cellStyle name="Hyperlink" xfId="6280" builtinId="8" hidden="1"/>
    <cellStyle name="Hyperlink" xfId="1810" builtinId="8" hidden="1"/>
    <cellStyle name="Hyperlink" xfId="7656" builtinId="8" hidden="1"/>
    <cellStyle name="Hyperlink" xfId="6404" builtinId="8" hidden="1"/>
    <cellStyle name="Hyperlink" xfId="1348" builtinId="8" hidden="1"/>
    <cellStyle name="Hyperlink" xfId="5918" builtinId="8" hidden="1"/>
    <cellStyle name="Hyperlink" xfId="5410" builtinId="8" hidden="1"/>
    <cellStyle name="Hyperlink" xfId="6316" builtinId="8" hidden="1"/>
    <cellStyle name="Hyperlink" xfId="8012" builtinId="8" hidden="1"/>
    <cellStyle name="Hyperlink" xfId="1656" builtinId="8" hidden="1"/>
    <cellStyle name="Hyperlink" xfId="4728" builtinId="8" hidden="1"/>
    <cellStyle name="Hyperlink" xfId="2176" builtinId="8" hidden="1"/>
    <cellStyle name="Hyperlink" xfId="8060" builtinId="8" hidden="1"/>
    <cellStyle name="Hyperlink" xfId="2060" builtinId="8" hidden="1"/>
    <cellStyle name="Hyperlink" xfId="5592" builtinId="8" hidden="1"/>
    <cellStyle name="Hyperlink" xfId="4858" builtinId="8" hidden="1"/>
    <cellStyle name="Hyperlink" xfId="5836" builtinId="8" hidden="1"/>
    <cellStyle name="Hyperlink" xfId="7642" builtinId="8" hidden="1"/>
    <cellStyle name="Hyperlink" xfId="2570" builtinId="8" hidden="1"/>
    <cellStyle name="Hyperlink" xfId="4398" builtinId="8" hidden="1"/>
    <cellStyle name="Hyperlink" xfId="6360" builtinId="8" hidden="1"/>
    <cellStyle name="Hyperlink" xfId="6168" builtinId="8" hidden="1"/>
    <cellStyle name="Hyperlink" xfId="453" builtinId="8" hidden="1"/>
    <cellStyle name="Hyperlink" xfId="2956" builtinId="8" hidden="1"/>
    <cellStyle name="Hyperlink" xfId="2006" builtinId="8" hidden="1"/>
    <cellStyle name="Hyperlink" xfId="690" builtinId="8" hidden="1"/>
    <cellStyle name="Hyperlink" xfId="6362" builtinId="8" hidden="1"/>
    <cellStyle name="Hyperlink" xfId="5770" builtinId="8" hidden="1"/>
    <cellStyle name="Hyperlink" xfId="1584" builtinId="8" hidden="1"/>
    <cellStyle name="Hyperlink" xfId="5416" builtinId="8" hidden="1"/>
    <cellStyle name="Hyperlink" xfId="5616" builtinId="8" hidden="1"/>
    <cellStyle name="Hyperlink" xfId="1686" builtinId="8" hidden="1"/>
    <cellStyle name="Hyperlink" xfId="1500" builtinId="8" hidden="1"/>
    <cellStyle name="Hyperlink" xfId="7052" builtinId="8" hidden="1"/>
    <cellStyle name="Hyperlink" xfId="5554" builtinId="8" hidden="1"/>
    <cellStyle name="Hyperlink" xfId="237" builtinId="8" hidden="1"/>
    <cellStyle name="Hyperlink" xfId="6560" builtinId="8" hidden="1"/>
    <cellStyle name="Hyperlink" xfId="4700" builtinId="8" hidden="1"/>
    <cellStyle name="Hyperlink" xfId="6900" builtinId="8" hidden="1"/>
    <cellStyle name="Hyperlink" xfId="3142" builtinId="8" hidden="1"/>
    <cellStyle name="Hyperlink" xfId="3492" builtinId="8" hidden="1"/>
    <cellStyle name="Hyperlink" xfId="2078" builtinId="8" hidden="1"/>
    <cellStyle name="Hyperlink" xfId="6004" builtinId="8" hidden="1"/>
    <cellStyle name="Hyperlink" xfId="6250" builtinId="8" hidden="1"/>
    <cellStyle name="Hyperlink" xfId="5124" builtinId="8" hidden="1"/>
    <cellStyle name="Hyperlink" xfId="1684" builtinId="8" hidden="1"/>
    <cellStyle name="Hyperlink" xfId="5846" builtinId="8" hidden="1"/>
    <cellStyle name="Hyperlink" xfId="1060" builtinId="8" hidden="1"/>
    <cellStyle name="Hyperlink" xfId="1870" builtinId="8" hidden="1"/>
    <cellStyle name="Hyperlink" xfId="2654" builtinId="8" hidden="1"/>
    <cellStyle name="Hyperlink" xfId="4634" builtinId="8" hidden="1"/>
    <cellStyle name="Hyperlink" xfId="7430" builtinId="8" hidden="1"/>
    <cellStyle name="Hyperlink" xfId="6228" builtinId="8" hidden="1"/>
    <cellStyle name="Hyperlink" xfId="6824" builtinId="8" hidden="1"/>
    <cellStyle name="Hyperlink" xfId="7180" builtinId="8" hidden="1"/>
    <cellStyle name="Hyperlink" xfId="2850" builtinId="8" hidden="1"/>
    <cellStyle name="Hyperlink" xfId="4072" builtinId="8" hidden="1"/>
    <cellStyle name="Hyperlink" xfId="5374" builtinId="8" hidden="1"/>
    <cellStyle name="Hyperlink" xfId="5156" builtinId="8" hidden="1"/>
    <cellStyle name="Hyperlink" xfId="3566" builtinId="8" hidden="1"/>
    <cellStyle name="Hyperlink" xfId="990" builtinId="8" hidden="1"/>
    <cellStyle name="Hyperlink" xfId="4224" builtinId="8" hidden="1"/>
    <cellStyle name="Hyperlink" xfId="5010" builtinId="8" hidden="1"/>
    <cellStyle name="Hyperlink" xfId="1702" builtinId="8" hidden="1"/>
    <cellStyle name="Hyperlink" xfId="527" builtinId="8" hidden="1"/>
    <cellStyle name="Hyperlink" xfId="87" builtinId="8" hidden="1"/>
    <cellStyle name="Hyperlink" xfId="3422" builtinId="8" hidden="1"/>
    <cellStyle name="Hyperlink" xfId="7852" builtinId="8" hidden="1"/>
    <cellStyle name="Hyperlink" xfId="1164" builtinId="8" hidden="1"/>
    <cellStyle name="Hyperlink" xfId="3850" builtinId="8" hidden="1"/>
    <cellStyle name="Hyperlink" xfId="5368" builtinId="8" hidden="1"/>
    <cellStyle name="Hyperlink" xfId="4682" builtinId="8" hidden="1"/>
    <cellStyle name="Hyperlink" xfId="7672" builtinId="8" hidden="1"/>
    <cellStyle name="Hyperlink" xfId="4756" builtinId="8" hidden="1"/>
    <cellStyle name="Hyperlink" xfId="7674" builtinId="8" hidden="1"/>
    <cellStyle name="Hyperlink" xfId="4718" builtinId="8" hidden="1"/>
    <cellStyle name="Hyperlink" xfId="1986" builtinId="8" hidden="1"/>
    <cellStyle name="Hyperlink" xfId="2984" builtinId="8" hidden="1"/>
    <cellStyle name="Hyperlink" xfId="770" builtinId="8" hidden="1"/>
    <cellStyle name="Hyperlink" xfId="6032" builtinId="8" hidden="1"/>
    <cellStyle name="Hyperlink" xfId="6368" builtinId="8" hidden="1"/>
    <cellStyle name="Hyperlink" xfId="6638" builtinId="8" hidden="1"/>
    <cellStyle name="Hyperlink" xfId="5290" builtinId="8" hidden="1"/>
    <cellStyle name="Hyperlink" xfId="7838" builtinId="8" hidden="1"/>
    <cellStyle name="Hyperlink" xfId="6306" builtinId="8" hidden="1"/>
    <cellStyle name="Hyperlink" xfId="7530" builtinId="8" hidden="1"/>
    <cellStyle name="Hyperlink" xfId="2614" builtinId="8" hidden="1"/>
    <cellStyle name="Hyperlink" xfId="4476" builtinId="8" hidden="1"/>
    <cellStyle name="Hyperlink" xfId="4490" builtinId="8" hidden="1"/>
    <cellStyle name="Hyperlink" xfId="361" builtinId="8" hidden="1"/>
    <cellStyle name="Hyperlink" xfId="828" builtinId="8" hidden="1"/>
    <cellStyle name="Hyperlink" xfId="5216" builtinId="8" hidden="1"/>
    <cellStyle name="Hyperlink" xfId="7124" builtinId="8" hidden="1"/>
    <cellStyle name="Hyperlink" xfId="3832" builtinId="8" hidden="1"/>
    <cellStyle name="Hyperlink" xfId="4070" builtinId="8" hidden="1"/>
    <cellStyle name="Hyperlink" xfId="1594" builtinId="8" hidden="1"/>
    <cellStyle name="Hyperlink" xfId="6644" builtinId="8" hidden="1"/>
    <cellStyle name="Hyperlink" xfId="7320" builtinId="8" hidden="1"/>
    <cellStyle name="Hyperlink" xfId="4310" builtinId="8" hidden="1"/>
    <cellStyle name="Hyperlink" xfId="4530" builtinId="8" hidden="1"/>
    <cellStyle name="Hyperlink" xfId="5968" builtinId="8" hidden="1"/>
    <cellStyle name="Hyperlink" xfId="7816" builtinId="8" hidden="1"/>
    <cellStyle name="Hyperlink" xfId="187" builtinId="8" hidden="1"/>
    <cellStyle name="Hyperlink" xfId="3378" builtinId="8" hidden="1"/>
    <cellStyle name="Hyperlink" xfId="2880" builtinId="8" hidden="1"/>
    <cellStyle name="Hyperlink" xfId="6488" builtinId="8" hidden="1"/>
    <cellStyle name="Hyperlink" xfId="3330" builtinId="8" hidden="1"/>
    <cellStyle name="Hyperlink" xfId="1826" builtinId="8" hidden="1"/>
    <cellStyle name="Hyperlink" xfId="3594" builtinId="8" hidden="1"/>
    <cellStyle name="Hyperlink" xfId="8016" builtinId="8" hidden="1"/>
    <cellStyle name="Hyperlink" xfId="7018" builtinId="8" hidden="1"/>
    <cellStyle name="Hyperlink" xfId="6342" builtinId="8" hidden="1"/>
    <cellStyle name="Hyperlink" xfId="8078" builtinId="8" hidden="1"/>
    <cellStyle name="Hyperlink" xfId="7984" builtinId="8" hidden="1"/>
    <cellStyle name="Hyperlink" xfId="6794" builtinId="8" hidden="1"/>
    <cellStyle name="Hyperlink" xfId="1044" builtinId="8" hidden="1"/>
    <cellStyle name="Hyperlink" xfId="7210" builtinId="8" hidden="1"/>
    <cellStyle name="Hyperlink" xfId="2000" builtinId="8" hidden="1"/>
    <cellStyle name="Hyperlink" xfId="1962" builtinId="8" hidden="1"/>
    <cellStyle name="Hyperlink" xfId="910" builtinId="8" hidden="1"/>
    <cellStyle name="Hyperlink" xfId="7608" builtinId="8" hidden="1"/>
    <cellStyle name="Hyperlink" xfId="6854" builtinId="8" hidden="1"/>
    <cellStyle name="Hyperlink" xfId="5032" builtinId="8" hidden="1"/>
    <cellStyle name="Hyperlink" xfId="3814" builtinId="8" hidden="1"/>
    <cellStyle name="Hyperlink" xfId="4484" builtinId="8" hidden="1"/>
    <cellStyle name="Hyperlink" xfId="319" builtinId="8" hidden="1"/>
    <cellStyle name="Hyperlink" xfId="2612" builtinId="8" hidden="1"/>
    <cellStyle name="Hyperlink" xfId="5720" builtinId="8" hidden="1"/>
    <cellStyle name="Hyperlink" xfId="3510" builtinId="8" hidden="1"/>
    <cellStyle name="Hyperlink" xfId="537" builtinId="8" hidden="1"/>
    <cellStyle name="Hyperlink" xfId="1484" builtinId="8" hidden="1"/>
    <cellStyle name="Hyperlink" xfId="1564" builtinId="8" hidden="1"/>
    <cellStyle name="Hyperlink" xfId="5222" builtinId="8" hidden="1"/>
    <cellStyle name="Hyperlink" xfId="4480" builtinId="8" hidden="1"/>
    <cellStyle name="Hyperlink" xfId="1298" builtinId="8" hidden="1"/>
    <cellStyle name="Hyperlink" xfId="1088" builtinId="8" hidden="1"/>
    <cellStyle name="Hyperlink" xfId="5306" builtinId="8" hidden="1"/>
    <cellStyle name="Hyperlink" xfId="5578" builtinId="8" hidden="1"/>
    <cellStyle name="Hyperlink" xfId="4526" builtinId="8" hidden="1"/>
    <cellStyle name="Hyperlink" xfId="3126" builtinId="8" hidden="1"/>
    <cellStyle name="Hyperlink" xfId="5636" builtinId="8" hidden="1"/>
    <cellStyle name="Hyperlink" xfId="7324" builtinId="8" hidden="1"/>
    <cellStyle name="Hyperlink" xfId="4144" builtinId="8" hidden="1"/>
    <cellStyle name="Hyperlink" xfId="3204" builtinId="8" hidden="1"/>
    <cellStyle name="Hyperlink" xfId="3062" builtinId="8" hidden="1"/>
    <cellStyle name="Hyperlink" xfId="4284" builtinId="8" hidden="1"/>
    <cellStyle name="Hyperlink" xfId="5788" builtinId="8" hidden="1"/>
    <cellStyle name="Hyperlink" xfId="3542" builtinId="8" hidden="1"/>
    <cellStyle name="Hyperlink" xfId="2454" builtinId="8" hidden="1"/>
    <cellStyle name="Hyperlink" xfId="3958" builtinId="8" hidden="1"/>
    <cellStyle name="Hyperlink" xfId="6094" builtinId="8" hidden="1"/>
    <cellStyle name="Hyperlink" xfId="8156" builtinId="8" hidden="1"/>
    <cellStyle name="Hyperlink" xfId="4334" builtinId="8" hidden="1"/>
    <cellStyle name="Hyperlink" xfId="5334" builtinId="8" hidden="1"/>
    <cellStyle name="Hyperlink" xfId="5098" builtinId="8" hidden="1"/>
    <cellStyle name="Hyperlink" xfId="5490" builtinId="8" hidden="1"/>
    <cellStyle name="Hyperlink" xfId="8118" builtinId="8" hidden="1"/>
    <cellStyle name="Hyperlink" xfId="6572" builtinId="8" hidden="1"/>
    <cellStyle name="Hyperlink" xfId="7064" builtinId="8" hidden="1"/>
    <cellStyle name="Hyperlink" xfId="2578" builtinId="8" hidden="1"/>
    <cellStyle name="Hyperlink" xfId="2924" builtinId="8" hidden="1"/>
    <cellStyle name="Hyperlink" xfId="5520" builtinId="8" hidden="1"/>
    <cellStyle name="Hyperlink" xfId="3090" builtinId="8" hidden="1"/>
    <cellStyle name="Hyperlink" xfId="167" builtinId="8" hidden="1"/>
    <cellStyle name="Hyperlink" xfId="6056" builtinId="8" hidden="1"/>
    <cellStyle name="Hyperlink" xfId="6910" builtinId="8" hidden="1"/>
    <cellStyle name="Hyperlink" xfId="8172" builtinId="8" hidden="1"/>
    <cellStyle name="Hyperlink" xfId="4010" builtinId="8" hidden="1"/>
    <cellStyle name="Hyperlink" xfId="1726" builtinId="8" hidden="1"/>
    <cellStyle name="Hyperlink" xfId="6706" builtinId="8" hidden="1"/>
    <cellStyle name="Hyperlink" xfId="6434" builtinId="8" hidden="1"/>
    <cellStyle name="Hyperlink" xfId="7438" builtinId="8" hidden="1"/>
    <cellStyle name="Hyperlink" xfId="6680" builtinId="8" hidden="1"/>
    <cellStyle name="Hyperlink" xfId="6512" builtinId="8" hidden="1"/>
    <cellStyle name="Hyperlink" xfId="4720" builtinId="8" hidden="1"/>
    <cellStyle name="Hyperlink" xfId="2010" builtinId="8" hidden="1"/>
    <cellStyle name="Hyperlink" xfId="6844" builtinId="8" hidden="1"/>
    <cellStyle name="Hyperlink" xfId="5602" builtinId="8" hidden="1"/>
    <cellStyle name="Hyperlink" xfId="3140" builtinId="8" hidden="1"/>
    <cellStyle name="Hyperlink" xfId="5818" builtinId="8" hidden="1"/>
    <cellStyle name="Hyperlink" xfId="6286" builtinId="8" hidden="1"/>
    <cellStyle name="Hyperlink" xfId="2820" builtinId="8" hidden="1"/>
    <cellStyle name="Hyperlink" xfId="5424" builtinId="8" hidden="1"/>
    <cellStyle name="Hyperlink" xfId="8084" builtinId="8" hidden="1"/>
    <cellStyle name="Hyperlink" xfId="6732" builtinId="8" hidden="1"/>
    <cellStyle name="Hyperlink" xfId="8026" builtinId="8" hidden="1"/>
    <cellStyle name="Hyperlink" xfId="2168" builtinId="8" hidden="1"/>
    <cellStyle name="Hyperlink" xfId="1982" builtinId="8" hidden="1"/>
    <cellStyle name="Hyperlink" xfId="5050" builtinId="8" hidden="1"/>
    <cellStyle name="Hyperlink" xfId="1242" builtinId="8" hidden="1"/>
    <cellStyle name="Hyperlink" xfId="3288" builtinId="8" hidden="1"/>
    <cellStyle name="Hyperlink" xfId="5016" builtinId="8" hidden="1"/>
    <cellStyle name="Hyperlink" xfId="1194" builtinId="8" hidden="1"/>
    <cellStyle name="Hyperlink" xfId="495" builtinId="8" hidden="1"/>
    <cellStyle name="Hyperlink" xfId="2362" builtinId="8" hidden="1"/>
    <cellStyle name="Hyperlink" xfId="776" builtinId="8" hidden="1"/>
    <cellStyle name="Hyperlink" xfId="4636" builtinId="8" hidden="1"/>
    <cellStyle name="Hyperlink" xfId="7634" builtinId="8" hidden="1"/>
    <cellStyle name="Hyperlink" xfId="4554" builtinId="8" hidden="1"/>
    <cellStyle name="Hyperlink" xfId="197" builtinId="8" hidden="1"/>
    <cellStyle name="Hyperlink" xfId="3168" builtinId="8" hidden="1"/>
    <cellStyle name="Hyperlink" xfId="3960" builtinId="8" hidden="1"/>
    <cellStyle name="Hyperlink" xfId="742" builtinId="8" hidden="1"/>
    <cellStyle name="Hyperlink" xfId="1904" builtinId="8" hidden="1"/>
    <cellStyle name="Hyperlink" xfId="2164" builtinId="8" hidden="1"/>
    <cellStyle name="Hyperlink" xfId="6314" builtinId="8" hidden="1"/>
    <cellStyle name="Hyperlink" xfId="3592" builtinId="8" hidden="1"/>
    <cellStyle name="Hyperlink" xfId="2674" builtinId="8" hidden="1"/>
    <cellStyle name="Hyperlink" xfId="3220" builtinId="8" hidden="1"/>
    <cellStyle name="Hyperlink" xfId="2638" builtinId="8" hidden="1"/>
    <cellStyle name="Hyperlink" xfId="4882" builtinId="8" hidden="1"/>
    <cellStyle name="Hyperlink" xfId="2072" builtinId="8" hidden="1"/>
    <cellStyle name="Hyperlink" xfId="3462" builtinId="8" hidden="1"/>
    <cellStyle name="Hyperlink" xfId="4686" builtinId="8" hidden="1"/>
    <cellStyle name="Hyperlink" xfId="5972" builtinId="8" hidden="1"/>
    <cellStyle name="Hyperlink" xfId="2374" builtinId="8" hidden="1"/>
    <cellStyle name="Hyperlink" xfId="253" builtinId="8" hidden="1"/>
    <cellStyle name="Hyperlink" xfId="1380" builtinId="8" hidden="1"/>
    <cellStyle name="Hyperlink" xfId="778" builtinId="8" hidden="1"/>
    <cellStyle name="Hyperlink" xfId="7750" builtinId="8" hidden="1"/>
    <cellStyle name="Hyperlink" xfId="5524" builtinId="8" hidden="1"/>
    <cellStyle name="Hyperlink" xfId="4792" builtinId="8" hidden="1"/>
    <cellStyle name="Hyperlink" xfId="2904" builtinId="8" hidden="1"/>
    <cellStyle name="Hyperlink" xfId="4548" builtinId="8" hidden="1"/>
    <cellStyle name="Hyperlink" xfId="1028" builtinId="8" hidden="1"/>
    <cellStyle name="Hyperlink" xfId="3528" builtinId="8" hidden="1"/>
    <cellStyle name="Hyperlink" xfId="365" builtinId="8" hidden="1"/>
    <cellStyle name="Hyperlink" xfId="1928" builtinId="8" hidden="1"/>
    <cellStyle name="Hyperlink" xfId="1742" builtinId="8" hidden="1"/>
    <cellStyle name="Hyperlink" xfId="7032" builtinId="8" hidden="1"/>
    <cellStyle name="Hyperlink" xfId="4502" builtinId="8" hidden="1"/>
    <cellStyle name="Hyperlink" xfId="2946" builtinId="8" hidden="1"/>
    <cellStyle name="Hyperlink" xfId="1852" builtinId="8" hidden="1"/>
    <cellStyle name="Hyperlink" xfId="7246" builtinId="8" hidden="1"/>
    <cellStyle name="Hyperlink" xfId="3944" builtinId="8" hidden="1"/>
    <cellStyle name="Hyperlink" xfId="878" builtinId="8" hidden="1"/>
    <cellStyle name="Hyperlink" xfId="4142" builtinId="8" hidden="1"/>
    <cellStyle name="Hyperlink" xfId="8104" builtinId="8" hidden="1"/>
    <cellStyle name="Hyperlink" xfId="4314" builtinId="8" hidden="1"/>
    <cellStyle name="Hyperlink" xfId="5112" builtinId="8" hidden="1"/>
    <cellStyle name="Hyperlink" xfId="2962" builtinId="8" hidden="1"/>
    <cellStyle name="Hyperlink" xfId="2966" builtinId="8" hidden="1"/>
    <cellStyle name="Hyperlink" xfId="7536" builtinId="8" hidden="1"/>
    <cellStyle name="Hyperlink" xfId="4184" builtinId="8" hidden="1"/>
    <cellStyle name="Hyperlink" xfId="924" builtinId="8" hidden="1"/>
    <cellStyle name="Hyperlink" xfId="353" builtinId="8" hidden="1"/>
    <cellStyle name="Hyperlink" xfId="6172" builtinId="8" hidden="1"/>
    <cellStyle name="Hyperlink" xfId="1740" builtinId="8" hidden="1"/>
    <cellStyle name="Hyperlink" xfId="4100" builtinId="8" hidden="1"/>
    <cellStyle name="Hyperlink" xfId="7998" builtinId="8" hidden="1"/>
    <cellStyle name="Hyperlink" xfId="6938" builtinId="8" hidden="1"/>
    <cellStyle name="Hyperlink" xfId="3868" builtinId="8" hidden="1"/>
    <cellStyle name="Hyperlink" xfId="345" builtinId="8" hidden="1"/>
    <cellStyle name="Hyperlink" xfId="2046" builtinId="8" hidden="1"/>
    <cellStyle name="Hyperlink" xfId="6050" builtinId="8" hidden="1"/>
    <cellStyle name="Hyperlink" xfId="5018" builtinId="8" hidden="1"/>
    <cellStyle name="Hyperlink" xfId="582" builtinId="8" hidden="1"/>
    <cellStyle name="Hyperlink" xfId="477" builtinId="8" hidden="1"/>
    <cellStyle name="Hyperlink" xfId="1440" builtinId="8" hidden="1"/>
    <cellStyle name="Hyperlink" xfId="3882" builtinId="8" hidden="1"/>
    <cellStyle name="Hyperlink" xfId="7952" builtinId="8" hidden="1"/>
    <cellStyle name="Hyperlink" xfId="7638" builtinId="8" hidden="1"/>
    <cellStyle name="Hyperlink" xfId="4924" builtinId="8" hidden="1"/>
    <cellStyle name="Hyperlink" xfId="712" builtinId="8" hidden="1"/>
    <cellStyle name="Hyperlink" xfId="714" builtinId="8" hidden="1"/>
    <cellStyle name="Hyperlink" xfId="4078" builtinId="8" hidden="1"/>
    <cellStyle name="Hyperlink" xfId="1806" builtinId="8" hidden="1"/>
    <cellStyle name="Hyperlink" xfId="2082" builtinId="8" hidden="1"/>
    <cellStyle name="Hyperlink" xfId="5750" builtinId="8" hidden="1"/>
    <cellStyle name="Hyperlink" xfId="7184" builtinId="8" hidden="1"/>
    <cellStyle name="Hyperlink" xfId="7678" builtinId="8" hidden="1"/>
    <cellStyle name="Hyperlink" xfId="4422" builtinId="8" hidden="1"/>
    <cellStyle name="Hyperlink" xfId="4564" builtinId="8" hidden="1"/>
    <cellStyle name="Hyperlink" xfId="41" builtinId="8" hidden="1"/>
    <cellStyle name="Hyperlink" xfId="4198" builtinId="8" hidden="1"/>
    <cellStyle name="Hyperlink" xfId="5418" builtinId="8" hidden="1"/>
    <cellStyle name="Hyperlink" xfId="6758" builtinId="8" hidden="1"/>
    <cellStyle name="Hyperlink" xfId="7752" builtinId="8" hidden="1"/>
    <cellStyle name="Hyperlink" xfId="6780" builtinId="8" hidden="1"/>
    <cellStyle name="Hyperlink" xfId="1668" builtinId="8" hidden="1"/>
    <cellStyle name="Hyperlink" xfId="297" builtinId="8" hidden="1"/>
    <cellStyle name="Hyperlink" xfId="1574" builtinId="8" hidden="1"/>
    <cellStyle name="Hyperlink" xfId="1092" builtinId="8" hidden="1"/>
    <cellStyle name="Hyperlink" xfId="5174" builtinId="8" hidden="1"/>
    <cellStyle name="Hyperlink" xfId="3320" builtinId="8" hidden="1"/>
    <cellStyle name="Hyperlink" xfId="6288" builtinId="8" hidden="1"/>
    <cellStyle name="Hyperlink" xfId="2064" builtinId="8" hidden="1"/>
    <cellStyle name="Hyperlink" xfId="3632" builtinId="8" hidden="1"/>
    <cellStyle name="Hyperlink" xfId="7200" builtinId="8" hidden="1"/>
    <cellStyle name="Hyperlink" xfId="1100" builtinId="8" hidden="1"/>
    <cellStyle name="Hyperlink" xfId="4600" builtinId="8" hidden="1"/>
    <cellStyle name="Hyperlink" xfId="4026" builtinId="8" hidden="1"/>
    <cellStyle name="Hyperlink" xfId="5612" builtinId="8" hidden="1"/>
    <cellStyle name="Hyperlink" xfId="644" builtinId="8" hidden="1"/>
    <cellStyle name="Hyperlink" xfId="6676" builtinId="8" hidden="1"/>
    <cellStyle name="Hyperlink" xfId="5978" builtinId="8" hidden="1"/>
    <cellStyle name="Hyperlink" xfId="5008" builtinId="8" hidden="1"/>
    <cellStyle name="Hyperlink" xfId="982" builtinId="8" hidden="1"/>
    <cellStyle name="Hyperlink" xfId="2838" builtinId="8" hidden="1"/>
    <cellStyle name="Hyperlink" xfId="1518" builtinId="8" hidden="1"/>
    <cellStyle name="Hyperlink" xfId="8062" builtinId="8" hidden="1"/>
    <cellStyle name="Hyperlink" xfId="594" builtinId="8" hidden="1"/>
    <cellStyle name="Hyperlink" xfId="2772" builtinId="8" hidden="1"/>
    <cellStyle name="Hyperlink" xfId="7356" builtinId="8" hidden="1"/>
    <cellStyle name="Hyperlink" xfId="6424" builtinId="8" hidden="1"/>
    <cellStyle name="Hyperlink" xfId="5354" builtinId="8" hidden="1"/>
    <cellStyle name="Hyperlink" xfId="2574" builtinId="8" hidden="1"/>
    <cellStyle name="Hyperlink" xfId="131" builtinId="8" hidden="1"/>
    <cellStyle name="Hyperlink" xfId="2900" builtinId="8" hidden="1"/>
    <cellStyle name="Hyperlink" xfId="7920" builtinId="8" hidden="1"/>
    <cellStyle name="Hyperlink" xfId="4304" builtinId="8" hidden="1"/>
    <cellStyle name="Hyperlink" xfId="1822" builtinId="8" hidden="1"/>
    <cellStyle name="Hyperlink" xfId="1388" builtinId="8" hidden="1"/>
    <cellStyle name="Hyperlink" xfId="3348" builtinId="8" hidden="1"/>
    <cellStyle name="Hyperlink" xfId="6834" builtinId="8" hidden="1"/>
    <cellStyle name="Hyperlink" xfId="2428" builtinId="8" hidden="1"/>
    <cellStyle name="Hyperlink" xfId="6030" builtinId="8" hidden="1"/>
    <cellStyle name="Hyperlink" xfId="4948" builtinId="8" hidden="1"/>
    <cellStyle name="Hyperlink" xfId="1224" builtinId="8" hidden="1"/>
    <cellStyle name="Hyperlink" xfId="4584" builtinId="8" hidden="1"/>
    <cellStyle name="Hyperlink" xfId="1818" builtinId="8" hidden="1"/>
    <cellStyle name="Hyperlink" xfId="6422" builtinId="8" hidden="1"/>
    <cellStyle name="Hyperlink" xfId="4998" builtinId="8" hidden="1"/>
    <cellStyle name="Hyperlink" xfId="573" builtinId="8" hidden="1"/>
    <cellStyle name="Hyperlink" xfId="3596" builtinId="8" hidden="1"/>
    <cellStyle name="Hyperlink" xfId="1674" builtinId="8" hidden="1"/>
    <cellStyle name="Hyperlink" xfId="6022" builtinId="8" hidden="1"/>
    <cellStyle name="Hyperlink" xfId="4488" builtinId="8" hidden="1"/>
    <cellStyle name="Hyperlink" xfId="6276" builtinId="8" hidden="1"/>
    <cellStyle name="Hyperlink" xfId="6136" builtinId="8" hidden="1"/>
    <cellStyle name="Hyperlink" xfId="1782" builtinId="8" hidden="1"/>
    <cellStyle name="Hyperlink" xfId="2342" builtinId="8" hidden="1"/>
    <cellStyle name="Hyperlink" xfId="3778" builtinId="8" hidden="1"/>
    <cellStyle name="Hyperlink" xfId="698" builtinId="8" hidden="1"/>
    <cellStyle name="Hyperlink" xfId="7976" builtinId="8" hidden="1"/>
    <cellStyle name="Hyperlink" xfId="4534" builtinId="8" hidden="1"/>
    <cellStyle name="Hyperlink" xfId="413" builtinId="8" hidden="1"/>
    <cellStyle name="Hyperlink" xfId="7296" builtinId="8" hidden="1"/>
    <cellStyle name="Hyperlink" xfId="5076" builtinId="8" hidden="1"/>
    <cellStyle name="Hyperlink" xfId="5262" builtinId="8" hidden="1"/>
    <cellStyle name="Hyperlink" xfId="4258" builtinId="8" hidden="1"/>
    <cellStyle name="Hyperlink" xfId="4970" builtinId="8" hidden="1"/>
    <cellStyle name="Hyperlink" xfId="4964" builtinId="8" hidden="1"/>
    <cellStyle name="Hyperlink" xfId="6972" builtinId="8" hidden="1"/>
    <cellStyle name="Hyperlink" xfId="1020" builtinId="8" hidden="1"/>
    <cellStyle name="Hyperlink" xfId="3854" builtinId="8" hidden="1"/>
    <cellStyle name="Hyperlink" xfId="3694" builtinId="8" hidden="1"/>
    <cellStyle name="Hyperlink" xfId="5850" builtinId="8" hidden="1"/>
    <cellStyle name="Hyperlink" xfId="2364" builtinId="8" hidden="1"/>
    <cellStyle name="Hyperlink" xfId="5508" builtinId="8" hidden="1"/>
    <cellStyle name="Hyperlink" xfId="4446" builtinId="8" hidden="1"/>
    <cellStyle name="Hyperlink" xfId="7934" builtinId="8" hidden="1"/>
    <cellStyle name="Hyperlink" xfId="6470" builtinId="8" hidden="1"/>
    <cellStyle name="Hyperlink" xfId="7382" builtinId="8" hidden="1"/>
    <cellStyle name="Hyperlink" xfId="4766" builtinId="8" hidden="1"/>
    <cellStyle name="Hyperlink" xfId="5414" builtinId="8" hidden="1"/>
    <cellStyle name="Hyperlink" xfId="1644" builtinId="8" hidden="1"/>
    <cellStyle name="Hyperlink" xfId="2490" builtinId="8" hidden="1"/>
    <cellStyle name="Hyperlink" xfId="2448" builtinId="8" hidden="1"/>
    <cellStyle name="Hyperlink" xfId="1590" builtinId="8" hidden="1"/>
    <cellStyle name="Hyperlink" xfId="7806" builtinId="8" hidden="1"/>
    <cellStyle name="Hyperlink" xfId="3246" builtinId="8" hidden="1"/>
    <cellStyle name="Hyperlink" xfId="4000" builtinId="8" hidden="1"/>
    <cellStyle name="Hyperlink" xfId="4498" builtinId="8" hidden="1"/>
    <cellStyle name="Hyperlink" xfId="5442" builtinId="8" hidden="1"/>
    <cellStyle name="Hyperlink" xfId="2088" builtinId="8" hidden="1"/>
    <cellStyle name="Hyperlink" xfId="2982" builtinId="8" hidden="1"/>
    <cellStyle name="Hyperlink" xfId="7148" builtinId="8" hidden="1"/>
    <cellStyle name="Hyperlink" xfId="650" builtinId="8" hidden="1"/>
    <cellStyle name="Hyperlink" xfId="1136" builtinId="8" hidden="1"/>
    <cellStyle name="Hyperlink" xfId="3498" builtinId="8" hidden="1"/>
    <cellStyle name="Hyperlink" xfId="5590" builtinId="8" hidden="1"/>
    <cellStyle name="Hyperlink" xfId="1620" builtinId="8" hidden="1"/>
    <cellStyle name="Hyperlink" xfId="4922" builtinId="8" hidden="1"/>
    <cellStyle name="Hyperlink" xfId="6390" builtinId="8" hidden="1"/>
    <cellStyle name="Hyperlink" xfId="6630" builtinId="8" hidden="1"/>
    <cellStyle name="Hyperlink" xfId="3008" builtinId="8" hidden="1"/>
    <cellStyle name="Hyperlink" xfId="7444" builtinId="8" hidden="1"/>
    <cellStyle name="Hyperlink" xfId="7454" builtinId="8" hidden="1"/>
    <cellStyle name="Hyperlink" xfId="315" builtinId="8" hidden="1"/>
    <cellStyle name="Hyperlink" xfId="1450" builtinId="8" hidden="1"/>
    <cellStyle name="Hyperlink" xfId="2782" builtinId="8" hidden="1"/>
    <cellStyle name="Hyperlink" xfId="3978" builtinId="8" hidden="1"/>
    <cellStyle name="Hyperlink" xfId="4176" builtinId="8" hidden="1"/>
    <cellStyle name="Hyperlink" xfId="6994" builtinId="8" hidden="1"/>
    <cellStyle name="Hyperlink" xfId="2502" builtinId="8" hidden="1"/>
    <cellStyle name="Hyperlink" xfId="53" builtinId="8" hidden="1"/>
    <cellStyle name="Hyperlink" xfId="6084" builtinId="8" hidden="1"/>
    <cellStyle name="Hyperlink" xfId="3540" builtinId="8" hidden="1"/>
    <cellStyle name="Hyperlink" xfId="5492" builtinId="8" hidden="1"/>
    <cellStyle name="Hyperlink" xfId="2306" builtinId="8" hidden="1"/>
    <cellStyle name="Hyperlink" xfId="5644" builtinId="8" hidden="1"/>
    <cellStyle name="Hyperlink" xfId="5182" builtinId="8" hidden="1"/>
    <cellStyle name="Hyperlink" xfId="2174" builtinId="8" hidden="1"/>
    <cellStyle name="Hyperlink" xfId="4540" builtinId="8" hidden="1"/>
    <cellStyle name="Hyperlink" xfId="5372" builtinId="8" hidden="1"/>
    <cellStyle name="Hyperlink" xfId="2076" builtinId="8" hidden="1"/>
    <cellStyle name="Hyperlink" xfId="3456" builtinId="8" hidden="1"/>
    <cellStyle name="Hyperlink" xfId="1024" builtinId="8" hidden="1"/>
    <cellStyle name="Hyperlink" xfId="4592" builtinId="8" hidden="1"/>
    <cellStyle name="Hyperlink" xfId="2050" builtinId="8" hidden="1"/>
    <cellStyle name="Hyperlink" xfId="3122" builtinId="8" hidden="1"/>
    <cellStyle name="Hyperlink" xfId="1038" builtinId="8" hidden="1"/>
    <cellStyle name="Hyperlink" xfId="2330" builtinId="8" hidden="1"/>
    <cellStyle name="Hyperlink" xfId="3786" builtinId="8" hidden="1"/>
    <cellStyle name="Hyperlink" xfId="213" builtinId="8" hidden="1"/>
    <cellStyle name="Hyperlink" xfId="7206" builtinId="8" hidden="1"/>
    <cellStyle name="Hyperlink" xfId="4084" builtinId="8" hidden="1"/>
    <cellStyle name="Hyperlink" xfId="1916" builtinId="8" hidden="1"/>
    <cellStyle name="Hyperlink" xfId="7008" builtinId="8" hidden="1"/>
    <cellStyle name="Hyperlink" xfId="8146" builtinId="8" hidden="1"/>
    <cellStyle name="Hyperlink" xfId="860" builtinId="8" hidden="1"/>
    <cellStyle name="Hyperlink" xfId="7774" builtinId="8" hidden="1"/>
    <cellStyle name="Hyperlink" xfId="3262" builtinId="8" hidden="1"/>
    <cellStyle name="Hyperlink" xfId="3722" builtinId="8" hidden="1"/>
    <cellStyle name="Hyperlink" xfId="7706" builtinId="8" hidden="1"/>
    <cellStyle name="Hyperlink" xfId="606" builtinId="8" hidden="1"/>
    <cellStyle name="Hyperlink" xfId="4830" builtinId="8" hidden="1"/>
    <cellStyle name="Hyperlink" xfId="740" builtinId="8" hidden="1"/>
    <cellStyle name="Hyperlink" xfId="6872" builtinId="8" hidden="1"/>
    <cellStyle name="Hyperlink" xfId="3410" builtinId="8" hidden="1"/>
    <cellStyle name="Hyperlink" xfId="7002" builtinId="8" hidden="1"/>
    <cellStyle name="Hyperlink" xfId="1632" builtinId="8" hidden="1"/>
    <cellStyle name="Hyperlink" xfId="6298" builtinId="8" hidden="1"/>
    <cellStyle name="Hyperlink" xfId="3880" builtinId="8" hidden="1"/>
    <cellStyle name="Hyperlink" xfId="2152" builtinId="8" hidden="1"/>
    <cellStyle name="Hyperlink" xfId="3258" builtinId="8" hidden="1"/>
    <cellStyle name="Hyperlink" xfId="798" builtinId="8" hidden="1"/>
    <cellStyle name="Hyperlink" xfId="7202" builtinId="8" hidden="1"/>
    <cellStyle name="Hyperlink" xfId="6474" builtinId="8" hidden="1"/>
    <cellStyle name="Hyperlink" xfId="2032" builtinId="8" hidden="1"/>
    <cellStyle name="Hyperlink" xfId="3108" builtinId="8" hidden="1"/>
    <cellStyle name="Hyperlink" xfId="2422" builtinId="8" hidden="1"/>
    <cellStyle name="Hyperlink" xfId="5206" builtinId="8" hidden="1"/>
    <cellStyle name="Hyperlink" xfId="4994" builtinId="8" hidden="1"/>
    <cellStyle name="Hyperlink" xfId="6862" builtinId="8" hidden="1"/>
    <cellStyle name="Hyperlink" xfId="6142" builtinId="8" hidden="1"/>
    <cellStyle name="Hyperlink" xfId="2320" builtinId="8" hidden="1"/>
    <cellStyle name="Hyperlink" xfId="5694" builtinId="8" hidden="1"/>
    <cellStyle name="Hyperlink" xfId="2662" builtinId="8" hidden="1"/>
    <cellStyle name="Hyperlink" xfId="2586" builtinId="8" hidden="1"/>
    <cellStyle name="Hyperlink" xfId="6262" builtinId="8" hidden="1"/>
    <cellStyle name="Hyperlink" xfId="5780" builtinId="8" hidden="1"/>
    <cellStyle name="Hyperlink" xfId="684" builtinId="8" hidden="1"/>
    <cellStyle name="Hyperlink" xfId="5478" builtinId="8" hidden="1"/>
    <cellStyle name="Hyperlink" xfId="6640" builtinId="8" hidden="1"/>
    <cellStyle name="Hyperlink" xfId="4170" builtinId="8" hidden="1"/>
    <cellStyle name="Hyperlink" xfId="1974" builtinId="8" hidden="1"/>
    <cellStyle name="Hyperlink" xfId="4340" builtinId="8" hidden="1"/>
    <cellStyle name="Hyperlink" xfId="6768" builtinId="8" hidden="1"/>
    <cellStyle name="Hyperlink" xfId="6378" builtinId="8" hidden="1"/>
    <cellStyle name="Hyperlink" xfId="6278" builtinId="8" hidden="1"/>
    <cellStyle name="Hyperlink" xfId="2340" builtinId="8" hidden="1"/>
    <cellStyle name="Hyperlink" xfId="1206" builtinId="8" hidden="1"/>
    <cellStyle name="Hyperlink" xfId="6896" builtinId="8" hidden="1"/>
    <cellStyle name="Hyperlink" xfId="4118" builtinId="8" hidden="1"/>
    <cellStyle name="Hyperlink" xfId="1646" builtinId="8" hidden="1"/>
    <cellStyle name="Hyperlink" xfId="1234" builtinId="8" hidden="1"/>
    <cellStyle name="Hyperlink" xfId="2598" builtinId="8" hidden="1"/>
    <cellStyle name="Hyperlink" xfId="1402" builtinId="8" hidden="1"/>
    <cellStyle name="Hyperlink" xfId="6694" builtinId="8" hidden="1"/>
    <cellStyle name="Hyperlink" xfId="4388" builtinId="8" hidden="1"/>
    <cellStyle name="Hyperlink" xfId="6428" builtinId="8" hidden="1"/>
    <cellStyle name="Hyperlink" xfId="3548" builtinId="8" hidden="1"/>
    <cellStyle name="Hyperlink" xfId="2976" builtinId="8" hidden="1"/>
    <cellStyle name="Hyperlink" xfId="563" builtinId="8" hidden="1"/>
    <cellStyle name="Hyperlink" xfId="5362" builtinId="8" hidden="1"/>
    <cellStyle name="Hyperlink" xfId="1182" builtinId="8" hidden="1"/>
    <cellStyle name="Hyperlink" xfId="8066" builtinId="8" hidden="1"/>
    <cellStyle name="Hyperlink" xfId="6118" builtinId="8" hidden="1"/>
    <cellStyle name="Hyperlink" xfId="4916" builtinId="8" hidden="1"/>
    <cellStyle name="Hyperlink" xfId="7062" builtinId="8" hidden="1"/>
    <cellStyle name="Hyperlink" xfId="5880" builtinId="8" hidden="1"/>
    <cellStyle name="Hyperlink" xfId="2350" builtinId="8" hidden="1"/>
    <cellStyle name="Hyperlink" xfId="3996" builtinId="8" hidden="1"/>
    <cellStyle name="Hyperlink" xfId="7918" builtinId="8" hidden="1"/>
    <cellStyle name="Hyperlink" xfId="1056" builtinId="8" hidden="1"/>
    <cellStyle name="Hyperlink" xfId="7262" builtinId="8" hidden="1"/>
    <cellStyle name="Hyperlink" xfId="6114" builtinId="8" hidden="1"/>
    <cellStyle name="Hyperlink" xfId="1636" builtinId="8" hidden="1"/>
    <cellStyle name="Hyperlink" xfId="702" builtinId="8" hidden="1"/>
    <cellStyle name="Hyperlink" xfId="5688" builtinId="8" hidden="1"/>
    <cellStyle name="Hyperlink" xfId="7964" builtinId="8" hidden="1"/>
    <cellStyle name="Hyperlink" xfId="3344" builtinId="8" hidden="1"/>
    <cellStyle name="Hyperlink" xfId="6550" builtinId="8" hidden="1"/>
    <cellStyle name="Hyperlink" xfId="117" builtinId="8" hidden="1"/>
    <cellStyle name="Hyperlink" xfId="5172" builtinId="8" hidden="1"/>
    <cellStyle name="Hyperlink" xfId="620" builtinId="8" hidden="1"/>
    <cellStyle name="Hyperlink" xfId="2948" builtinId="8" hidden="1"/>
    <cellStyle name="Hyperlink" xfId="1688" builtinId="8" hidden="1"/>
    <cellStyle name="Hyperlink" xfId="4192" builtinId="8" hidden="1"/>
    <cellStyle name="Hyperlink" xfId="4308" builtinId="8" hidden="1"/>
    <cellStyle name="Hyperlink" xfId="6014" builtinId="8" hidden="1"/>
    <cellStyle name="Hyperlink" xfId="7416" builtinId="8" hidden="1"/>
    <cellStyle name="Hyperlink" xfId="2280" builtinId="8" hidden="1"/>
    <cellStyle name="Hyperlink" xfId="501" builtinId="8" hidden="1"/>
    <cellStyle name="Hyperlink" xfId="7586" builtinId="8" hidden="1"/>
    <cellStyle name="Hyperlink" xfId="6992" builtinId="8" hidden="1"/>
    <cellStyle name="Hyperlink" xfId="5176" builtinId="8" hidden="1"/>
    <cellStyle name="Hyperlink" xfId="3918" builtinId="8" hidden="1"/>
    <cellStyle name="Hyperlink" xfId="33" builtinId="8" hidden="1"/>
    <cellStyle name="Hyperlink" xfId="7800" builtinId="8" hidden="1"/>
    <cellStyle name="Hyperlink" xfId="2432" builtinId="8" hidden="1"/>
    <cellStyle name="Hyperlink" xfId="894" builtinId="8" hidden="1"/>
    <cellStyle name="Hyperlink" xfId="331" builtinId="8" hidden="1"/>
    <cellStyle name="Hyperlink" xfId="6754" builtinId="8" hidden="1"/>
    <cellStyle name="Hyperlink" xfId="876" builtinId="8" hidden="1"/>
    <cellStyle name="Hyperlink" xfId="3642" builtinId="8" hidden="1"/>
    <cellStyle name="Hyperlink" xfId="2546" builtinId="8" hidden="1"/>
    <cellStyle name="Hyperlink" xfId="4596" builtinId="8" hidden="1"/>
    <cellStyle name="Hyperlink" xfId="3444" builtinId="8" hidden="1"/>
    <cellStyle name="Hyperlink" xfId="239" builtinId="8" hidden="1"/>
    <cellStyle name="Hyperlink" xfId="5894" builtinId="8" hidden="1"/>
    <cellStyle name="Hyperlink" xfId="7236" builtinId="8" hidden="1"/>
    <cellStyle name="Hyperlink" xfId="3058" builtinId="8" hidden="1"/>
    <cellStyle name="Hyperlink" xfId="6346" builtinId="8" hidden="1"/>
    <cellStyle name="Hyperlink" xfId="3860" builtinId="8" hidden="1"/>
    <cellStyle name="Hyperlink" xfId="2208" builtinId="8" hidden="1"/>
    <cellStyle name="Hyperlink" xfId="2260" builtinId="8" hidden="1"/>
    <cellStyle name="Hyperlink" xfId="5532" builtinId="8" hidden="1"/>
    <cellStyle name="Hyperlink" xfId="2086" builtinId="8" hidden="1"/>
    <cellStyle name="Hyperlink" xfId="6252" builtinId="8" hidden="1"/>
    <cellStyle name="Hyperlink" xfId="5562" builtinId="8" hidden="1"/>
    <cellStyle name="Hyperlink" xfId="7650" builtinId="8" hidden="1"/>
    <cellStyle name="Hyperlink" xfId="1154" builtinId="8" hidden="1"/>
    <cellStyle name="Hyperlink" xfId="7470" builtinId="8" hidden="1"/>
    <cellStyle name="Hyperlink" xfId="4794" builtinId="8" hidden="1"/>
    <cellStyle name="Hyperlink" xfId="1724" builtinId="8" hidden="1"/>
    <cellStyle name="Hyperlink" xfId="7046" builtinId="8" hidden="1"/>
    <cellStyle name="Hyperlink" xfId="7338" builtinId="8" hidden="1"/>
    <cellStyle name="Hyperlink" xfId="6590" builtinId="8" hidden="1"/>
    <cellStyle name="Hyperlink" xfId="970" builtinId="8" hidden="1"/>
    <cellStyle name="Hyperlink" xfId="6092" builtinId="8" hidden="1"/>
    <cellStyle name="Hyperlink" xfId="5938" builtinId="8" hidden="1"/>
    <cellStyle name="Hyperlink" xfId="6902" builtinId="8" hidden="1"/>
    <cellStyle name="Hyperlink" xfId="357" builtinId="8" hidden="1"/>
    <cellStyle name="Hyperlink" xfId="2926" builtinId="8" hidden="1"/>
    <cellStyle name="Hyperlink" xfId="6214" builtinId="8" hidden="1"/>
    <cellStyle name="Hyperlink" xfId="8042" builtinId="8" hidden="1"/>
    <cellStyle name="Hyperlink" xfId="3904" builtinId="8" hidden="1"/>
    <cellStyle name="Hyperlink" xfId="5346" builtinId="8" hidden="1"/>
    <cellStyle name="Hyperlink" xfId="5110" builtinId="8" hidden="1"/>
    <cellStyle name="Hyperlink" xfId="5384" builtinId="8" hidden="1"/>
    <cellStyle name="Hyperlink" xfId="3" builtinId="8" hidden="1"/>
    <cellStyle name="Hyperlink" xfId="567" builtinId="8" hidden="1"/>
    <cellStyle name="Hyperlink" xfId="47" builtinId="8" hidden="1"/>
    <cellStyle name="Hyperlink" xfId="5690" builtinId="8" hidden="1"/>
    <cellStyle name="Hyperlink" xfId="2552" builtinId="8" hidden="1"/>
    <cellStyle name="Hyperlink" xfId="6268" builtinId="8" hidden="1"/>
    <cellStyle name="Hyperlink" xfId="6410" builtinId="8" hidden="1"/>
    <cellStyle name="Hyperlink" xfId="4770" builtinId="8" hidden="1"/>
    <cellStyle name="Hyperlink" xfId="6152" builtinId="8" hidden="1"/>
    <cellStyle name="Hyperlink" xfId="1012" builtinId="8" hidden="1"/>
    <cellStyle name="Hyperlink" xfId="900" builtinId="8" hidden="1"/>
    <cellStyle name="Hyperlink" xfId="2656" builtinId="8" hidden="1"/>
    <cellStyle name="Hyperlink" xfId="2534" builtinId="8" hidden="1"/>
    <cellStyle name="Hyperlink" xfId="7768" builtinId="8" hidden="1"/>
    <cellStyle name="Hyperlink" xfId="5884" builtinId="8" hidden="1"/>
    <cellStyle name="Hyperlink" xfId="3830" builtinId="8" hidden="1"/>
    <cellStyle name="Hyperlink" xfId="2784" builtinId="8" hidden="1"/>
    <cellStyle name="Hyperlink" xfId="4320" builtinId="8" hidden="1"/>
    <cellStyle name="Hyperlink" xfId="5210" builtinId="8" hidden="1"/>
    <cellStyle name="Hyperlink" xfId="5580" builtinId="8" hidden="1"/>
    <cellStyle name="Hyperlink" xfId="7340" builtinId="8" hidden="1"/>
    <cellStyle name="Hyperlink" xfId="4328" builtinId="8" hidden="1"/>
    <cellStyle name="Hyperlink" xfId="2484" builtinId="8" hidden="1"/>
    <cellStyle name="Hyperlink" xfId="6736" builtinId="8" hidden="1"/>
    <cellStyle name="Hyperlink" xfId="7636" builtinId="8" hidden="1"/>
    <cellStyle name="Hyperlink" xfId="4440" builtinId="8" hidden="1"/>
    <cellStyle name="Hyperlink" xfId="4448" builtinId="8" hidden="1"/>
    <cellStyle name="Hyperlink" xfId="4572" builtinId="8" hidden="1"/>
    <cellStyle name="Hyperlink" xfId="5666" builtinId="8" hidden="1"/>
    <cellStyle name="Hyperlink" xfId="1408" builtinId="8" hidden="1"/>
    <cellStyle name="Hyperlink" xfId="4506" builtinId="8" hidden="1"/>
    <cellStyle name="Hyperlink" xfId="3174" builtinId="8" hidden="1"/>
    <cellStyle name="Hyperlink" xfId="3350" builtinId="8" hidden="1"/>
    <cellStyle name="Hyperlink" xfId="744" builtinId="8" hidden="1"/>
    <cellStyle name="Hyperlink" xfId="8106" builtinId="8" hidden="1"/>
    <cellStyle name="Hyperlink" xfId="4878" builtinId="8" hidden="1"/>
    <cellStyle name="Hyperlink" xfId="7036" builtinId="8" hidden="1"/>
    <cellStyle name="Hyperlink" xfId="3736" builtinId="8" hidden="1"/>
    <cellStyle name="Hyperlink" xfId="2498" builtinId="8" hidden="1"/>
    <cellStyle name="Hyperlink" xfId="339" builtinId="8" hidden="1"/>
    <cellStyle name="Hyperlink" xfId="5546" builtinId="8" hidden="1"/>
    <cellStyle name="Hyperlink" xfId="459" builtinId="8" hidden="1"/>
    <cellStyle name="Hyperlink" xfId="7328" builtinId="8" hidden="1"/>
    <cellStyle name="Hyperlink" xfId="4296" builtinId="8" hidden="1"/>
    <cellStyle name="Hyperlink" xfId="5122" builtinId="8" hidden="1"/>
    <cellStyle name="Hyperlink" xfId="7590" builtinId="8" hidden="1"/>
    <cellStyle name="Hyperlink" xfId="5946" builtinId="8" hidden="1"/>
    <cellStyle name="Hyperlink" xfId="7950" builtinId="8" hidden="1"/>
    <cellStyle name="Hyperlink" xfId="7498" builtinId="8" hidden="1"/>
    <cellStyle name="Hyperlink" xfId="4194" builtinId="8" hidden="1"/>
    <cellStyle name="Hyperlink" xfId="1370" builtinId="8" hidden="1"/>
    <cellStyle name="Hyperlink" xfId="2376" builtinId="8" hidden="1"/>
    <cellStyle name="Hyperlink" xfId="5142" builtinId="8" hidden="1"/>
    <cellStyle name="Hyperlink" xfId="287" builtinId="8" hidden="1"/>
    <cellStyle name="Hyperlink" xfId="1802" builtinId="8" hidden="1"/>
    <cellStyle name="Hyperlink" xfId="6562" builtinId="8" hidden="1"/>
    <cellStyle name="Hyperlink" xfId="5886" builtinId="8" hidden="1"/>
    <cellStyle name="Hyperlink" xfId="4164" builtinId="8" hidden="1"/>
    <cellStyle name="Hyperlink" xfId="4710" builtinId="8" hidden="1"/>
    <cellStyle name="Hyperlink" xfId="7286" builtinId="8" hidden="1"/>
    <cellStyle name="Hyperlink" xfId="680" builtinId="8" hidden="1"/>
    <cellStyle name="Hyperlink" xfId="1604" builtinId="8" hidden="1"/>
    <cellStyle name="Hyperlink" xfId="7422" builtinId="8" hidden="1"/>
    <cellStyle name="Hyperlink" xfId="4630" builtinId="8" hidden="1"/>
    <cellStyle name="Hyperlink" xfId="2600" builtinId="8" hidden="1"/>
    <cellStyle name="Hyperlink" xfId="425" builtinId="8" hidden="1"/>
    <cellStyle name="Hyperlink" xfId="5202" builtinId="8" hidden="1"/>
    <cellStyle name="Hyperlink" xfId="5494" builtinId="8" hidden="1"/>
    <cellStyle name="Hyperlink" xfId="4034" builtinId="8" hidden="1"/>
    <cellStyle name="Hyperlink" xfId="6148" builtinId="8" hidden="1"/>
    <cellStyle name="Hyperlink" xfId="5188" builtinId="8" hidden="1"/>
    <cellStyle name="Hyperlink" xfId="1256" builtinId="8" hidden="1"/>
    <cellStyle name="Hyperlink" xfId="3146" builtinId="8" hidden="1"/>
    <cellStyle name="Hyperlink" xfId="2266" builtinId="8" hidden="1"/>
    <cellStyle name="Hyperlink" xfId="4246" builtinId="8" hidden="1"/>
    <cellStyle name="Hyperlink" xfId="5986" builtinId="8" hidden="1"/>
    <cellStyle name="Hyperlink" xfId="2588" builtinId="8" hidden="1"/>
    <cellStyle name="Hyperlink" xfId="7110" builtinId="8" hidden="1"/>
    <cellStyle name="Hyperlink" xfId="4244" builtinId="8" hidden="1"/>
    <cellStyle name="Hyperlink" xfId="5610" builtinId="8" hidden="1"/>
    <cellStyle name="Hyperlink" xfId="7386" builtinId="8" hidden="1"/>
    <cellStyle name="Hyperlink" xfId="3256" builtinId="8" hidden="1"/>
    <cellStyle name="Hyperlink" xfId="1276" builtinId="8" hidden="1"/>
    <cellStyle name="Hyperlink" xfId="4272" builtinId="8" hidden="1"/>
    <cellStyle name="Hyperlink" xfId="8158" builtinId="8" hidden="1"/>
    <cellStyle name="Hyperlink" xfId="2230" builtinId="8" hidden="1"/>
    <cellStyle name="Hyperlink" xfId="3222" builtinId="8" hidden="1"/>
    <cellStyle name="Hyperlink" xfId="2008" builtinId="8" hidden="1"/>
    <cellStyle name="Hyperlink" xfId="1148" builtinId="8" hidden="1"/>
    <cellStyle name="Hyperlink" xfId="6106" builtinId="8" hidden="1"/>
    <cellStyle name="Hyperlink" xfId="4028" builtinId="8" hidden="1"/>
    <cellStyle name="Hyperlink" xfId="840" builtinId="8" hidden="1"/>
    <cellStyle name="Hyperlink" xfId="7582" builtinId="8" hidden="1"/>
    <cellStyle name="Hyperlink" xfId="2430" builtinId="8" hidden="1"/>
    <cellStyle name="Hyperlink" xfId="1900" builtinId="8" hidden="1"/>
    <cellStyle name="Hyperlink" xfId="5360" builtinId="8" hidden="1"/>
    <cellStyle name="Hyperlink" xfId="4494" builtinId="8" hidden="1"/>
    <cellStyle name="Hyperlink" xfId="2036" builtinId="8" hidden="1"/>
    <cellStyle name="Hyperlink" xfId="5600" builtinId="8" hidden="1"/>
    <cellStyle name="Hyperlink" xfId="6806" builtinId="8" hidden="1"/>
    <cellStyle name="Hyperlink" xfId="5872" builtinId="8" hidden="1"/>
    <cellStyle name="Hyperlink" xfId="3206" builtinId="8" hidden="1"/>
    <cellStyle name="Hyperlink" xfId="2332" builtinId="8" hidden="1"/>
    <cellStyle name="Hyperlink" xfId="6544" builtinId="8" hidden="1"/>
    <cellStyle name="Hyperlink" xfId="6618" builtinId="8" hidden="1"/>
    <cellStyle name="Hyperlink" xfId="2402" builtinId="8" hidden="1"/>
    <cellStyle name="Hyperlink" xfId="2770" builtinId="8" hidden="1"/>
    <cellStyle name="Hyperlink" xfId="3294" builtinId="8" hidden="1"/>
    <cellStyle name="Hyperlink" xfId="5146" builtinId="8" hidden="1"/>
    <cellStyle name="Hyperlink" xfId="5566" builtinId="8" hidden="1"/>
    <cellStyle name="Hyperlink" xfId="487" builtinId="8" hidden="1"/>
    <cellStyle name="Hyperlink" xfId="6044" builtinId="8" hidden="1"/>
    <cellStyle name="Hyperlink" xfId="5854" builtinId="8" hidden="1"/>
    <cellStyle name="Hyperlink" xfId="4904" builtinId="8" hidden="1"/>
    <cellStyle name="Hyperlink" xfId="1220" builtinId="8" hidden="1"/>
    <cellStyle name="Hyperlink" xfId="7264" builtinId="8" hidden="1"/>
    <cellStyle name="Hyperlink" xfId="7152" builtinId="8" hidden="1"/>
    <cellStyle name="Hyperlink" xfId="6432" builtinId="8" hidden="1"/>
    <cellStyle name="Hyperlink" xfId="7000" builtinId="8" hidden="1"/>
    <cellStyle name="Hyperlink" xfId="5154" builtinId="8" hidden="1"/>
    <cellStyle name="Hyperlink" xfId="535" builtinId="8" hidden="1"/>
    <cellStyle name="Hyperlink" xfId="6970" builtinId="8" hidden="1"/>
    <cellStyle name="Hyperlink" xfId="6144" builtinId="8" hidden="1"/>
    <cellStyle name="Hyperlink" xfId="2868" builtinId="8" hidden="1"/>
    <cellStyle name="Hyperlink" xfId="2840" builtinId="8" hidden="1"/>
    <cellStyle name="Hyperlink" xfId="7738" builtinId="8" hidden="1"/>
    <cellStyle name="Hyperlink" xfId="7368" builtinId="8" hidden="1"/>
    <cellStyle name="Hyperlink" xfId="5544" builtinId="8" hidden="1"/>
    <cellStyle name="Hyperlink" xfId="2604" builtinId="8" hidden="1"/>
    <cellStyle name="Hyperlink" xfId="7962" builtinId="8" hidden="1"/>
    <cellStyle name="Hyperlink" xfId="1188" builtinId="8" hidden="1"/>
    <cellStyle name="Hyperlink" xfId="3602" builtinId="8" hidden="1"/>
    <cellStyle name="Hyperlink" xfId="6260" builtinId="8" hidden="1"/>
    <cellStyle name="Hyperlink" xfId="5822" builtinId="8" hidden="1"/>
    <cellStyle name="Hyperlink" xfId="6784" builtinId="8" hidden="1"/>
    <cellStyle name="Hyperlink" xfId="113" builtinId="8" hidden="1"/>
    <cellStyle name="Hyperlink" xfId="1132" builtinId="8" hidden="1"/>
    <cellStyle name="Hyperlink" xfId="5244" builtinId="8" hidden="1"/>
    <cellStyle name="Hyperlink" xfId="3698" builtinId="8" hidden="1"/>
    <cellStyle name="Hyperlink" xfId="7352" builtinId="8" hidden="1"/>
    <cellStyle name="Hyperlink" xfId="7492" builtinId="8" hidden="1"/>
    <cellStyle name="Hyperlink" xfId="4478" builtinId="8" hidden="1"/>
    <cellStyle name="Hyperlink" xfId="4044" builtinId="8" hidden="1"/>
    <cellStyle name="Hyperlink" xfId="4974" builtinId="8" hidden="1"/>
    <cellStyle name="Hyperlink" xfId="1498" builtinId="8" hidden="1"/>
    <cellStyle name="Hyperlink" xfId="2748" builtinId="8" hidden="1"/>
    <cellStyle name="Hyperlink" xfId="2660" builtinId="8" hidden="1"/>
    <cellStyle name="Hyperlink" xfId="1676" builtinId="8" hidden="1"/>
    <cellStyle name="Hyperlink" xfId="1520" builtinId="8" hidden="1"/>
    <cellStyle name="Hyperlink" xfId="7890" builtinId="8" hidden="1"/>
    <cellStyle name="Hyperlink" xfId="4262" builtinId="8" hidden="1"/>
    <cellStyle name="Hyperlink" xfId="5606" builtinId="8" hidden="1"/>
    <cellStyle name="Hyperlink" xfId="7648" builtinId="8" hidden="1"/>
    <cellStyle name="Hyperlink" xfId="2762" builtinId="8" hidden="1"/>
    <cellStyle name="Hyperlink" xfId="4124" builtinId="8" hidden="1"/>
    <cellStyle name="Hyperlink" xfId="437" builtinId="8" hidden="1"/>
    <cellStyle name="Hyperlink" xfId="1762" builtinId="8" hidden="1"/>
    <cellStyle name="Hyperlink" xfId="325" builtinId="8" hidden="1"/>
    <cellStyle name="Hyperlink" xfId="964" builtinId="8" hidden="1"/>
    <cellStyle name="Hyperlink" xfId="3408" builtinId="8" hidden="1"/>
    <cellStyle name="Hyperlink" xfId="7172" builtinId="8" hidden="1"/>
    <cellStyle name="Hyperlink" xfId="720" builtinId="8" hidden="1"/>
    <cellStyle name="Hyperlink" xfId="6964" builtinId="8" hidden="1"/>
    <cellStyle name="Hyperlink" xfId="3324" builtinId="8" hidden="1"/>
    <cellStyle name="Hyperlink" xfId="249" builtinId="8" hidden="1"/>
    <cellStyle name="Hyperlink" xfId="323" builtinId="8" hidden="1"/>
    <cellStyle name="Hyperlink" xfId="4668" builtinId="8" hidden="1"/>
    <cellStyle name="Hyperlink" xfId="2646" builtinId="8" hidden="1"/>
    <cellStyle name="Hyperlink" xfId="7746" builtinId="8" hidden="1"/>
    <cellStyle name="Hyperlink" xfId="3364" builtinId="8" hidden="1"/>
    <cellStyle name="Hyperlink" xfId="25" builtinId="8" hidden="1"/>
    <cellStyle name="Hyperlink" xfId="2568" builtinId="8" hidden="1"/>
    <cellStyle name="Hyperlink" xfId="4788" builtinId="8" hidden="1"/>
    <cellStyle name="Hyperlink" xfId="6008" builtinId="8" hidden="1"/>
    <cellStyle name="Hyperlink" xfId="243" builtinId="8" hidden="1"/>
    <cellStyle name="Hyperlink" xfId="2756" builtinId="8" hidden="1"/>
    <cellStyle name="Hyperlink" xfId="6328" builtinId="8" hidden="1"/>
    <cellStyle name="Hyperlink" xfId="2980" builtinId="8" hidden="1"/>
    <cellStyle name="Hyperlink" xfId="6700" builtinId="8" hidden="1"/>
    <cellStyle name="Hyperlink" xfId="1444" builtinId="8" hidden="1"/>
    <cellStyle name="Hyperlink" xfId="3284" builtinId="8" hidden="1"/>
    <cellStyle name="Hyperlink" xfId="7488" builtinId="8" hidden="1"/>
    <cellStyle name="Hyperlink" xfId="2528" builtinId="8" hidden="1"/>
    <cellStyle name="Hyperlink" xfId="191" builtinId="8" hidden="1"/>
    <cellStyle name="Hyperlink" xfId="6778" builtinId="8" hidden="1"/>
    <cellStyle name="Hyperlink" xfId="6712" builtinId="8" hidden="1"/>
    <cellStyle name="Hyperlink" xfId="2024" builtinId="8" hidden="1"/>
    <cellStyle name="Hyperlink" xfId="263" builtinId="8" hidden="1"/>
    <cellStyle name="Hyperlink" xfId="2044" builtinId="8" hidden="1"/>
    <cellStyle name="Hyperlink" xfId="2938" builtinId="8" hidden="1"/>
    <cellStyle name="Hyperlink" xfId="2154" builtinId="8" hidden="1"/>
    <cellStyle name="Hyperlink" xfId="4868" builtinId="8" hidden="1"/>
    <cellStyle name="Hyperlink" xfId="1322" builtinId="8" hidden="1"/>
    <cellStyle name="Hyperlink" xfId="1862" builtinId="8" hidden="1"/>
    <cellStyle name="Hyperlink" xfId="3664" builtinId="8" hidden="1"/>
    <cellStyle name="Hyperlink" xfId="3634" builtinId="8" hidden="1"/>
    <cellStyle name="Hyperlink" xfId="6606" builtinId="8" hidden="1"/>
    <cellStyle name="Hyperlink" xfId="1606" builtinId="8" hidden="1"/>
    <cellStyle name="Hyperlink" xfId="355" builtinId="8" hidden="1"/>
    <cellStyle name="Hyperlink" xfId="2776" builtinId="8" hidden="1"/>
    <cellStyle name="Hyperlink" xfId="1778" builtinId="8" hidden="1"/>
    <cellStyle name="Hyperlink" xfId="838" builtinId="8" hidden="1"/>
    <cellStyle name="Hyperlink" xfId="6604" builtinId="8" hidden="1"/>
    <cellStyle name="Hyperlink" xfId="3150" builtinId="8" hidden="1"/>
    <cellStyle name="Hyperlink" xfId="6324" builtinId="8" hidden="1"/>
    <cellStyle name="Hyperlink" xfId="1034" builtinId="8" hidden="1"/>
    <cellStyle name="Hyperlink" xfId="7808" builtinId="8" hidden="1"/>
    <cellStyle name="Hyperlink" xfId="4018" builtinId="8" hidden="1"/>
    <cellStyle name="Hyperlink" xfId="1558" builtinId="8" hidden="1"/>
    <cellStyle name="Hyperlink" xfId="4656" builtinId="8" hidden="1"/>
    <cellStyle name="Hyperlink" xfId="7502" builtinId="8" hidden="1"/>
    <cellStyle name="Hyperlink" xfId="1720" builtinId="8" hidden="1"/>
    <cellStyle name="Hyperlink" xfId="555" builtinId="8" hidden="1"/>
    <cellStyle name="Hyperlink" xfId="2730" builtinId="8" hidden="1"/>
    <cellStyle name="Hyperlink" xfId="3834" builtinId="8" hidden="1"/>
    <cellStyle name="Hyperlink" xfId="317" builtinId="8" hidden="1"/>
    <cellStyle name="Hyperlink" xfId="7310" builtinId="8" hidden="1"/>
    <cellStyle name="Hyperlink" xfId="772" builtinId="8" hidden="1"/>
    <cellStyle name="Hyperlink" xfId="2830" builtinId="8" hidden="1"/>
    <cellStyle name="Hyperlink" xfId="3432" builtinId="8" hidden="1"/>
    <cellStyle name="Hyperlink" xfId="183" builtinId="8" hidden="1"/>
    <cellStyle name="Hyperlink" xfId="3420" builtinId="8" hidden="1"/>
    <cellStyle name="Hyperlink" xfId="7116" builtinId="8" hidden="1"/>
    <cellStyle name="Hyperlink" xfId="1882" builtinId="8" hidden="1"/>
    <cellStyle name="Hyperlink" xfId="3956" builtinId="8" hidden="1"/>
    <cellStyle name="Hyperlink" xfId="5046" builtinId="8" hidden="1"/>
    <cellStyle name="Hyperlink" xfId="8018" builtinId="8" hidden="1"/>
    <cellStyle name="Hyperlink" xfId="6756" builtinId="8" hidden="1"/>
    <cellStyle name="Hyperlink" xfId="4542" builtinId="8" hidden="1"/>
    <cellStyle name="Hyperlink" xfId="4406" builtinId="8" hidden="1"/>
    <cellStyle name="Hyperlink" xfId="1356" builtinId="8" hidden="1"/>
    <cellStyle name="Hyperlink" xfId="6242" builtinId="8" hidden="1"/>
    <cellStyle name="Hyperlink" xfId="688" builtinId="8" hidden="1"/>
    <cellStyle name="Hyperlink" xfId="586" builtinId="8" hidden="1"/>
    <cellStyle name="Hyperlink" xfId="5738" builtinId="8" hidden="1"/>
    <cellStyle name="Hyperlink" xfId="4648" builtinId="8" hidden="1"/>
    <cellStyle name="Hyperlink" xfId="511" builtinId="8" hidden="1"/>
    <cellStyle name="Hyperlink" xfId="3486" builtinId="8" hidden="1"/>
    <cellStyle name="Hyperlink" xfId="6860" builtinId="8" hidden="1"/>
    <cellStyle name="Hyperlink" xfId="265" builtinId="8" hidden="1"/>
    <cellStyle name="Hyperlink" xfId="3730" builtinId="8" hidden="1"/>
    <cellStyle name="Hyperlink" xfId="6670" builtinId="8" hidden="1"/>
    <cellStyle name="Hyperlink" xfId="908" builtinId="8" hidden="1"/>
    <cellStyle name="Hyperlink" xfId="7300" builtinId="8" hidden="1"/>
    <cellStyle name="Hyperlink" xfId="6912" builtinId="8" hidden="1"/>
    <cellStyle name="Hyperlink" xfId="4076" builtinId="8" hidden="1"/>
    <cellStyle name="Hyperlink" xfId="4090" builtinId="8" hidden="1"/>
    <cellStyle name="Hyperlink" xfId="6326" builtinId="8" hidden="1"/>
    <cellStyle name="Hyperlink" xfId="2908" builtinId="8" hidden="1"/>
    <cellStyle name="Hyperlink" xfId="6798" builtinId="8" hidden="1"/>
    <cellStyle name="Hyperlink" xfId="5722" builtinId="8" hidden="1"/>
    <cellStyle name="Hyperlink" xfId="3436" builtinId="8" hidden="1"/>
    <cellStyle name="Hyperlink" xfId="4444" builtinId="8" hidden="1"/>
    <cellStyle name="Hyperlink" xfId="2896" builtinId="8" hidden="1"/>
    <cellStyle name="Hyperlink" xfId="1424" builtinId="8" hidden="1"/>
    <cellStyle name="Hyperlink" xfId="7248" builtinId="8" hidden="1"/>
    <cellStyle name="Hyperlink" xfId="8166" builtinId="8" hidden="1"/>
    <cellStyle name="Hyperlink" xfId="6012" builtinId="8" hidden="1"/>
    <cellStyle name="Hyperlink" xfId="1152" builtinId="8" hidden="1"/>
    <cellStyle name="Hyperlink" xfId="3070" builtinId="8" hidden="1"/>
    <cellStyle name="Hyperlink" xfId="173" builtinId="8" hidden="1"/>
    <cellStyle name="Hyperlink" xfId="1096" builtinId="8" hidden="1"/>
    <cellStyle name="Hyperlink" xfId="5510" builtinId="8" hidden="1"/>
    <cellStyle name="Hyperlink" xfId="1670" builtinId="8" hidden="1"/>
    <cellStyle name="Hyperlink" xfId="6310" builtinId="8" hidden="1"/>
    <cellStyle name="Hyperlink" xfId="7684" builtinId="8" hidden="1"/>
    <cellStyle name="Hyperlink" xfId="7812" builtinId="8" hidden="1"/>
    <cellStyle name="Hyperlink" xfId="944" builtinId="8" hidden="1"/>
    <cellStyle name="Hyperlink" xfId="5792" builtinId="8" hidden="1"/>
    <cellStyle name="Hyperlink" xfId="1208" builtinId="8" hidden="1"/>
    <cellStyle name="Hyperlink" xfId="2874" builtinId="8" hidden="1"/>
    <cellStyle name="Hyperlink" xfId="3716" builtinId="8" hidden="1"/>
    <cellStyle name="Hyperlink" xfId="505" builtinId="8" hidden="1"/>
    <cellStyle name="Hyperlink" xfId="7576" builtinId="8" hidden="1"/>
    <cellStyle name="Hyperlink" xfId="5954" builtinId="8" hidden="1"/>
    <cellStyle name="Hyperlink" xfId="6494" builtinId="8" hidden="1"/>
    <cellStyle name="Hyperlink" xfId="856" builtinId="8" hidden="1"/>
    <cellStyle name="Hyperlink" xfId="602" builtinId="8" hidden="1"/>
    <cellStyle name="Hyperlink" xfId="2132" builtinId="8" hidden="1"/>
    <cellStyle name="Hyperlink" xfId="5966" builtinId="8" hidden="1"/>
    <cellStyle name="Hyperlink" xfId="2416" builtinId="8" hidden="1"/>
    <cellStyle name="Hyperlink" xfId="75" builtinId="8" hidden="1"/>
    <cellStyle name="Hyperlink" xfId="6454" builtinId="8" hidden="1"/>
    <cellStyle name="Hyperlink" xfId="5682" builtinId="8" hidden="1"/>
    <cellStyle name="Hyperlink" xfId="481" builtinId="8" hidden="1"/>
    <cellStyle name="Hyperlink" xfId="3282" builtinId="8" hidden="1"/>
    <cellStyle name="Hyperlink" xfId="5630" builtinId="8" hidden="1"/>
    <cellStyle name="Hyperlink" xfId="2940" builtinId="8" hidden="1"/>
    <cellStyle name="Hyperlink" xfId="6006" builtinId="8" hidden="1"/>
    <cellStyle name="Hyperlink" xfId="6196" builtinId="8" hidden="1"/>
    <cellStyle name="Hyperlink" xfId="7392" builtinId="8" hidden="1"/>
    <cellStyle name="Hyperlink" xfId="4918" builtinId="8" hidden="1"/>
    <cellStyle name="Hyperlink" xfId="2058" builtinId="8" hidden="1"/>
    <cellStyle name="Hyperlink" xfId="7540" builtinId="8" hidden="1"/>
    <cellStyle name="Hyperlink" xfId="6520" builtinId="8" hidden="1"/>
    <cellStyle name="Hyperlink" xfId="2932" builtinId="8" hidden="1"/>
    <cellStyle name="Hyperlink" xfId="1732" builtinId="8" hidden="1"/>
    <cellStyle name="Hyperlink" xfId="6274" builtinId="8" hidden="1"/>
    <cellStyle name="Hyperlink" xfId="539" builtinId="8" hidden="1"/>
    <cellStyle name="Hyperlink" xfId="4746" builtinId="8" hidden="1"/>
    <cellStyle name="Hyperlink" xfId="972" builtinId="8" hidden="1"/>
    <cellStyle name="Hyperlink" xfId="7720" builtinId="8" hidden="1"/>
    <cellStyle name="Hyperlink" xfId="4586" builtinId="8" hidden="1"/>
    <cellStyle name="Hyperlink" xfId="3610" builtinId="8" hidden="1"/>
    <cellStyle name="Hyperlink" xfId="1772" builtinId="8" hidden="1"/>
    <cellStyle name="Hyperlink" xfId="3394" builtinId="8" hidden="1"/>
    <cellStyle name="Hyperlink" xfId="5220" builtinId="8" hidden="1"/>
    <cellStyle name="Hyperlink" xfId="6110" builtinId="8" hidden="1"/>
    <cellStyle name="Hyperlink" xfId="5540" builtinId="8" hidden="1"/>
    <cellStyle name="Hyperlink" xfId="6266" builtinId="8" hidden="1"/>
    <cellStyle name="Hyperlink" xfId="211" builtinId="8" hidden="1"/>
    <cellStyle name="Hyperlink" xfId="6446" builtinId="8" hidden="1"/>
    <cellStyle name="Hyperlink" xfId="2764" builtinId="8" hidden="1"/>
    <cellStyle name="Hyperlink" xfId="65" builtinId="8" hidden="1"/>
    <cellStyle name="Hyperlink" xfId="8180" builtinId="8" hidden="1"/>
    <cellStyle name="Hyperlink" xfId="7772" builtinId="8" hidden="1"/>
    <cellStyle name="Hyperlink" xfId="5970" builtinId="8" hidden="1"/>
    <cellStyle name="Hyperlink" xfId="3824" builtinId="8" hidden="1"/>
    <cellStyle name="Hyperlink" xfId="1394" builtinId="8" hidden="1"/>
    <cellStyle name="Hyperlink" xfId="6868" builtinId="8" hidden="1"/>
    <cellStyle name="Hyperlink" xfId="3188" builtinId="8" hidden="1"/>
    <cellStyle name="Hyperlink" xfId="407" builtinId="8" hidden="1"/>
    <cellStyle name="Hyperlink" xfId="321" builtinId="8" hidden="1"/>
    <cellStyle name="Hyperlink" xfId="5974" builtinId="8" hidden="1"/>
    <cellStyle name="Hyperlink" xfId="4150" builtinId="8" hidden="1"/>
    <cellStyle name="Hyperlink" xfId="6624" builtinId="8" hidden="1"/>
    <cellStyle name="Hyperlink" xfId="1990" builtinId="8" hidden="1"/>
    <cellStyle name="Hyperlink" xfId="8160" builtinId="8" hidden="1"/>
    <cellStyle name="Hyperlink" xfId="6230" builtinId="8" hidden="1"/>
    <cellStyle name="Hyperlink" xfId="2942" builtinId="8" hidden="1"/>
    <cellStyle name="Hyperlink" xfId="3192" builtinId="8" hidden="1"/>
    <cellStyle name="Hyperlink" xfId="7088" builtinId="8" hidden="1"/>
    <cellStyle name="Hyperlink" xfId="1354" builtinId="8" hidden="1"/>
    <cellStyle name="Hyperlink" xfId="199" builtinId="8" hidden="1"/>
    <cellStyle name="Hyperlink" xfId="4098" builtinId="8" hidden="1"/>
    <cellStyle name="Hyperlink" xfId="7156" builtinId="8" hidden="1"/>
    <cellStyle name="Hyperlink" xfId="519" builtinId="8" hidden="1"/>
    <cellStyle name="Hyperlink" xfId="5062" builtinId="8" hidden="1"/>
    <cellStyle name="Hyperlink" xfId="1770" builtinId="8" hidden="1"/>
    <cellStyle name="Hyperlink" xfId="5856" builtinId="8" hidden="1"/>
    <cellStyle name="Hyperlink" xfId="2216" builtinId="8" hidden="1"/>
    <cellStyle name="Hyperlink" xfId="3054" builtinId="8" hidden="1"/>
    <cellStyle name="Hyperlink" xfId="2232" builtinId="8" hidden="1"/>
    <cellStyle name="Hyperlink" xfId="7552" builtinId="8" hidden="1"/>
    <cellStyle name="Hyperlink" xfId="6270" builtinId="8" hidden="1"/>
    <cellStyle name="Hyperlink" xfId="686" builtinId="8" hidden="1"/>
    <cellStyle name="Hyperlink" xfId="1754" builtinId="8" hidden="1"/>
    <cellStyle name="Hyperlink" xfId="4174" builtinId="8" hidden="1"/>
    <cellStyle name="Hyperlink" xfId="2390" builtinId="8" hidden="1"/>
    <cellStyle name="Hyperlink" xfId="7856" builtinId="8" hidden="1"/>
    <cellStyle name="Hyperlink" xfId="4276" builtinId="8" hidden="1"/>
    <cellStyle name="Hyperlink" xfId="2334" builtinId="8" hidden="1"/>
    <cellStyle name="Hyperlink" xfId="3600" builtinId="8" hidden="1"/>
    <cellStyle name="Hyperlink" xfId="5260" builtinId="8" hidden="1"/>
    <cellStyle name="Hyperlink" xfId="469" builtinId="8" hidden="1"/>
    <cellStyle name="Hyperlink" xfId="107" builtinId="8" hidden="1"/>
    <cellStyle name="Hyperlink" xfId="2480" builtinId="8" hidden="1"/>
    <cellStyle name="Hyperlink" xfId="7560" builtinId="8" hidden="1"/>
    <cellStyle name="Hyperlink" xfId="7666" builtinId="8" hidden="1"/>
    <cellStyle name="Hyperlink" xfId="5250" builtinId="8" hidden="1"/>
    <cellStyle name="Hyperlink" xfId="2792" builtinId="8" hidden="1"/>
    <cellStyle name="Hyperlink" xfId="6232" builtinId="8" hidden="1"/>
    <cellStyle name="Hyperlink" xfId="5550" builtinId="8" hidden="1"/>
    <cellStyle name="Hyperlink" xfId="1482" builtinId="8" hidden="1"/>
    <cellStyle name="Hyperlink" xfId="6840" builtinId="8" hidden="1"/>
    <cellStyle name="Hyperlink" xfId="5944" builtinId="8" hidden="1"/>
    <cellStyle name="Hyperlink" xfId="5406" builtinId="8" hidden="1"/>
    <cellStyle name="Hyperlink" xfId="1490" builtinId="8" hidden="1"/>
    <cellStyle name="Hyperlink" xfId="1666" builtinId="8" hidden="1"/>
    <cellStyle name="Hyperlink" xfId="5988" builtinId="8" hidden="1"/>
    <cellStyle name="Hyperlink" xfId="3240" builtinId="8" hidden="1"/>
    <cellStyle name="Hyperlink" xfId="5280" builtinId="8" hidden="1"/>
    <cellStyle name="Hyperlink" xfId="6914" builtinId="8" hidden="1"/>
    <cellStyle name="Hyperlink" xfId="7450" builtinId="8" hidden="1"/>
    <cellStyle name="Hyperlink" xfId="119" builtinId="8" hidden="1"/>
    <cellStyle name="Hyperlink" xfId="5870" builtinId="8" hidden="1"/>
    <cellStyle name="Hyperlink" xfId="6726" builtinId="8" hidden="1"/>
    <cellStyle name="Hyperlink" xfId="7748" builtinId="8" hidden="1"/>
    <cellStyle name="Hyperlink" xfId="3534" builtinId="8" hidden="1"/>
    <cellStyle name="Hyperlink" xfId="1470" builtinId="8" hidden="1"/>
    <cellStyle name="Hyperlink" xfId="8164" builtinId="8" hidden="1"/>
    <cellStyle name="Hyperlink" xfId="7016" builtinId="8" hidden="1"/>
    <cellStyle name="Hyperlink" xfId="2276" builtinId="8" hidden="1"/>
    <cellStyle name="Hyperlink" xfId="4938" builtinId="8" hidden="1"/>
    <cellStyle name="Hyperlink" xfId="1576" builtinId="8" hidden="1"/>
    <cellStyle name="Hyperlink" xfId="6996" builtinId="8" hidden="1"/>
    <cellStyle name="Hyperlink" xfId="1600" builtinId="8" hidden="1"/>
    <cellStyle name="Hyperlink" xfId="4462" builtinId="8" hidden="1"/>
    <cellStyle name="Hyperlink" xfId="6516" builtinId="8" hidden="1"/>
    <cellStyle name="Hyperlink" xfId="6718" builtinId="8" hidden="1"/>
    <cellStyle name="Hyperlink" xfId="7506" builtinId="8" hidden="1"/>
    <cellStyle name="Hyperlink" xfId="3304" builtinId="8" hidden="1"/>
    <cellStyle name="Hyperlink" xfId="2576" builtinId="8" hidden="1"/>
    <cellStyle name="Hyperlink" xfId="624" builtinId="8" hidden="1"/>
    <cellStyle name="Hyperlink" xfId="7936" builtinId="8" hidden="1"/>
    <cellStyle name="Hyperlink" xfId="5736" builtinId="8" hidden="1"/>
    <cellStyle name="Hyperlink" xfId="5796" builtinId="8" hidden="1"/>
    <cellStyle name="Hyperlink" xfId="4128" builtinId="8" hidden="1"/>
    <cellStyle name="Hyperlink" xfId="2048" builtinId="8" hidden="1"/>
    <cellStyle name="Hyperlink" xfId="4790" builtinId="8" hidden="1"/>
    <cellStyle name="Hyperlink" xfId="7376" builtinId="8" hidden="1"/>
    <cellStyle name="Hyperlink" xfId="1296" builtinId="8" hidden="1"/>
    <cellStyle name="Hyperlink" xfId="1442" builtinId="8" hidden="1"/>
    <cellStyle name="Hyperlink" xfId="3568" builtinId="8" hidden="1"/>
    <cellStyle name="Hyperlink" xfId="3702" builtinId="8" hidden="1"/>
    <cellStyle name="Hyperlink" xfId="205" builtinId="8" hidden="1"/>
    <cellStyle name="Hyperlink" xfId="7834" builtinId="8" hidden="1"/>
    <cellStyle name="Hyperlink" xfId="7250" builtinId="8" hidden="1"/>
    <cellStyle name="Hyperlink" xfId="6064" builtinId="8" hidden="1"/>
    <cellStyle name="Hyperlink" xfId="5664" builtinId="8" hidden="1"/>
    <cellStyle name="Hyperlink" xfId="7526" builtinId="8" hidden="1"/>
    <cellStyle name="Hyperlink" xfId="5634" builtinId="8" hidden="1"/>
    <cellStyle name="Hyperlink" xfId="7662" builtinId="8" hidden="1"/>
    <cellStyle name="Hyperlink" xfId="6146" builtinId="8" hidden="1"/>
    <cellStyle name="Hyperlink" xfId="2920" builtinId="8" hidden="1"/>
    <cellStyle name="Hyperlink" xfId="1344" builtinId="8" hidden="1"/>
    <cellStyle name="Hyperlink" xfId="5852" builtinId="8" hidden="1"/>
    <cellStyle name="Hyperlink" xfId="5622" builtinId="8" hidden="1"/>
    <cellStyle name="Hyperlink" xfId="5218" builtinId="8" hidden="1"/>
    <cellStyle name="Hyperlink" xfId="4416" builtinId="8" hidden="1"/>
    <cellStyle name="Hyperlink" xfId="7034" builtinId="8" hidden="1"/>
    <cellStyle name="Hyperlink" xfId="6984" builtinId="8" hidden="1"/>
    <cellStyle name="Hyperlink" xfId="7704" builtinId="8" hidden="1"/>
    <cellStyle name="Hyperlink" xfId="6264" builtinId="8" hidden="1"/>
    <cellStyle name="Hyperlink" xfId="8068" builtinId="8" hidden="1"/>
    <cellStyle name="Hyperlink" xfId="6620" builtinId="8" hidden="1"/>
    <cellStyle name="Hyperlink" xfId="7114" builtinId="8" hidden="1"/>
    <cellStyle name="Hyperlink" xfId="2858" builtinId="8" hidden="1"/>
    <cellStyle name="Hyperlink" xfId="5350" builtinId="8" hidden="1"/>
    <cellStyle name="Hyperlink" xfId="1572" builtinId="8" hidden="1"/>
    <cellStyle name="Hyperlink" xfId="6974" builtinId="8" hidden="1"/>
    <cellStyle name="Hyperlink" xfId="4322" builtinId="8" hidden="1"/>
    <cellStyle name="Hyperlink" xfId="4130" builtinId="8" hidden="1"/>
    <cellStyle name="Hyperlink" xfId="3828" builtinId="8" hidden="1"/>
    <cellStyle name="Hyperlink" xfId="7942" builtinId="8" hidden="1"/>
    <cellStyle name="Hyperlink" xfId="716" builtinId="8" hidden="1"/>
    <cellStyle name="Hyperlink" xfId="5582" builtinId="8" hidden="1"/>
    <cellStyle name="Hyperlink" xfId="7106" builtinId="8" hidden="1"/>
    <cellStyle name="Hyperlink" xfId="2884" builtinId="8" hidden="1"/>
    <cellStyle name="Hyperlink" xfId="4522" builtinId="8" hidden="1"/>
    <cellStyle name="Hyperlink" xfId="2834" builtinId="8" hidden="1"/>
    <cellStyle name="Hyperlink" xfId="443" builtinId="8" hidden="1"/>
    <cellStyle name="Hyperlink" xfId="614" builtinId="8" hidden="1"/>
    <cellStyle name="Hyperlink" xfId="1830" builtinId="8" hidden="1"/>
    <cellStyle name="Hyperlink" xfId="397" builtinId="8" hidden="1"/>
    <cellStyle name="Hyperlink" xfId="1970" builtinId="8" hidden="1"/>
    <cellStyle name="Hyperlink" xfId="5336" builtinId="8" hidden="1"/>
    <cellStyle name="Hyperlink" xfId="7442" builtinId="8" hidden="1"/>
    <cellStyle name="Hyperlink" xfId="4302" builtinId="8" hidden="1"/>
    <cellStyle name="Hyperlink" xfId="3134" builtinId="8" hidden="1"/>
    <cellStyle name="Hyperlink" xfId="5366" builtinId="8" hidden="1"/>
    <cellStyle name="Hyperlink" xfId="241" builtinId="8" hidden="1"/>
    <cellStyle name="Hyperlink" xfId="1134" builtinId="8" hidden="1"/>
    <cellStyle name="Hyperlink" xfId="2228" builtinId="8" hidden="1"/>
    <cellStyle name="Hyperlink" xfId="5356" builtinId="8" hidden="1"/>
    <cellStyle name="Hyperlink" xfId="5308" builtinId="8" hidden="1"/>
    <cellStyle name="Hyperlink" xfId="1858" builtinId="8" hidden="1"/>
    <cellStyle name="Hyperlink" xfId="5072" builtinId="8" hidden="1"/>
    <cellStyle name="Hyperlink" xfId="906" builtinId="8" hidden="1"/>
    <cellStyle name="Hyperlink" xfId="5812" builtinId="8" hidden="1"/>
    <cellStyle name="Hyperlink" xfId="4852" builtinId="8" hidden="1"/>
    <cellStyle name="Hyperlink" xfId="3892" builtinId="8" hidden="1"/>
    <cellStyle name="Hyperlink" xfId="1052" builtinId="8" hidden="1"/>
    <cellStyle name="Hyperlink" xfId="3952" builtinId="8" hidden="1"/>
    <cellStyle name="Hyperlink" xfId="5898" builtinId="8" hidden="1"/>
    <cellStyle name="Hyperlink" xfId="5808" builtinId="8" hidden="1"/>
    <cellStyle name="Hyperlink" xfId="5460" builtinId="8" hidden="1"/>
    <cellStyle name="Hyperlink" xfId="4870" builtinId="8" hidden="1"/>
    <cellStyle name="Hyperlink" xfId="3856" builtinId="8" hidden="1"/>
    <cellStyle name="Hyperlink" xfId="4822" builtinId="8" hidden="1"/>
    <cellStyle name="Hyperlink" xfId="7054" builtinId="8" hidden="1"/>
    <cellStyle name="Hyperlink" xfId="7144" builtinId="8" hidden="1"/>
    <cellStyle name="Hyperlink" xfId="930" builtinId="8" hidden="1"/>
    <cellStyle name="Hyperlink" xfId="8076" builtinId="8" hidden="1"/>
    <cellStyle name="Hyperlink" xfId="7400" builtinId="8" hidden="1"/>
    <cellStyle name="Hyperlink" xfId="7658" builtinId="8" hidden="1"/>
    <cellStyle name="Hyperlink" xfId="7786" builtinId="8" hidden="1"/>
    <cellStyle name="Hyperlink" xfId="4002" builtinId="8" hidden="1"/>
    <cellStyle name="Hyperlink" xfId="2564" builtinId="8" hidden="1"/>
    <cellStyle name="Hyperlink" xfId="5314" builtinId="8" hidden="1"/>
    <cellStyle name="Hyperlink" xfId="7842" builtinId="8" hidden="1"/>
    <cellStyle name="Hyperlink" xfId="6292" builtinId="8" hidden="1"/>
    <cellStyle name="Hyperlink" xfId="7070" builtinId="8" hidden="1"/>
    <cellStyle name="Hyperlink" xfId="569" builtinId="8" hidden="1"/>
    <cellStyle name="Hyperlink" xfId="6318" builtinId="8" hidden="1"/>
    <cellStyle name="Hyperlink" xfId="4458" builtinId="8" hidden="1"/>
    <cellStyle name="Hyperlink" xfId="4148" builtinId="8" hidden="1"/>
    <cellStyle name="Hyperlink" xfId="8086" builtinId="8" hidden="1"/>
    <cellStyle name="Hyperlink" xfId="307" builtinId="8" hidden="1"/>
    <cellStyle name="Hyperlink" xfId="6052" builtinId="8" hidden="1"/>
    <cellStyle name="Hyperlink" xfId="1196" builtinId="8" hidden="1"/>
    <cellStyle name="Hyperlink" xfId="638" builtinId="8" hidden="1"/>
    <cellStyle name="Hyperlink" xfId="946" builtinId="8" hidden="1"/>
    <cellStyle name="Hyperlink" xfId="5608" builtinId="8" hidden="1"/>
    <cellStyle name="Hyperlink" xfId="3938" builtinId="8" hidden="1"/>
    <cellStyle name="Hyperlink" xfId="6928" builtinId="8" hidden="1"/>
    <cellStyle name="Hyperlink" xfId="7372" builtinId="8" hidden="1"/>
    <cellStyle name="Hyperlink" xfId="5070" builtinId="8" hidden="1"/>
    <cellStyle name="Hyperlink" xfId="5228" builtinId="8" hidden="1"/>
    <cellStyle name="Hyperlink" xfId="4640" builtinId="8" hidden="1"/>
    <cellStyle name="Hyperlink" xfId="4738" builtinId="8" hidden="1"/>
    <cellStyle name="Hyperlink" xfId="3544" builtinId="8" hidden="1"/>
    <cellStyle name="Hyperlink" xfId="842" builtinId="8" hidden="1"/>
    <cellStyle name="Hyperlink" xfId="7242" builtinId="8" hidden="1"/>
    <cellStyle name="Hyperlink" xfId="1892" builtinId="8" hidden="1"/>
    <cellStyle name="Hyperlink" xfId="5680" builtinId="8" hidden="1"/>
    <cellStyle name="Hyperlink" xfId="3376" builtinId="8" hidden="1"/>
    <cellStyle name="Hyperlink" xfId="1036" builtinId="8" hidden="1"/>
    <cellStyle name="Hyperlink" xfId="4412" builtinId="8" hidden="1"/>
    <cellStyle name="Hyperlink" xfId="4250" builtinId="8" hidden="1"/>
    <cellStyle name="Hyperlink" xfId="2282" builtinId="8" hidden="1"/>
    <cellStyle name="Hyperlink" xfId="8048" builtinId="8" hidden="1"/>
    <cellStyle name="Hyperlink" xfId="3768" builtinId="8" hidden="1"/>
    <cellStyle name="Hyperlink" xfId="6568" builtinId="8" hidden="1"/>
    <cellStyle name="Hyperlink" xfId="8052" builtinId="8" hidden="1"/>
    <cellStyle name="Hyperlink" xfId="4550" builtinId="8" hidden="1"/>
    <cellStyle name="Hyperlink" xfId="1908" builtinId="8" hidden="1"/>
    <cellStyle name="Hyperlink" xfId="3894" builtinId="8" hidden="1"/>
    <cellStyle name="Hyperlink" xfId="7192" builtinId="8" hidden="1"/>
    <cellStyle name="Hyperlink" xfId="4910" builtinId="8" hidden="1"/>
    <cellStyle name="Hyperlink" xfId="7122" builtinId="8" hidden="1"/>
    <cellStyle name="Hyperlink" xfId="1454" builtinId="8" hidden="1"/>
    <cellStyle name="Hyperlink" xfId="1506" builtinId="8" hidden="1"/>
    <cellStyle name="Hyperlink" xfId="5292" builtinId="8" hidden="1"/>
    <cellStyle name="Hyperlink" xfId="6552" builtinId="8" hidden="1"/>
    <cellStyle name="Hyperlink" xfId="4646" builtinId="8" hidden="1"/>
    <cellStyle name="Hyperlink" xfId="7676" builtinId="8" hidden="1"/>
    <cellStyle name="Hyperlink" xfId="5670" builtinId="8" hidden="1"/>
    <cellStyle name="Hyperlink" xfId="2740" builtinId="8" hidden="1"/>
    <cellStyle name="Hyperlink" xfId="5674" builtinId="8" hidden="1"/>
    <cellStyle name="Hyperlink" xfId="7174" builtinId="8" hidden="1"/>
    <cellStyle name="Hyperlink" xfId="6556" builtinId="8" hidden="1"/>
    <cellStyle name="Hyperlink" xfId="7128" builtinId="8" hidden="1"/>
    <cellStyle name="Hyperlink" xfId="7822" builtinId="8" hidden="1"/>
    <cellStyle name="Hyperlink" xfId="5824" builtinId="8" hidden="1"/>
    <cellStyle name="Hyperlink" xfId="6122" builtinId="8" hidden="1"/>
    <cellStyle name="Hyperlink" xfId="2492" builtinId="8" hidden="1"/>
    <cellStyle name="Hyperlink" xfId="1110" builtinId="8" hidden="1"/>
    <cellStyle name="Hyperlink" xfId="7092" builtinId="8" hidden="1"/>
    <cellStyle name="Hyperlink" xfId="6748" builtinId="8" hidden="1"/>
    <cellStyle name="Hyperlink" xfId="7230" builtinId="8" hidden="1"/>
    <cellStyle name="Hyperlink" xfId="3358" builtinId="8" hidden="1"/>
    <cellStyle name="Hyperlink" xfId="7570" builtinId="8" hidden="1"/>
    <cellStyle name="Hyperlink" xfId="1582" builtinId="8" hidden="1"/>
    <cellStyle name="Hyperlink" xfId="6796" builtinId="8" hidden="1"/>
    <cellStyle name="Hyperlink" xfId="3050" builtinId="8" hidden="1"/>
    <cellStyle name="Hyperlink" xfId="7354" builtinId="8" hidden="1"/>
    <cellStyle name="Hyperlink" xfId="5140" builtinId="8" hidden="1"/>
    <cellStyle name="Hyperlink" xfId="1824" builtinId="8" hidden="1"/>
    <cellStyle name="Hyperlink" xfId="209" builtinId="8" hidden="1"/>
    <cellStyle name="Hyperlink" xfId="4574" builtinId="8" hidden="1"/>
    <cellStyle name="Hyperlink" xfId="1392" builtinId="8" hidden="1"/>
    <cellStyle name="Hyperlink" xfId="5564" builtinId="8" hidden="1"/>
    <cellStyle name="Hyperlink" xfId="2034" builtinId="8" hidden="1"/>
    <cellStyle name="Hyperlink" xfId="8050" builtinId="8" hidden="1"/>
    <cellStyle name="Hyperlink" xfId="7224" builtinId="8" hidden="1"/>
    <cellStyle name="Hyperlink" xfId="4808" builtinId="8" hidden="1"/>
    <cellStyle name="Hyperlink" xfId="2352" builtinId="8" hidden="1"/>
    <cellStyle name="Hyperlink" xfId="7384" builtinId="8" hidden="1"/>
    <cellStyle name="Hyperlink" xfId="8010" builtinId="8" hidden="1"/>
    <cellStyle name="Hyperlink" xfId="4326" builtinId="8" hidden="1"/>
    <cellStyle name="Hyperlink" xfId="4652" builtinId="8" hidden="1"/>
    <cellStyle name="Hyperlink" xfId="1940" builtinId="8" hidden="1"/>
    <cellStyle name="Hyperlink" xfId="1004" builtinId="8" hidden="1"/>
    <cellStyle name="Hyperlink" xfId="6650" builtinId="8" hidden="1"/>
    <cellStyle name="Hyperlink" xfId="6608" builtinId="8" hidden="1"/>
    <cellStyle name="Hyperlink" xfId="1876" builtinId="8" hidden="1"/>
    <cellStyle name="Hyperlink" xfId="3082" builtinId="8" hidden="1"/>
    <cellStyle name="Hyperlink" xfId="4768" builtinId="8" hidden="1"/>
    <cellStyle name="Hyperlink" xfId="5300" builtinId="8" hidden="1"/>
    <cellStyle name="Hyperlink" xfId="5500" builtinId="8" hidden="1"/>
    <cellStyle name="Hyperlink" xfId="2270" builtinId="8" hidden="1"/>
    <cellStyle name="Hyperlink" xfId="3278" builtinId="8" hidden="1"/>
    <cellStyle name="Hyperlink" xfId="4062" builtinId="8" hidden="1"/>
    <cellStyle name="Hyperlink" xfId="2102" builtinId="8" hidden="1"/>
    <cellStyle name="Hyperlink" xfId="1650" builtinId="8" hidden="1"/>
    <cellStyle name="Hyperlink" xfId="4872" builtinId="8" hidden="1"/>
    <cellStyle name="Hyperlink" xfId="1358" builtinId="8" hidden="1"/>
    <cellStyle name="Hyperlink" xfId="1428" builtinId="8" hidden="1"/>
    <cellStyle name="Hyperlink" xfId="6998" builtinId="8" hidden="1"/>
    <cellStyle name="Hyperlink" xfId="3732" builtinId="8" hidden="1"/>
    <cellStyle name="Hyperlink" xfId="6426" builtinId="8" hidden="1"/>
    <cellStyle name="Hyperlink" xfId="622" builtinId="8" hidden="1"/>
    <cellStyle name="Hyperlink" xfId="2582" builtinId="8" hidden="1"/>
    <cellStyle name="Hyperlink" xfId="2474" builtinId="8" hidden="1"/>
    <cellStyle name="Hyperlink" xfId="1214" builtinId="8" hidden="1"/>
    <cellStyle name="Hyperlink" xfId="4036" builtinId="8" hidden="1"/>
    <cellStyle name="Hyperlink" xfId="4392" builtinId="8" hidden="1"/>
    <cellStyle name="Hyperlink" xfId="2894" builtinId="8" hidden="1"/>
    <cellStyle name="Hyperlink" xfId="7398" builtinId="8" hidden="1"/>
    <cellStyle name="Hyperlink" xfId="473" builtinId="8" hidden="1"/>
    <cellStyle name="Hyperlink" xfId="6750" builtinId="8" hidden="1"/>
    <cellStyle name="Hyperlink" xfId="8134" builtinId="8" hidden="1"/>
    <cellStyle name="Hyperlink" xfId="1436" builtinId="8" hidden="1"/>
    <cellStyle name="Hyperlink" xfId="2286" builtinId="8" hidden="1"/>
    <cellStyle name="Hyperlink" xfId="7012" builtinId="8" hidden="1"/>
    <cellStyle name="Hyperlink" xfId="4816" builtinId="8" hidden="1"/>
    <cellStyle name="Hyperlink" xfId="3068" builtinId="8" hidden="1"/>
    <cellStyle name="Hyperlink" xfId="4364" builtinId="8" hidden="1"/>
    <cellStyle name="Hyperlink" xfId="1728" builtinId="8" hidden="1"/>
    <cellStyle name="Hyperlink" xfId="6002" builtinId="8" hidden="1"/>
    <cellStyle name="Hyperlink" xfId="2554" builtinId="8" hidden="1"/>
    <cellStyle name="Hyperlink" xfId="1126" builtinId="8" hidden="1"/>
    <cellStyle name="Hyperlink" xfId="311" builtinId="8" hidden="1"/>
    <cellStyle name="Hyperlink" xfId="8176" builtinId="8" hidden="1"/>
    <cellStyle name="Hyperlink" xfId="956" builtinId="8" hidden="1"/>
    <cellStyle name="Hyperlink" xfId="4190" builtinId="8" hidden="1"/>
    <cellStyle name="Hyperlink" xfId="926" builtinId="8" hidden="1"/>
    <cellStyle name="Hyperlink" xfId="2252" builtinId="8" hidden="1"/>
    <cellStyle name="Hyperlink" xfId="2994" builtinId="8" hidden="1"/>
    <cellStyle name="Hyperlink" xfId="7332" builtinId="8" hidden="1"/>
    <cellStyle name="Hyperlink" xfId="8046" builtinId="8" hidden="1"/>
    <cellStyle name="Hyperlink" xfId="1840" builtinId="8" hidden="1"/>
    <cellStyle name="Hyperlink" xfId="2398" builtinId="8" hidden="1"/>
    <cellStyle name="Hyperlink" xfId="3720" builtinId="8" hidden="1"/>
    <cellStyle name="Hyperlink" xfId="7914" builtinId="8" hidden="1"/>
    <cellStyle name="Hyperlink" xfId="3020" builtinId="8" hidden="1"/>
    <cellStyle name="Hyperlink" xfId="3026" builtinId="8" hidden="1"/>
    <cellStyle name="Hyperlink" xfId="5926" builtinId="8" hidden="1"/>
    <cellStyle name="Hyperlink" xfId="2110" builtinId="8" hidden="1"/>
    <cellStyle name="Hyperlink" xfId="3374" builtinId="8" hidden="1"/>
    <cellStyle name="Hyperlink" xfId="1158" builtinId="8" hidden="1"/>
    <cellStyle name="Hyperlink" xfId="2812" builtinId="8" hidden="1"/>
    <cellStyle name="Hyperlink" xfId="5834" builtinId="8" hidden="1"/>
    <cellStyle name="Hyperlink" xfId="3888" builtinId="8" hidden="1"/>
    <cellStyle name="Hyperlink" xfId="1260" builtinId="8" hidden="1"/>
    <cellStyle name="Hyperlink" xfId="670" builtinId="8" hidden="1"/>
    <cellStyle name="Hyperlink" xfId="3776" builtinId="8" hidden="1"/>
    <cellStyle name="Hyperlink" xfId="5164" builtinId="8" hidden="1"/>
    <cellStyle name="Hyperlink" xfId="3910" builtinId="8" hidden="1"/>
    <cellStyle name="Hyperlink" xfId="2112" builtinId="8" hidden="1"/>
    <cellStyle name="Hyperlink" xfId="4512" builtinId="8" hidden="1"/>
    <cellStyle name="Hyperlink" xfId="7916" builtinId="8" hidden="1"/>
    <cellStyle name="Hyperlink" xfId="5766" builtinId="8" hidden="1"/>
    <cellStyle name="Hyperlink" xfId="2466" builtinId="8" hidden="1"/>
    <cellStyle name="Hyperlink" xfId="201" builtinId="8" hidden="1"/>
    <cellStyle name="Hyperlink" xfId="6372" builtinId="8" hidden="1"/>
    <cellStyle name="Hyperlink" xfId="1478" builtinId="8" hidden="1"/>
    <cellStyle name="Hyperlink" xfId="6402" builtinId="8" hidden="1"/>
    <cellStyle name="Hyperlink" xfId="2014" builtinId="8" hidden="1"/>
    <cellStyle name="Hyperlink" xfId="5296" builtinId="8" hidden="1"/>
    <cellStyle name="Hyperlink" xfId="4570" builtinId="8" hidden="1"/>
    <cellStyle name="Hyperlink" xfId="3570" builtinId="8" hidden="1"/>
    <cellStyle name="Hyperlink" xfId="3014" builtinId="8" hidden="1"/>
    <cellStyle name="Hyperlink" xfId="1922" builtinId="8" hidden="1"/>
    <cellStyle name="Hyperlink" xfId="1084" builtinId="8" hidden="1"/>
    <cellStyle name="Hyperlink" xfId="5732" builtinId="8" hidden="1"/>
    <cellStyle name="Hyperlink" xfId="3912" builtinId="8" hidden="1"/>
    <cellStyle name="Hyperlink" xfId="2866" builtinId="8" hidden="1"/>
    <cellStyle name="Hyperlink" xfId="517" builtinId="8" hidden="1"/>
    <cellStyle name="Hyperlink" xfId="5150" builtinId="8" hidden="1"/>
    <cellStyle name="Hyperlink" xfId="2746" builtinId="8" hidden="1"/>
    <cellStyle name="Hyperlink" xfId="2404" builtinId="8" hidden="1"/>
    <cellStyle name="Hyperlink" xfId="1938" builtinId="8" hidden="1"/>
    <cellStyle name="Hyperlink" xfId="5714" builtinId="8" hidden="1"/>
    <cellStyle name="Hyperlink" xfId="1006" builtinId="8" hidden="1"/>
    <cellStyle name="Hyperlink" xfId="4776" builtinId="8" hidden="1"/>
    <cellStyle name="Hyperlink" xfId="4228" builtinId="8" hidden="1"/>
    <cellStyle name="Hyperlink" xfId="3272" builtinId="8" hidden="1"/>
    <cellStyle name="Hyperlink" xfId="3502" builtinId="8" hidden="1"/>
    <cellStyle name="Hyperlink" xfId="2420" builtinId="8" hidden="1"/>
    <cellStyle name="Hyperlink" xfId="6482" builtinId="8" hidden="1"/>
    <cellStyle name="Hyperlink" xfId="662" builtinId="8" hidden="1"/>
    <cellStyle name="Hyperlink" xfId="7518" builtinId="8" hidden="1"/>
    <cellStyle name="Hyperlink" xfId="3056" builtinId="8" hidden="1"/>
    <cellStyle name="Hyperlink" xfId="4038" builtinId="8" hidden="1"/>
    <cellStyle name="Hyperlink" xfId="279" builtinId="8" hidden="1"/>
    <cellStyle name="Hyperlink" xfId="247" builtinId="8" hidden="1"/>
    <cellStyle name="Hyperlink" xfId="4876" builtinId="8" hidden="1"/>
    <cellStyle name="Hyperlink" xfId="1274" builtinId="8" hidden="1"/>
    <cellStyle name="Hyperlink" xfId="1124" builtinId="8" hidden="1"/>
    <cellStyle name="Hyperlink" xfId="7972" builtinId="8" hidden="1"/>
    <cellStyle name="Hyperlink" xfId="2958" builtinId="8" hidden="1"/>
    <cellStyle name="Hyperlink" xfId="4944" builtinId="8" hidden="1"/>
    <cellStyle name="Hyperlink" xfId="503" builtinId="8" hidden="1"/>
    <cellStyle name="Hyperlink" xfId="3740" builtinId="8" hidden="1"/>
    <cellStyle name="Hyperlink" xfId="3066" builtinId="8" hidden="1"/>
    <cellStyle name="Hyperlink" xfId="4848" builtinId="8" hidden="1"/>
    <cellStyle name="Hyperlink" xfId="4348" builtinId="8" hidden="1"/>
    <cellStyle name="Hyperlink" xfId="4892" builtinId="8" hidden="1"/>
    <cellStyle name="Hyperlink" xfId="748" builtinId="8" hidden="1"/>
    <cellStyle name="Hyperlink" xfId="7940" builtinId="8" hidden="1"/>
    <cellStyle name="Hyperlink" xfId="7020" builtinId="8" hidden="1"/>
    <cellStyle name="Hyperlink" xfId="6820" builtinId="8" hidden="1"/>
    <cellStyle name="Hyperlink" xfId="3464" builtinId="8" hidden="1"/>
    <cellStyle name="Hyperlink" xfId="1468" builtinId="8" hidden="1"/>
    <cellStyle name="Hyperlink" xfId="5936" builtinId="8" hidden="1"/>
    <cellStyle name="Hyperlink" xfId="3580" builtinId="8" hidden="1"/>
    <cellStyle name="Hyperlink" xfId="7624" builtinId="8" hidden="1"/>
    <cellStyle name="Hyperlink" xfId="3114" builtinId="8" hidden="1"/>
    <cellStyle name="Hyperlink" xfId="7494" builtinId="8" hidden="1"/>
    <cellStyle name="Hyperlink" xfId="2508" builtinId="8" hidden="1"/>
    <cellStyle name="Hyperlink" xfId="7664" builtinId="8" hidden="1"/>
    <cellStyle name="Hyperlink" xfId="5746" builtinId="8" hidden="1"/>
    <cellStyle name="Hyperlink" xfId="85" builtinId="8" hidden="1"/>
    <cellStyle name="Hyperlink" xfId="6574" builtinId="8" hidden="1"/>
    <cellStyle name="Hyperlink" xfId="816" builtinId="8" hidden="1"/>
    <cellStyle name="Hyperlink" xfId="97" builtinId="8" hidden="1"/>
    <cellStyle name="Hyperlink" xfId="8154" builtinId="8" hidden="1"/>
    <cellStyle name="Hyperlink" xfId="6936" builtinId="8" hidden="1"/>
    <cellStyle name="Hyperlink" xfId="7170" builtinId="8" hidden="1"/>
    <cellStyle name="Hyperlink" xfId="7770" builtinId="8" hidden="1"/>
    <cellStyle name="Hyperlink" xfId="6762" builtinId="8" hidden="1"/>
    <cellStyle name="Hyperlink" xfId="2882" builtinId="8" hidden="1"/>
    <cellStyle name="Hyperlink" xfId="5458" builtinId="8" hidden="1"/>
    <cellStyle name="Hyperlink" xfId="2038" builtinId="8" hidden="1"/>
    <cellStyle name="Hyperlink" xfId="626" builtinId="8" hidden="1"/>
    <cellStyle name="Hyperlink" xfId="3354" builtinId="8" hidden="1"/>
    <cellStyle name="Hyperlink" xfId="7274" builtinId="8" hidden="1"/>
    <cellStyle name="Hyperlink" xfId="195" builtinId="8" hidden="1"/>
    <cellStyle name="Hyperlink" xfId="1416" builtinId="8" hidden="1"/>
    <cellStyle name="Hyperlink" xfId="7522" builtinId="8" hidden="1"/>
    <cellStyle name="Hyperlink" xfId="5144" builtinId="8" hidden="1"/>
    <cellStyle name="Hyperlink" xfId="7628" builtinId="8" hidden="1"/>
    <cellStyle name="Hyperlink" xfId="1010" builtinId="8" hidden="1"/>
    <cellStyle name="Hyperlink" xfId="3092" builtinId="8" hidden="1"/>
    <cellStyle name="Hyperlink" xfId="1462" builtinId="8" hidden="1"/>
    <cellStyle name="Hyperlink" xfId="1752" builtinId="8" hidden="1"/>
    <cellStyle name="Hyperlink" xfId="2264" builtinId="8" hidden="1"/>
    <cellStyle name="Hyperlink" xfId="6210" builtinId="8" hidden="1"/>
    <cellStyle name="Hyperlink" xfId="3480" builtinId="8" hidden="1"/>
    <cellStyle name="Hyperlink" xfId="2004" builtinId="8" hidden="1"/>
    <cellStyle name="Hyperlink" xfId="6592" builtinId="8" hidden="1"/>
    <cellStyle name="Hyperlink" xfId="818" builtinId="8" hidden="1"/>
    <cellStyle name="Hyperlink" xfId="1460" builtinId="8" hidden="1"/>
    <cellStyle name="Hyperlink" xfId="2716" builtinId="8" hidden="1"/>
    <cellStyle name="Hyperlink" xfId="3412" builtinId="8" hidden="1"/>
    <cellStyle name="Hyperlink" xfId="648" builtinId="8" hidden="1"/>
    <cellStyle name="Hyperlink" xfId="3930" builtinId="8" hidden="1"/>
    <cellStyle name="Hyperlink" xfId="39" builtinId="8" hidden="1"/>
    <cellStyle name="Hyperlink" xfId="1142" builtinId="8" hidden="1"/>
    <cellStyle name="Hyperlink" xfId="115" builtinId="8" hidden="1"/>
    <cellStyle name="Hyperlink" xfId="6108" builtinId="8" hidden="1"/>
    <cellStyle name="Hyperlink" xfId="7910" builtinId="8" hidden="1"/>
    <cellStyle name="Hyperlink" xfId="6176" builtinId="8" hidden="1"/>
    <cellStyle name="Hyperlink" xfId="3042" builtinId="8" hidden="1"/>
    <cellStyle name="Hyperlink" xfId="3644" builtinId="8" hidden="1"/>
    <cellStyle name="Hyperlink" xfId="5742" builtinId="8" hidden="1"/>
    <cellStyle name="Hyperlink" xfId="8096" builtinId="8" hidden="1"/>
    <cellStyle name="Hyperlink" xfId="4980" builtinId="8" hidden="1"/>
    <cellStyle name="Hyperlink" xfId="884" builtinId="8" hidden="1"/>
    <cellStyle name="Hyperlink" xfId="3798" builtinId="8" hidden="1"/>
    <cellStyle name="Hyperlink" xfId="1116" builtinId="8" hidden="1"/>
    <cellStyle name="Hyperlink" xfId="7228" builtinId="8" hidden="1"/>
    <cellStyle name="Hyperlink" xfId="17" builtinId="8" hidden="1"/>
    <cellStyle name="Hyperlink" xfId="1120" builtinId="8" hidden="1"/>
    <cellStyle name="Hyperlink" xfId="5102" builtinId="8" hidden="1"/>
    <cellStyle name="Hyperlink" xfId="4504" builtinId="8" hidden="1"/>
    <cellStyle name="Hyperlink" xfId="4160" builtinId="8" hidden="1"/>
    <cellStyle name="Hyperlink" xfId="4390" builtinId="8" hidden="1"/>
    <cellStyle name="Hyperlink" xfId="497" builtinId="8" hidden="1"/>
    <cellStyle name="Hyperlink" xfId="133" builtinId="8" hidden="1"/>
    <cellStyle name="Hyperlink" xfId="7850" builtinId="8" hidden="1"/>
    <cellStyle name="Hyperlink" xfId="5450" builtinId="8" hidden="1"/>
    <cellStyle name="Hyperlink" xfId="7272" builtinId="8" hidden="1"/>
    <cellStyle name="Hyperlink" xfId="3654" builtinId="8" hidden="1"/>
    <cellStyle name="Hyperlink" xfId="5676" builtinId="8" hidden="1"/>
    <cellStyle name="Hyperlink" xfId="7028" builtinId="8" hidden="1"/>
    <cellStyle name="Hyperlink" xfId="3840" builtinId="8" hidden="1"/>
    <cellStyle name="Hyperlink" xfId="163" builtinId="8" hidden="1"/>
    <cellStyle name="Hyperlink" xfId="7602" builtinId="8" hidden="1"/>
    <cellStyle name="Hyperlink" xfId="6104" builtinId="8" hidden="1"/>
    <cellStyle name="Hyperlink" xfId="6024" builtinId="8" hidden="1"/>
    <cellStyle name="Hyperlink" xfId="4186" builtinId="8" hidden="1"/>
    <cellStyle name="Hyperlink" xfId="4886" builtinId="8" hidden="1"/>
    <cellStyle name="Hyperlink" xfId="2234" builtinId="8" hidden="1"/>
    <cellStyle name="Hyperlink" xfId="7898" builtinId="8" hidden="1"/>
    <cellStyle name="Hyperlink" xfId="6886" builtinId="8" hidden="1"/>
    <cellStyle name="Hyperlink" xfId="3302" builtinId="8" hidden="1"/>
    <cellStyle name="Hyperlink" xfId="7234" builtinId="8" hidden="1"/>
    <cellStyle name="Hyperlink" xfId="1896" builtinId="8" hidden="1"/>
    <cellStyle name="Hyperlink" xfId="7072" builtinId="8" hidden="1"/>
    <cellStyle name="Hyperlink" xfId="2652" builtinId="8" hidden="1"/>
    <cellStyle name="Hyperlink" xfId="7142" builtinId="8" hidden="1"/>
    <cellStyle name="Hyperlink" xfId="6894" builtinId="8" hidden="1"/>
    <cellStyle name="Hyperlink" xfId="5650" builtinId="8" hidden="1"/>
    <cellStyle name="Hyperlink" xfId="2446" builtinId="8" hidden="1"/>
    <cellStyle name="Hyperlink" xfId="7712" builtinId="8" hidden="1"/>
    <cellStyle name="Hyperlink" xfId="7166" builtinId="8" hidden="1"/>
    <cellStyle name="Hyperlink" xfId="2960" builtinId="8" hidden="1"/>
    <cellStyle name="Hyperlink" xfId="7754" builtinId="8" hidden="1"/>
    <cellStyle name="Hyperlink" xfId="3988" builtinId="8" hidden="1"/>
    <cellStyle name="Hyperlink" xfId="2510" builtinId="8" hidden="1"/>
    <cellStyle name="Hyperlink" xfId="4260" builtinId="8" hidden="1"/>
    <cellStyle name="Hyperlink" xfId="7622" builtinId="8" hidden="1"/>
    <cellStyle name="Hyperlink" xfId="2624" builtinId="8" hidden="1"/>
    <cellStyle name="Hyperlink" xfId="1514" builtinId="8" hidden="1"/>
    <cellStyle name="Hyperlink" xfId="2104" builtinId="8" hidden="1"/>
    <cellStyle name="Hyperlink" xfId="1202" builtinId="8" hidden="1"/>
    <cellStyle name="Hyperlink" xfId="6530" builtinId="8" hidden="1"/>
    <cellStyle name="Hyperlink" xfId="752" builtinId="8" hidden="1"/>
    <cellStyle name="Hyperlink" xfId="1868" builtinId="8" hidden="1"/>
    <cellStyle name="Hyperlink" xfId="4230" builtinId="8" hidden="1"/>
    <cellStyle name="Hyperlink" xfId="2518" builtinId="8" hidden="1"/>
    <cellStyle name="Hyperlink" xfId="5066" builtinId="8" hidden="1"/>
    <cellStyle name="Hyperlink" xfId="6968" builtinId="8" hidden="1"/>
    <cellStyle name="Hyperlink" xfId="5740" builtinId="8" hidden="1"/>
    <cellStyle name="Hyperlink" xfId="513" builtinId="8" hidden="1"/>
    <cellStyle name="Hyperlink" xfId="5658" builtinId="8" hidden="1"/>
    <cellStyle name="Hyperlink" xfId="5816" builtinId="8" hidden="1"/>
    <cellStyle name="Hyperlink" xfId="3434" builtinId="8" hidden="1"/>
    <cellStyle name="Hyperlink" xfId="2780" builtinId="8" hidden="1"/>
    <cellStyle name="Hyperlink" xfId="5716" builtinId="8" hidden="1"/>
    <cellStyle name="Hyperlink" xfId="3384" builtinId="8" hidden="1"/>
    <cellStyle name="Hyperlink" xfId="7722" builtinId="8" hidden="1"/>
    <cellStyle name="Hyperlink" xfId="1910" builtinId="8" hidden="1"/>
    <cellStyle name="Hyperlink" xfId="1874" builtinId="8" hidden="1"/>
    <cellStyle name="Hyperlink" xfId="7632" builtinId="8" hidden="1"/>
    <cellStyle name="Hyperlink" xfId="7208" builtinId="8" hidden="1"/>
    <cellStyle name="Hyperlink" xfId="2494" builtinId="8" hidden="1"/>
    <cellStyle name="Hyperlink" xfId="7238" builtinId="8" hidden="1"/>
    <cellStyle name="Hyperlink" xfId="4796" builtinId="8" hidden="1"/>
    <cellStyle name="Hyperlink" xfId="2988" builtinId="8" hidden="1"/>
    <cellStyle name="Hyperlink" xfId="5930" builtinId="8" hidden="1"/>
    <cellStyle name="Hyperlink" xfId="6166" builtinId="8" hidden="1"/>
    <cellStyle name="Hyperlink" xfId="5312" builtinId="8" hidden="1"/>
    <cellStyle name="Hyperlink" xfId="1144" builtinId="8" hidden="1"/>
    <cellStyle name="Hyperlink" xfId="7654" builtinId="8" hidden="1"/>
    <cellStyle name="Hyperlink" xfId="7566" builtinId="8" hidden="1"/>
    <cellStyle name="Hyperlink" xfId="5754" builtinId="8" hidden="1"/>
    <cellStyle name="Hyperlink" xfId="2210" builtinId="8" hidden="1"/>
    <cellStyle name="Hyperlink" xfId="5276" builtinId="8" hidden="1"/>
    <cellStyle name="Hyperlink" xfId="7824" builtinId="8" hidden="1"/>
    <cellStyle name="Hyperlink" xfId="3808" builtinId="8" hidden="1"/>
    <cellStyle name="Hyperlink" xfId="5242" builtinId="8" hidden="1"/>
    <cellStyle name="Hyperlink" xfId="6946" builtinId="8" hidden="1"/>
    <cellStyle name="Hyperlink" xfId="7348" builtinId="8" hidden="1"/>
    <cellStyle name="Hyperlink" xfId="4324" builtinId="8" hidden="1"/>
    <cellStyle name="Hyperlink" xfId="7446" builtinId="8" hidden="1"/>
    <cellStyle name="Hyperlink" xfId="5344" builtinId="8" hidden="1"/>
    <cellStyle name="Hyperlink" xfId="7798" builtinId="8" hidden="1"/>
    <cellStyle name="Hyperlink" xfId="2294" builtinId="8" hidden="1"/>
    <cellStyle name="Hyperlink" xfId="6344" builtinId="8" hidden="1"/>
    <cellStyle name="Hyperlink" xfId="5744" builtinId="8" hidden="1"/>
    <cellStyle name="Hyperlink" xfId="8064" builtinId="8" hidden="1"/>
    <cellStyle name="Hyperlink" xfId="2668" builtinId="8" hidden="1"/>
    <cellStyle name="Hyperlink" xfId="217" builtinId="8" hidden="1"/>
    <cellStyle name="Hyperlink" xfId="7788" builtinId="8" hidden="1"/>
    <cellStyle name="Hyperlink" xfId="7762" builtinId="8" hidden="1"/>
    <cellStyle name="Hyperlink" xfId="2744" builtinId="8" hidden="1"/>
    <cellStyle name="Hyperlink" xfId="2892" builtinId="8" hidden="1"/>
    <cellStyle name="Hyperlink" xfId="5448" builtinId="8" hidden="1"/>
    <cellStyle name="Hyperlink" xfId="5504" builtinId="8" hidden="1"/>
    <cellStyle name="Hyperlink" xfId="1898" builtinId="8" hidden="1"/>
    <cellStyle name="Hyperlink" xfId="6388" builtinId="8" hidden="1"/>
    <cellStyle name="Hyperlink" xfId="7886" builtinId="8" hidden="1"/>
    <cellStyle name="Hyperlink" xfId="1404" builtinId="8" hidden="1"/>
    <cellStyle name="Hyperlink" xfId="4378" builtinId="8" hidden="1"/>
    <cellStyle name="Hyperlink" xfId="6890" builtinId="8" hidden="1"/>
    <cellStyle name="Hyperlink" xfId="4842" builtinId="8" hidden="1"/>
    <cellStyle name="Hyperlink" xfId="7814" builtinId="8" hidden="1"/>
    <cellStyle name="Hyperlink" xfId="3158" builtinId="8" hidden="1"/>
    <cellStyle name="Hyperlink" xfId="7326" builtinId="8" hidden="1"/>
    <cellStyle name="Hyperlink" xfId="4226" builtinId="8" hidden="1"/>
    <cellStyle name="Hyperlink" xfId="5026" builtinId="8" hidden="1"/>
    <cellStyle name="Hyperlink" xfId="8124" builtinId="8" hidden="1"/>
    <cellStyle name="Hyperlink" xfId="1230" builtinId="8" hidden="1"/>
    <cellStyle name="Hyperlink" xfId="4116" builtinId="8" hidden="1"/>
    <cellStyle name="Hyperlink" xfId="5708" builtinId="8" hidden="1"/>
    <cellStyle name="Hyperlink" xfId="6818" builtinId="8" hidden="1"/>
    <cellStyle name="Hyperlink" xfId="3754" builtinId="8" hidden="1"/>
    <cellStyle name="Hyperlink" xfId="1432" builtinId="8" hidden="1"/>
    <cellStyle name="Hyperlink" xfId="3154" builtinId="8" hidden="1"/>
    <cellStyle name="Hyperlink" xfId="5030" builtinId="8" hidden="1"/>
    <cellStyle name="Hyperlink" xfId="6930" builtinId="8" hidden="1"/>
    <cellStyle name="Hyperlink" xfId="5036" builtinId="8" hidden="1"/>
    <cellStyle name="Hyperlink" xfId="129" builtinId="8" hidden="1"/>
    <cellStyle name="Hyperlink" xfId="1568" builtinId="8" hidden="1"/>
    <cellStyle name="Hyperlink" xfId="2040" builtinId="8" hidden="1"/>
    <cellStyle name="Hyperlink" xfId="4008" builtinId="8" hidden="1"/>
    <cellStyle name="Hyperlink" xfId="1966" builtinId="8" hidden="1"/>
    <cellStyle name="Hyperlink" xfId="7390" builtinId="8" hidden="1"/>
    <cellStyle name="Hyperlink" xfId="6792" builtinId="8" hidden="1"/>
    <cellStyle name="Hyperlink" xfId="2248" builtinId="8" hidden="1"/>
    <cellStyle name="Hyperlink" xfId="5896" builtinId="8" hidden="1"/>
    <cellStyle name="Hyperlink" xfId="6472" builtinId="8" hidden="1"/>
    <cellStyle name="Hyperlink" xfId="706" builtinId="8" hidden="1"/>
    <cellStyle name="Hyperlink" xfId="7426" builtinId="8" hidden="1"/>
    <cellStyle name="Hyperlink" xfId="523" builtinId="8" hidden="1"/>
    <cellStyle name="Hyperlink" xfId="6772" builtinId="8" hidden="1"/>
    <cellStyle name="Hyperlink" xfId="4862" builtinId="8" hidden="1"/>
    <cellStyle name="Hyperlink" xfId="6536" builtinId="8" hidden="1"/>
    <cellStyle name="Hyperlink" xfId="3656" builtinId="8" hidden="1"/>
    <cellStyle name="Hyperlink" xfId="7276" builtinId="8" hidden="1"/>
    <cellStyle name="Hyperlink" xfId="2794" builtinId="8" hidden="1"/>
    <cellStyle name="Hyperlink" xfId="6690" builtinId="8" hidden="1"/>
    <cellStyle name="Hyperlink" xfId="3806" builtinId="8" hidden="1"/>
    <cellStyle name="Hyperlink" xfId="4520" builtinId="8" hidden="1"/>
    <cellStyle name="Hyperlink" xfId="3402" builtinId="8" hidden="1"/>
    <cellStyle name="Hyperlink" xfId="389" builtinId="8" hidden="1"/>
    <cellStyle name="Hyperlink" xfId="5764" builtinId="8" hidden="1"/>
    <cellStyle name="Hyperlink" xfId="6692" builtinId="8" hidden="1"/>
    <cellStyle name="Hyperlink" xfId="2098" builtinId="8" hidden="1"/>
    <cellStyle name="Hyperlink" xfId="5412" builtinId="8" hidden="1"/>
    <cellStyle name="Hyperlink" xfId="880" builtinId="8" hidden="1"/>
    <cellStyle name="Hyperlink" xfId="1678" builtinId="8" hidden="1"/>
    <cellStyle name="Hyperlink" xfId="6636" builtinId="8" hidden="1"/>
    <cellStyle name="Hyperlink" xfId="4608" builtinId="8" hidden="1"/>
    <cellStyle name="Hyperlink" xfId="3234" builtinId="8" hidden="1"/>
    <cellStyle name="Hyperlink" xfId="6584" builtinId="8" hidden="1"/>
    <cellStyle name="Hyperlink" xfId="1648" builtinId="8" hidden="1"/>
    <cellStyle name="Hyperlink" xfId="3414" builtinId="8" hidden="1"/>
    <cellStyle name="Hyperlink" xfId="1112" builtinId="8" hidden="1"/>
    <cellStyle name="Hyperlink" xfId="5496" builtinId="8" hidden="1"/>
    <cellStyle name="Hyperlink" xfId="7366" builtinId="8" hidden="1"/>
    <cellStyle name="Hyperlink" xfId="3630" builtinId="8" hidden="1"/>
    <cellStyle name="Hyperlink" xfId="5274" builtinId="8" hidden="1"/>
    <cellStyle name="Hyperlink" xfId="1236" builtinId="8" hidden="1"/>
    <cellStyle name="Hyperlink" xfId="2814" builtinId="8" hidden="1"/>
    <cellStyle name="Hyperlink" xfId="8182" builtinId="8" hidden="1"/>
    <cellStyle name="Hyperlink" xfId="4404" builtinId="8" hidden="1"/>
    <cellStyle name="Hyperlink" xfId="5170" builtinId="8" hidden="1"/>
    <cellStyle name="Hyperlink" xfId="6128" builtinId="8" hidden="1"/>
    <cellStyle name="Hyperlink" xfId="4492" builtinId="8" hidden="1"/>
    <cellStyle name="Hyperlink" xfId="7906" builtinId="8" hidden="1"/>
    <cellStyle name="Hyperlink" xfId="6660" builtinId="8" hidden="1"/>
    <cellStyle name="Hyperlink" xfId="8148" builtinId="8" hidden="1"/>
    <cellStyle name="Hyperlink" xfId="6130" builtinId="8" hidden="1"/>
    <cellStyle name="Hyperlink" xfId="830" builtinId="8" hidden="1"/>
    <cellStyle name="Hyperlink" xfId="2214" builtinId="8" hidden="1"/>
    <cellStyle name="Hyperlink" xfId="1140" builtinId="8" hidden="1"/>
    <cellStyle name="Hyperlink" xfId="3254" builtinId="8" hidden="1"/>
    <cellStyle name="Hyperlink" xfId="6496" builtinId="8" hidden="1"/>
    <cellStyle name="Hyperlink" xfId="1624" builtinId="8" hidden="1"/>
    <cellStyle name="Hyperlink" xfId="4890" builtinId="8" hidden="1"/>
    <cellStyle name="Hyperlink" xfId="886" builtinId="8" hidden="1"/>
    <cellStyle name="Hyperlink" xfId="8190" builtinId="8" hidden="1"/>
    <cellStyle name="Hyperlink" xfId="7414" builtinId="8" hidden="1"/>
    <cellStyle name="Hyperlink" xfId="7496" builtinId="8" hidden="1"/>
    <cellStyle name="Hyperlink" xfId="5484" builtinId="8" hidden="1"/>
    <cellStyle name="Hyperlink" xfId="6088" builtinId="8" hidden="1"/>
    <cellStyle name="Hyperlink" xfId="1086" builtinId="8" hidden="1"/>
    <cellStyle name="Hyperlink" xfId="3538" builtinId="8" hidden="1"/>
    <cellStyle name="Hyperlink" xfId="1376" builtinId="8" hidden="1"/>
    <cellStyle name="Hyperlink" xfId="7428" builtinId="8" hidden="1"/>
    <cellStyle name="Hyperlink" xfId="3708" builtinId="8" hidden="1"/>
    <cellStyle name="Hyperlink" xfId="7922" builtinId="8" hidden="1"/>
    <cellStyle name="Hyperlink" xfId="6256" builtinId="8" hidden="1"/>
    <cellStyle name="Hyperlink" xfId="5438" builtinId="8" hidden="1"/>
    <cellStyle name="Hyperlink" xfId="1050" builtinId="8" hidden="1"/>
    <cellStyle name="Hyperlink" xfId="1412" builtinId="8" hidden="1"/>
    <cellStyle name="Hyperlink" xfId="6752" builtinId="8" hidden="1"/>
    <cellStyle name="Hyperlink" xfId="6760" builtinId="8" hidden="1"/>
    <cellStyle name="Hyperlink" xfId="7084" builtinId="8" hidden="1"/>
    <cellStyle name="Hyperlink" xfId="6486" builtinId="8" hidden="1"/>
    <cellStyle name="Hyperlink" xfId="3552" builtinId="8" hidden="1"/>
    <cellStyle name="Hyperlink" xfId="35" builtinId="8" hidden="1"/>
    <cellStyle name="Hyperlink" xfId="7" builtinId="8" hidden="1"/>
    <cellStyle name="Hyperlink" xfId="3248" builtinId="8" hidden="1"/>
    <cellStyle name="Hyperlink" xfId="1058" builtinId="8" hidden="1"/>
    <cellStyle name="Hyperlink" xfId="79" builtinId="8" hidden="1"/>
    <cellStyle name="Hyperlink" xfId="4824" builtinId="8" hidden="1"/>
    <cellStyle name="Hyperlink" xfId="2462" builtinId="8" hidden="1"/>
    <cellStyle name="Hyperlink" xfId="2610" builtinId="8" hidden="1"/>
    <cellStyle name="Hyperlink" xfId="6330" builtinId="8" hidden="1"/>
    <cellStyle name="Hyperlink" xfId="8022" builtinId="8" hidden="1"/>
    <cellStyle name="Hyperlink" xfId="6882" builtinId="8" hidden="1"/>
    <cellStyle name="Hyperlink" xfId="6436" builtinId="8" hidden="1"/>
    <cellStyle name="Hyperlink" xfId="3734" builtinId="8" hidden="1"/>
    <cellStyle name="Hyperlink" xfId="7646" builtinId="8" hidden="1"/>
    <cellStyle name="Hyperlink" xfId="5120" builtinId="8" hidden="1"/>
    <cellStyle name="Hyperlink" xfId="4514" builtinId="8" hidden="1"/>
    <cellStyle name="Hyperlink" xfId="3214" builtinId="8" hidden="1"/>
    <cellStyle name="Hyperlink" xfId="6322" builtinId="8" hidden="1"/>
    <cellStyle name="Hyperlink" xfId="7406" builtinId="8" hidden="1"/>
    <cellStyle name="Hyperlink" xfId="2308" builtinId="8" hidden="1"/>
    <cellStyle name="Hyperlink" xfId="6384" builtinId="8" hidden="1"/>
    <cellStyle name="Hyperlink" xfId="6398" builtinId="8" hidden="1"/>
    <cellStyle name="Hyperlink" xfId="5542" builtinId="8" hidden="1"/>
    <cellStyle name="Hyperlink" xfId="1860" builtinId="8" hidden="1"/>
    <cellStyle name="Hyperlink" xfId="4180" builtinId="8" hidden="1"/>
    <cellStyle name="Hyperlink" xfId="7288" builtinId="8" hidden="1"/>
    <cellStyle name="Hyperlink" xfId="4536" builtinId="8" hidden="1"/>
    <cellStyle name="Hyperlink" xfId="2816" builtinId="8" hidden="1"/>
    <cellStyle name="Hyperlink" xfId="4088" builtinId="8" hidden="1"/>
    <cellStyle name="Hyperlink" xfId="3838" builtinId="8" hidden="1"/>
    <cellStyle name="Hyperlink" xfId="870" builtinId="8" hidden="1"/>
    <cellStyle name="Hyperlink" xfId="6850" builtinId="8" hidden="1"/>
    <cellStyle name="Hyperlink" xfId="5962" builtinId="8" hidden="1"/>
    <cellStyle name="Hyperlink" xfId="1788" builtinId="8" hidden="1"/>
    <cellStyle name="Hyperlink" xfId="4732" builtinId="8" hidden="1"/>
    <cellStyle name="Hyperlink" xfId="6258" builtinId="8" hidden="1"/>
    <cellStyle name="Hyperlink" xfId="2950" builtinId="8" hidden="1"/>
    <cellStyle name="Hyperlink" xfId="2702" builtinId="8" hidden="1"/>
    <cellStyle name="Hyperlink" xfId="2166" builtinId="8" hidden="1"/>
    <cellStyle name="Hyperlink" xfId="5086" builtinId="8" hidden="1"/>
    <cellStyle name="Hyperlink" xfId="916" builtinId="8" hidden="1"/>
    <cellStyle name="Hyperlink" xfId="3318" builtinId="8" hidden="1"/>
    <cellStyle name="Hyperlink" xfId="515" builtinId="8" hidden="1"/>
    <cellStyle name="Hyperlink" xfId="7644" builtinId="8" hidden="1"/>
    <cellStyle name="Hyperlink" xfId="3508" builtinId="8" hidden="1"/>
    <cellStyle name="Hyperlink" xfId="2990" builtinId="8" hidden="1"/>
    <cellStyle name="Hyperlink" xfId="4538" builtinId="8" hidden="1"/>
    <cellStyle name="Hyperlink" xfId="6048" builtinId="8" hidden="1"/>
    <cellStyle name="Hyperlink" xfId="5882" builtinId="8" hidden="1"/>
    <cellStyle name="Hyperlink" xfId="7828" builtinId="8" hidden="1"/>
    <cellStyle name="Hyperlink" xfId="7408" builtinId="8" hidden="1"/>
    <cellStyle name="Hyperlink" xfId="1108" builtinId="8" hidden="1"/>
    <cellStyle name="Hyperlink" xfId="5148" builtinId="8" hidden="1"/>
    <cellStyle name="Hyperlink" xfId="2590" builtinId="8" hidden="1"/>
    <cellStyle name="Hyperlink" xfId="4960" builtinId="8" hidden="1"/>
    <cellStyle name="Hyperlink" xfId="1746" builtinId="8" hidden="1"/>
    <cellStyle name="Hyperlink" xfId="5258" builtinId="8" hidden="1"/>
    <cellStyle name="Hyperlink" xfId="2728" builtinId="8" hidden="1"/>
    <cellStyle name="Hyperlink" xfId="1554" builtinId="8" hidden="1"/>
    <cellStyle name="Hyperlink" xfId="5166" builtinId="8" hidden="1"/>
    <cellStyle name="Hyperlink" xfId="4500" builtinId="8" hidden="1"/>
    <cellStyle name="Hyperlink" xfId="1368" builtinId="8" hidden="1"/>
    <cellStyle name="Hyperlink" xfId="1608" builtinId="8" hidden="1"/>
    <cellStyle name="Hyperlink" xfId="1486" builtinId="8" hidden="1"/>
    <cellStyle name="Hyperlink" xfId="4342" builtinId="8" hidden="1"/>
    <cellStyle name="Hyperlink" xfId="8094" builtinId="8" hidden="1"/>
    <cellStyle name="Hyperlink" xfId="730" builtinId="8" hidden="1"/>
    <cellStyle name="Hyperlink" xfId="4080" builtinId="8" hidden="1"/>
    <cellStyle name="Hyperlink" xfId="5528" builtinId="8" hidden="1"/>
    <cellStyle name="Hyperlink" xfId="4208" builtinId="8" hidden="1"/>
    <cellStyle name="Hyperlink" xfId="5574" builtinId="8" hidden="1"/>
    <cellStyle name="Hyperlink" xfId="3646" builtinId="8" hidden="1"/>
    <cellStyle name="Hyperlink" xfId="6374" builtinId="8" hidden="1"/>
    <cellStyle name="Hyperlink" xfId="7058" builtinId="8" hidden="1"/>
    <cellStyle name="Hyperlink" xfId="329" builtinId="8" hidden="1"/>
    <cellStyle name="Hyperlink" xfId="4312" builtinId="8" hidden="1"/>
    <cellStyle name="Hyperlink" xfId="5200" builtinId="8" hidden="1"/>
    <cellStyle name="Hyperlink" xfId="5364" builtinId="8" hidden="1"/>
    <cellStyle name="Hyperlink" xfId="2992" builtinId="8" hidden="1"/>
    <cellStyle name="Hyperlink" xfId="5512" builtinId="8" hidden="1"/>
    <cellStyle name="Hyperlink" xfId="6072" builtinId="8" hidden="1"/>
    <cellStyle name="Hyperlink" xfId="1288" builtinId="8" hidden="1"/>
    <cellStyle name="Hyperlink" xfId="874" builtinId="8" hidden="1"/>
    <cellStyle name="Hyperlink" xfId="6642" builtinId="8" hidden="1"/>
    <cellStyle name="Hyperlink" xfId="914" builtinId="8" hidden="1"/>
    <cellStyle name="Hyperlink" xfId="161" builtinId="8" hidden="1"/>
    <cellStyle name="Hyperlink" xfId="978" builtinId="8" hidden="1"/>
    <cellStyle name="Hyperlink" xfId="121" builtinId="8" hidden="1"/>
    <cellStyle name="Hyperlink" xfId="5826" builtinId="8" hidden="1"/>
    <cellStyle name="Hyperlink" xfId="5134" builtinId="8" hidden="1"/>
    <cellStyle name="Hyperlink" xfId="6952" builtinId="8" hidden="1"/>
    <cellStyle name="Hyperlink" xfId="5468" builtinId="8" hidden="1"/>
    <cellStyle name="Hyperlink" xfId="1716" builtinId="8" hidden="1"/>
    <cellStyle name="Normal" xfId="0" builtinId="0"/>
    <cellStyle name="Normal 2" xfId="1" xr:uid="{00000000-0005-0000-0000-000000200000}"/>
    <cellStyle name="Normal 2 2" xfId="8199" xr:uid="{952FB128-5D0C-C34F-8088-4A57950C337E}"/>
    <cellStyle name="Normal 2 2 2" xfId="8202" xr:uid="{826CCAF1-5289-8749-978F-1A0AD0845A75}"/>
    <cellStyle name="Normal 2 3" xfId="8198" xr:uid="{00DE51BA-233B-6646-88C4-05E1AEEE25F7}"/>
    <cellStyle name="Normal 2 3 2" xfId="8201" xr:uid="{0A7E4D4D-B33B-9641-AAA4-2C61D5B06E61}"/>
    <cellStyle name="Normal 3" xfId="8121" xr:uid="{00000000-0005-0000-0000-000001200000}"/>
    <cellStyle name="Normal 4" xfId="2" xr:uid="{00000000-0005-0000-0000-000002200000}"/>
    <cellStyle name="Normal 5 2" xfId="8197" xr:uid="{2BE8A3F4-54AB-8545-91DC-7604749DEC02}"/>
    <cellStyle name="Normal 5 2 2" xfId="8200" xr:uid="{4ECC3E4B-26CF-6D49-AD2D-8E383AC293F9}"/>
    <cellStyle name="Normal_Sheet1 2" xfId="581" xr:uid="{00000000-0005-0000-0000-000003200000}"/>
    <cellStyle name="Percent" xfId="8192" builtinId="5"/>
    <cellStyle name="Percent 2" xfId="8122" xr:uid="{00000000-0005-0000-0000-000006200000}"/>
  </cellStyles>
  <dxfs count="294">
    <dxf>
      <font>
        <b/>
        <i/>
        <strike val="0"/>
        <color rgb="FFFF0000"/>
      </font>
      <fill>
        <patternFill patternType="none">
          <bgColor auto="1"/>
        </patternFill>
      </fill>
    </dxf>
    <dxf>
      <font>
        <b/>
        <i/>
        <strike val="0"/>
        <color rgb="FFFF0000"/>
      </font>
      <fill>
        <patternFill patternType="none">
          <bgColor auto="1"/>
        </patternFill>
      </fill>
    </dxf>
    <dxf>
      <font>
        <b/>
        <i/>
        <strike val="0"/>
        <color rgb="FFFF0000"/>
      </font>
      <fill>
        <patternFill patternType="none">
          <bgColor auto="1"/>
        </patternFill>
      </fill>
    </dxf>
    <dxf>
      <font>
        <b/>
        <i/>
        <strike val="0"/>
        <color rgb="FFFF0000"/>
      </font>
      <fill>
        <patternFill patternType="none">
          <bgColor auto="1"/>
        </patternFill>
      </fill>
    </dxf>
    <dxf>
      <font>
        <b/>
        <i/>
        <strike val="0"/>
        <color rgb="FFFF0000"/>
      </font>
      <fill>
        <patternFill patternType="none">
          <bgColor auto="1"/>
        </patternFill>
      </fill>
    </dxf>
    <dxf>
      <font>
        <b/>
        <i/>
        <strike val="0"/>
        <color rgb="FFFF0000"/>
      </font>
      <fill>
        <patternFill patternType="none">
          <bgColor auto="1"/>
        </patternFill>
      </fill>
    </dxf>
    <dxf>
      <font>
        <b/>
        <i/>
        <strike val="0"/>
        <color rgb="FFFF0000"/>
      </font>
      <fill>
        <patternFill patternType="none">
          <bgColor auto="1"/>
        </patternFill>
      </fill>
    </dxf>
    <dxf>
      <font>
        <b/>
        <i/>
        <strike val="0"/>
        <color rgb="FFFF0000"/>
      </font>
      <fill>
        <patternFill patternType="none">
          <bgColor auto="1"/>
        </patternFill>
      </fill>
    </dxf>
    <dxf>
      <font>
        <b/>
        <i/>
        <strike val="0"/>
        <color rgb="FFFF0000"/>
      </font>
      <fill>
        <patternFill patternType="none">
          <bgColor auto="1"/>
        </patternFill>
      </fill>
    </dxf>
    <dxf>
      <font>
        <b/>
        <i/>
        <strike val="0"/>
        <color rgb="FFFF0000"/>
      </font>
      <fill>
        <patternFill patternType="none">
          <bgColor auto="1"/>
        </patternFill>
      </fill>
    </dxf>
    <dxf>
      <font>
        <b/>
        <i/>
        <strike val="0"/>
        <color rgb="FFFF0000"/>
      </font>
      <fill>
        <patternFill patternType="none">
          <bgColor auto="1"/>
        </patternFill>
      </fill>
    </dxf>
    <dxf>
      <font>
        <b/>
        <i/>
        <strike val="0"/>
        <color rgb="FFFF0000"/>
      </font>
      <fill>
        <patternFill patternType="none">
          <bgColor auto="1"/>
        </patternFill>
      </fill>
    </dxf>
    <dxf>
      <font>
        <b/>
        <i/>
        <strike val="0"/>
        <color rgb="FFFF0000"/>
      </font>
      <fill>
        <patternFill patternType="none">
          <bgColor auto="1"/>
        </patternFill>
      </fill>
    </dxf>
    <dxf>
      <font>
        <b/>
        <i/>
        <strike val="0"/>
        <color rgb="FFFF0000"/>
      </font>
      <fill>
        <patternFill patternType="none">
          <bgColor auto="1"/>
        </patternFill>
      </fill>
    </dxf>
    <dxf>
      <font>
        <strike val="0"/>
        <color auto="1"/>
      </font>
      <fill>
        <patternFill>
          <bgColor theme="6" tint="0.59996337778862885"/>
        </patternFill>
      </fill>
    </dxf>
    <dxf>
      <fill>
        <patternFill>
          <bgColor theme="6" tint="-0.24994659260841701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FF00"/>
      </font>
      <fill>
        <patternFill>
          <bgColor rgb="FF7030A0"/>
        </patternFill>
      </fill>
    </dxf>
    <dxf>
      <font>
        <color auto="1"/>
      </font>
      <fill>
        <patternFill>
          <fgColor auto="1"/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FF00"/>
      </font>
      <fill>
        <patternFill>
          <bgColor rgb="FF7030A0"/>
        </patternFill>
      </fill>
    </dxf>
    <dxf>
      <font>
        <color auto="1"/>
      </font>
      <fill>
        <patternFill>
          <fgColor auto="1"/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FF00"/>
      </font>
      <fill>
        <patternFill>
          <bgColor rgb="FF7030A0"/>
        </patternFill>
      </fill>
    </dxf>
    <dxf>
      <font>
        <color auto="1"/>
      </font>
      <fill>
        <patternFill>
          <fgColor auto="1"/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FF00"/>
      </font>
      <fill>
        <patternFill>
          <bgColor rgb="FF7030A0"/>
        </patternFill>
      </fill>
    </dxf>
    <dxf>
      <font>
        <color auto="1"/>
      </font>
      <fill>
        <patternFill>
          <fgColor auto="1"/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FF00"/>
      </font>
      <fill>
        <patternFill>
          <bgColor rgb="FF7030A0"/>
        </patternFill>
      </fill>
    </dxf>
    <dxf>
      <font>
        <color auto="1"/>
      </font>
      <fill>
        <patternFill>
          <fgColor auto="1"/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FF00"/>
      </font>
      <fill>
        <patternFill>
          <bgColor rgb="FF7030A0"/>
        </patternFill>
      </fill>
    </dxf>
    <dxf>
      <font>
        <color auto="1"/>
      </font>
      <fill>
        <patternFill>
          <fgColor auto="1"/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FF00"/>
      </font>
      <fill>
        <patternFill>
          <bgColor rgb="FF7030A0"/>
        </patternFill>
      </fill>
    </dxf>
    <dxf>
      <font>
        <color auto="1"/>
      </font>
      <fill>
        <patternFill>
          <fgColor auto="1"/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FF00"/>
      </font>
      <fill>
        <patternFill>
          <bgColor rgb="FF7030A0"/>
        </patternFill>
      </fill>
    </dxf>
    <dxf>
      <font>
        <color auto="1"/>
      </font>
      <fill>
        <patternFill>
          <fgColor auto="1"/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FF00"/>
      </font>
      <fill>
        <patternFill>
          <bgColor rgb="FF7030A0"/>
        </patternFill>
      </fill>
    </dxf>
    <dxf>
      <font>
        <color auto="1"/>
      </font>
      <fill>
        <patternFill>
          <fgColor auto="1"/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FF00"/>
      </font>
      <fill>
        <patternFill>
          <bgColor rgb="FF7030A0"/>
        </patternFill>
      </fill>
    </dxf>
    <dxf>
      <font>
        <color auto="1"/>
      </font>
      <fill>
        <patternFill>
          <fgColor auto="1"/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FF00"/>
      </font>
      <fill>
        <patternFill>
          <bgColor rgb="FF7030A0"/>
        </patternFill>
      </fill>
    </dxf>
    <dxf>
      <font>
        <color auto="1"/>
      </font>
      <fill>
        <patternFill>
          <fgColor auto="1"/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FF00"/>
      </font>
      <fill>
        <patternFill>
          <bgColor rgb="FF7030A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FF00"/>
      </font>
      <fill>
        <patternFill>
          <bgColor rgb="FF7030A0"/>
        </patternFill>
      </fill>
    </dxf>
    <dxf>
      <font>
        <color auto="1"/>
      </font>
      <fill>
        <patternFill>
          <fgColor auto="1"/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FF00"/>
      </font>
      <fill>
        <patternFill>
          <bgColor rgb="FF7030A0"/>
        </patternFill>
      </fill>
    </dxf>
    <dxf>
      <font>
        <color auto="1"/>
      </font>
      <fill>
        <patternFill>
          <fgColor auto="1"/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FF00"/>
      </font>
      <fill>
        <patternFill>
          <bgColor rgb="FF7030A0"/>
        </patternFill>
      </fill>
    </dxf>
    <dxf>
      <font>
        <color auto="1"/>
      </font>
      <fill>
        <patternFill>
          <fgColor auto="1"/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FF00"/>
      </font>
      <fill>
        <patternFill>
          <bgColor rgb="FF7030A0"/>
        </patternFill>
      </fill>
    </dxf>
    <dxf>
      <font>
        <color auto="1"/>
      </font>
      <fill>
        <patternFill>
          <fgColor auto="1"/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FF00"/>
      </font>
      <fill>
        <patternFill>
          <bgColor rgb="FF7030A0"/>
        </patternFill>
      </fill>
    </dxf>
    <dxf>
      <font>
        <color auto="1"/>
      </font>
      <fill>
        <patternFill>
          <fgColor auto="1"/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FF00"/>
      </font>
      <fill>
        <patternFill>
          <bgColor rgb="FF7030A0"/>
        </patternFill>
      </fill>
    </dxf>
    <dxf>
      <font>
        <color auto="1"/>
      </font>
      <fill>
        <patternFill>
          <fgColor auto="1"/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FF00"/>
      </font>
      <fill>
        <patternFill>
          <bgColor rgb="FF7030A0"/>
        </patternFill>
      </fill>
    </dxf>
    <dxf>
      <font>
        <color auto="1"/>
      </font>
      <fill>
        <patternFill>
          <fgColor auto="1"/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FF00"/>
      </font>
      <fill>
        <patternFill>
          <bgColor rgb="FF7030A0"/>
        </patternFill>
      </fill>
    </dxf>
    <dxf>
      <font>
        <color auto="1"/>
      </font>
      <fill>
        <patternFill>
          <fgColor auto="1"/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FF00"/>
      </font>
      <fill>
        <patternFill>
          <bgColor rgb="FF7030A0"/>
        </patternFill>
      </fill>
    </dxf>
    <dxf>
      <font>
        <color auto="1"/>
      </font>
      <fill>
        <patternFill>
          <fgColor auto="1"/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FF00"/>
      </font>
      <fill>
        <patternFill>
          <bgColor rgb="FF7030A0"/>
        </patternFill>
      </fill>
    </dxf>
    <dxf>
      <font>
        <color auto="1"/>
      </font>
      <fill>
        <patternFill>
          <fgColor auto="1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8" formatCode="m/d/yy"/>
      <fill>
        <patternFill patternType="solid">
          <fgColor indexed="64"/>
          <bgColor rgb="FFFFFFD7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1"/>
        </left>
        <right style="medium">
          <color theme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8" formatCode="m/d/yy"/>
      <fill>
        <patternFill patternType="solid">
          <fgColor indexed="64"/>
          <bgColor rgb="FFFFFFD7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1"/>
        </left>
        <right style="medium">
          <color theme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0"/>
          <bgColor indexed="2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rgb="FFFFFFD7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rgb="FFFFFFD7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rgb="FFFFFFD7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0"/>
          <bgColor indexed="22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m/d/yy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rgb="FFFF0000"/>
          <bgColor rgb="FF000000"/>
        </patternFill>
      </fill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indent="0" justifyLastLine="0" shrinkToFit="0" readingOrder="0"/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B7DEE8"/>
      <color rgb="FFFFFFD7"/>
      <color rgb="FFFEFF99"/>
      <color rgb="FFD8E5BC"/>
      <color rgb="FFFF7F82"/>
      <color rgb="FFFF8F93"/>
      <color rgb="FFFFDA81"/>
      <color rgb="FFFF373B"/>
      <color rgb="FFA6F900"/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7AAF41-1980-D741-86DF-88A399F2E043}" name="Table2126" displayName="Table2126" ref="A382:U482" totalsRowShown="0" headerRowDxfId="293" dataDxfId="291" headerRowBorderDxfId="292" tableBorderDxfId="290" headerRowCellStyle="Normal 2">
  <autoFilter ref="A382:U482" xr:uid="{B97EDF38-7614-0949-9A00-125FD2C738A4}"/>
  <sortState xmlns:xlrd2="http://schemas.microsoft.com/office/spreadsheetml/2017/richdata2" ref="A383:U482">
    <sortCondition descending="1" sortBy="cellColor" ref="A383:A482" dxfId="289"/>
  </sortState>
  <tableColumns count="21">
    <tableColumn id="1" xr3:uid="{480E0C1E-E8A3-564F-8DAF-69C42EE59A2E}" name="Study ID" dataDxfId="288"/>
    <tableColumn id="5" xr3:uid="{7FED56FD-F441-AD42-A08B-B5B9C74F7C42}" name="Date of D0" dataDxfId="287"/>
    <tableColumn id="3" xr3:uid="{E87C0C75-E743-BE47-B2C5-09F64A528A64}" name="Contact Next Season?" dataDxfId="286"/>
    <tableColumn id="2" xr3:uid="{1BED0BBE-159E-0041-8A5F-3AF5F3769570}" name="Age" dataDxfId="285"/>
    <tableColumn id="4" xr3:uid="{B4E0B2B4-D585-0548-A7A2-63CE6EE92061}" name="Date of birth" dataDxfId="284"/>
    <tableColumn id="6" xr3:uid="{9395CBD5-5B01-5844-9275-9D165A75FA4D}" name="Gender" dataDxfId="283"/>
    <tableColumn id="7" xr3:uid="{2CBC6B2B-6026-714B-BE09-860135F0E78B}" name="Race/ Ethnicity" dataDxfId="282"/>
    <tableColumn id="8" xr3:uid="{9238DEEF-EC0F-0E4A-96F5-1C9DC7EA7F77}" name="Comorbidity 1" dataDxfId="281"/>
    <tableColumn id="9" xr3:uid="{9BA6C2ED-311D-5A49-982A-3CD48FC2110C}" name="Comorbidity 2" dataDxfId="280"/>
    <tableColumn id="10" xr3:uid="{606C2412-9DD4-664A-8E18-671DB302BC0A}" name="Comorbidity 3" dataDxfId="279"/>
    <tableColumn id="11" xr3:uid="{003A23ED-5B47-7D43-B7AD-ACF37A27A280}" name="Vaccine last season (fall 2018-spring 2019)" dataDxfId="278"/>
    <tableColumn id="12" xr3:uid="{1A699C81-8479-F045-935C-A90598699028}" name="Vaccine 2 seasons ago (fall 2017-spring 2018)" dataDxfId="277"/>
    <tableColumn id="13" xr3:uid="{13DCFE76-8538-9B42-BC3A-E274F8765F1C}" name="Vaccine 3 seasons ago (fall 2016-spring 2017)" dataDxfId="276"/>
    <tableColumn id="14" xr3:uid="{6A795444-8140-3A46-9847-EED9A8CD7267}" name="Height (cm)" dataDxfId="275"/>
    <tableColumn id="15" xr3:uid="{3006814F-1CA7-E647-8AE9-040041A1A96D}" name="Weight (kg)" dataDxfId="274"/>
    <tableColumn id="16" xr3:uid="{EEE9975C-D4A7-7E4D-B5F4-C3A6453E4B4A}" name="BMI" dataDxfId="273">
      <calculatedColumnFormula>O383/((N383/100)^2)</calculatedColumnFormula>
    </tableColumn>
    <tableColumn id="17" xr3:uid="{CD1E11DB-3620-D448-AE05-1637B67200F8}" name="D0 visit complete?" dataDxfId="272"/>
    <tableColumn id="18" xr3:uid="{A4B285E8-AE65-C143-B26E-C096B8BDFA0A}" name="D7 visit complete?" dataDxfId="271"/>
    <tableColumn id="21" xr3:uid="{9E28AB07-0CEC-854A-872F-96CF0B8BB1C0}" name="D28 visit complete?" dataDxfId="270"/>
    <tableColumn id="20" xr3:uid="{1CDD13D4-DCED-BA45-A4D8-4DCC02F7429D}" name="D90 visit complete?" dataDxfId="269"/>
    <tableColumn id="19" xr3:uid="{5482FB29-1AF0-1340-BAA7-B7386E681733}" name="Notes" dataDxfId="26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437193-5334-6A47-86BB-FD91EF6FBC94}" name="Table37" displayName="Table37" ref="A4:AG378" totalsRowShown="0" headerRowDxfId="267" dataDxfId="265" headerRowBorderDxfId="266" tableBorderDxfId="264">
  <autoFilter ref="A4:AG378" xr:uid="{18DA4FD1-CAF6-104E-8A56-58BACF589F29}"/>
  <sortState xmlns:xlrd2="http://schemas.microsoft.com/office/spreadsheetml/2017/richdata2" ref="A5:AG378">
    <sortCondition ref="A4:A378"/>
  </sortState>
  <tableColumns count="33">
    <tableColumn id="1" xr3:uid="{E73B0A4C-79D0-1D47-94BC-A42FA347EBE1}" name="Study ID" dataDxfId="263"/>
    <tableColumn id="2" xr3:uid="{9387B43A-FA3E-DC4B-B904-341A68F5C40D}" name="Prior study ID" dataDxfId="262"/>
    <tableColumn id="33" xr3:uid="{CF1DA72A-2D69-B947-A73B-D1119994BE79}" name="Date of D0" dataDxfId="261"/>
    <tableColumn id="32" xr3:uid="{9EAF7569-32CA-684B-8492-526D26EC71D6}" name="Contact Next Season?" dataDxfId="260"/>
    <tableColumn id="3" xr3:uid="{DBF754A0-C7FF-2740-B648-0E3269E141A3}" name="Age" dataDxfId="259"/>
    <tableColumn id="4" xr3:uid="{655749F2-11E4-6D49-9057-0536C8F52D31}" name="DOB" dataDxfId="258"/>
    <tableColumn id="5" xr3:uid="{20400E2C-58D7-454B-AA80-80B2A186FFA8}" name="Gender" dataDxfId="257"/>
    <tableColumn id="6" xr3:uid="{352AC7DF-C43C-4745-97CD-AD3ED28F5296}" name="Race/ Ethnicity" dataDxfId="256"/>
    <tableColumn id="7" xr3:uid="{7C2CD359-EC6C-0047-B709-C729091D2F92}" name="Smoking History: Current Use" dataDxfId="255"/>
    <tableColumn id="8" xr3:uid="{6441A847-FD45-B44C-9FD3-C79B2A28C6BE}" name="Smoking History: Qty per day" dataDxfId="254"/>
    <tableColumn id="9" xr3:uid="{81A7AD84-68E7-7546-A676-8231557002AC}" name="Smoking History: Ever  Use" dataDxfId="253"/>
    <tableColumn id="10" xr3:uid="{7AC1826E-8010-6C4C-A590-64316649867A}" name="Smoking History: Past  Use" dataDxfId="252"/>
    <tableColumn id="11" xr3:uid="{71EB6251-A368-A947-A2E5-BCB522B65269}" name="Shift work?" dataDxfId="251"/>
    <tableColumn id="12" xr3:uid="{6E0BC732-4260-3A41-8EFC-3ED24873015D}" name="Shift work: years" dataDxfId="250"/>
    <tableColumn id="13" xr3:uid="{B8759945-F928-8645-BD39-1E70B6BA7530}" name="Sleep apnea?" dataDxfId="249"/>
    <tableColumn id="14" xr3:uid="{CCF54589-1FE0-564D-B1C1-C61E956C5276}" name="Sleep apnea: Appropriately treated?" dataDxfId="248"/>
    <tableColumn id="15" xr3:uid="{DF464E1B-255B-5D4E-B801-0E46E93E30A1}" name="Comorbidity 1" dataDxfId="247"/>
    <tableColumn id="16" xr3:uid="{B0DB9E98-293F-C848-BFD7-E9622BA911B1}" name="Comorbidity 2" dataDxfId="246"/>
    <tableColumn id="17" xr3:uid="{A5608C93-2F57-4C47-BB33-3E9C5A51F3A0}" name="Comorbidity 3" dataDxfId="245"/>
    <tableColumn id="18" xr3:uid="{13BF3F25-A82F-7B46-8DA2-320CC4073CE4}" name="Additional Comorbidities" dataDxfId="244"/>
    <tableColumn id="20" xr3:uid="{692DC017-8DB6-F348-A644-3C2AB1E42658}" name="Vaccine last season (fall 2018-spring 2019)" dataDxfId="243"/>
    <tableColumn id="21" xr3:uid="{9AB6EF1D-A3EE-0448-B1A2-7B393D135265}" name="Vaccine 2 seasons ago (fall 2017-spring 2018)" dataDxfId="242"/>
    <tableColumn id="22" xr3:uid="{692AE482-E40D-9D46-8B67-1906EC3AB243}" name="Vaccine 3 seasons ago (fall 2016-spring 2017)" dataDxfId="241"/>
    <tableColumn id="23" xr3:uid="{B769ADB7-71EA-D748-801C-F3408896159B}" name="Height (cm)" dataDxfId="240"/>
    <tableColumn id="24" xr3:uid="{44C9C30E-8127-BD41-8414-8157ED63FE3F}" name="Weight (kg)" dataDxfId="239"/>
    <tableColumn id="25" xr3:uid="{6AF530A2-4BE7-984F-AF2E-4202CEB4D51B}" name="BMI" dataDxfId="238"/>
    <tableColumn id="26" xr3:uid="{6F6E42A6-EA7E-6046-A7AF-B1F7393BF98F}" name="Standard or high-dose vaccine? (S/H)" dataDxfId="237"/>
    <tableColumn id="27" xr3:uid="{CF866489-1A56-3948-A8B3-030ADEC89D80}" name="D0 visit complete?" dataDxfId="236"/>
    <tableColumn id="19" xr3:uid="{1032D839-3C16-FA4D-A527-9FA7C7BCC73B}" name="D3 visit complete?" dataDxfId="235"/>
    <tableColumn id="28" xr3:uid="{CC119033-E5AE-F148-B629-94CBF61554EA}" name="D7 visit complete?" dataDxfId="234"/>
    <tableColumn id="29" xr3:uid="{1639F635-ACB1-5E4A-BFEB-17B84FF161F4}" name="D28 visit complete?" dataDxfId="233"/>
    <tableColumn id="31" xr3:uid="{64AD738D-16C2-0941-99FD-99B416420B90}" name="D90 visit complete?" dataDxfId="232"/>
    <tableColumn id="30" xr3:uid="{49C0A42C-161F-C146-9EDB-DBA67D6A70AE}" name="Notes" dataDxfId="23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B331F6-3055-F641-82C6-FCED2387B65E}" name="Table2821115" displayName="Table2821115" ref="A6:DC467" totalsRowShown="0" headerRowDxfId="230" dataDxfId="229" headerRowCellStyle="Normal_Sheet1 2">
  <autoFilter ref="A6:DC467" xr:uid="{995A5B04-EE13-204F-BEE5-2E4994524257}"/>
  <sortState xmlns:xlrd2="http://schemas.microsoft.com/office/spreadsheetml/2017/richdata2" ref="A7:CT467">
    <sortCondition ref="A6:A467"/>
  </sortState>
  <tableColumns count="107">
    <tableColumn id="1" xr3:uid="{8774543B-307C-8A4E-BC33-A622D2DCD02E}" name="ID" dataDxfId="228"/>
    <tableColumn id="2" xr3:uid="{B0F00840-0D82-AB4B-BF0A-F87FE743668B}" name="DOB" dataDxfId="227"/>
    <tableColumn id="3" xr3:uid="{F6485CCA-F2A7-1847-8F42-E004F775DA46}" name="Date Vaccinated" dataDxfId="226"/>
    <tableColumn id="4" xr3:uid="{8B4F6CAF-85F3-7B46-BF49-690100CA7EC1}" name="Age" dataDxfId="225"/>
    <tableColumn id="5" xr3:uid="{0D4FE4AC-11C6-5E4A-8901-516DE45B4B7D}" name="Gender" dataDxfId="224"/>
    <tableColumn id="6" xr3:uid="{8D25EC3A-CC22-6244-A049-2034CC5BFF69}" name="Race/Ethnicity" dataDxfId="223"/>
    <tableColumn id="7" xr3:uid="{AD77B586-D5F4-7941-A5B1-2EE971DB2B9C}" name="BMI" dataDxfId="222"/>
    <tableColumn id="8" xr3:uid="{C30599BB-8079-D74C-94BE-C93264BDF68D}" name="Vaccine" dataDxfId="221"/>
    <tableColumn id="9" xr3:uid="{DBAA7E9F-2A79-4146-9424-EC222E67CC92}" name="Vaccinated last year?" dataDxfId="220"/>
    <tableColumn id="24" xr3:uid="{D406875D-D648-A440-BF33-427C159632DE}" name="D0 - Chile/83" dataDxfId="219"/>
    <tableColumn id="25" xr3:uid="{5088831D-BBAD-4448-A1AB-3A420BB3AB38}" name="D28 - Chile/83" dataDxfId="218"/>
    <tableColumn id="26" xr3:uid="{179B8E35-715B-4C4F-B139-1E860642B517}" name="D0 - Sing/86" dataDxfId="217"/>
    <tableColumn id="27" xr3:uid="{5CA2DDBE-A0C4-E04F-96B6-E3AC7A0D51A1}" name="D28 - Sing/86" dataDxfId="216"/>
    <tableColumn id="28" xr3:uid="{3F108922-360F-EC4E-B7B5-34CC290FCB6D}" name="D0 - TX/91" dataDxfId="215"/>
    <tableColumn id="29" xr3:uid="{26028DC5-F2E2-544E-818B-75D68DC9B54E}" name="D28 - TX/91" dataDxfId="214"/>
    <tableColumn id="30" xr3:uid="{E1D0D7DC-F5C3-0F4B-95C9-5F4AACAFAC56}" name="D0 - Bei/95" dataDxfId="213"/>
    <tableColumn id="31" xr3:uid="{AFBDEB0D-2E62-A249-8DCF-249019B44574}" name="D28 - Bei/95" dataDxfId="212"/>
    <tableColumn id="32" xr3:uid="{A760D781-5193-154E-97D9-323740D7B9AC}" name="D0 - NC/99" dataDxfId="211"/>
    <tableColumn id="33" xr3:uid="{0B2106D9-D0D0-264E-86AA-01774945CACD}" name="D28 - NC/99" dataDxfId="210"/>
    <tableColumn id="34" xr3:uid="{AB2A540C-CC4E-E441-8E18-03E7C402CB03}" name="D0 - SI/06" dataDxfId="209"/>
    <tableColumn id="35" xr3:uid="{D6456FB2-724B-7940-A669-6D31E4B46DC3}" name="D28 - SI/06" dataDxfId="208"/>
    <tableColumn id="36" xr3:uid="{2D1C2419-C5F1-1743-B649-CC05D8B6AB43}" name="D0 - Bris/07" dataDxfId="207"/>
    <tableColumn id="37" xr3:uid="{0A63E019-EA18-8640-A420-BCCFB3762632}" name="D28 - Bris/07" dataDxfId="206"/>
    <tableColumn id="38" xr3:uid="{60FC51FA-39AD-3A45-B2C5-4C0215552284}" name="D0 - CA/09" dataDxfId="205"/>
    <tableColumn id="39" xr3:uid="{FBB286C7-16DD-3945-A2CD-EA8AC8CA1BF1}" name="D28 - CA/09" dataDxfId="204"/>
    <tableColumn id="10" xr3:uid="{AB90E8D8-C5DC-7A4C-8E82-02FEC2D5DD04}" name="D0 - Mich/15" dataDxfId="203"/>
    <tableColumn id="11" xr3:uid="{7DC27969-93B5-7D46-ACA4-9ECAC74F5CB9}" name="D28 - Mich/15" dataDxfId="202"/>
    <tableColumn id="40" xr3:uid="{34ACF93F-C71B-124D-A8FE-ADD32E1890BC}" name="D0 - BR/18" dataDxfId="201"/>
    <tableColumn id="41" xr3:uid="{3FD8A245-C820-724A-B13E-1A7DB75F41F5}" name="D28 - BR/18" dataDxfId="200"/>
    <tableColumn id="14" xr3:uid="{81CC499A-70E6-744C-B3D6-43CAA619F05C}" name="D0 - GD/19" dataDxfId="199"/>
    <tableColumn id="22" xr3:uid="{306818DC-7CCC-6040-ABE9-2FA90C46C328}" name="D28 - GD/19" dataDxfId="198"/>
    <tableColumn id="44" xr3:uid="{5C1674DF-E126-424E-B219-E973F55A0C80}" name="D0 - HI/19" dataDxfId="197"/>
    <tableColumn id="46" xr3:uid="{50331931-12B4-2A43-8C01-A412E3F5E955}" name="D28 - HI/19" dataDxfId="196"/>
    <tableColumn id="42" xr3:uid="{506C221D-D7D4-2641-AE82-D57A1DC8C925}" name="ID# (2)" dataDxfId="195"/>
    <tableColumn id="59" xr3:uid="{91A9BE3F-485A-B546-BFB4-4962605104C2}" name="D0 - Pan/99" dataDxfId="194"/>
    <tableColumn id="60" xr3:uid="{E6F0DE0B-5CD2-F143-9FBF-FDF242A6F5CF}" name="D28 - Pan/99" dataDxfId="193"/>
    <tableColumn id="61" xr3:uid="{C7B26257-840D-4D43-A0F7-1971878B3C96}" name="D0 - NY/04" dataDxfId="192"/>
    <tableColumn id="62" xr3:uid="{5563158A-BC68-E04B-A728-99C1091610D7}" name="D28 - NY/04" dataDxfId="191"/>
    <tableColumn id="63" xr3:uid="{4A1CF13D-3B8D-1341-97E3-BAD6033984F6}" name="D0 - Wisc/05" dataDxfId="190"/>
    <tableColumn id="64" xr3:uid="{C5F6BE91-0947-BC45-B38E-0B0C92F75F12}" name="D28 - Wisc/05" dataDxfId="189"/>
    <tableColumn id="65" xr3:uid="{216EA778-A8E9-994E-A04B-8FB077CBF70A}" name="D0 - UR/07" dataDxfId="188"/>
    <tableColumn id="66" xr3:uid="{3FB5DD30-2961-4541-A4BC-40F6FD4DDE8D}" name="D28 - UR/07" dataDxfId="187"/>
    <tableColumn id="67" xr3:uid="{7195B919-F872-2D41-819C-147743D6E41A}" name="D0 - Perth/09" dataDxfId="186"/>
    <tableColumn id="68" xr3:uid="{829767A4-5645-4F49-96A4-133A34155D70}" name="D28 - Perth/09" dataDxfId="185"/>
    <tableColumn id="69" xr3:uid="{3BC0186D-5A5D-E44C-BFC8-99DEDEA9C104}" name="D0 - Vic/11" dataDxfId="184"/>
    <tableColumn id="70" xr3:uid="{9A440A49-56A4-014A-B5AC-F2F7F09543A0}" name="D28 - Vic/11" dataDxfId="183"/>
    <tableColumn id="71" xr3:uid="{AD2B0BBF-7A5D-9B41-B37B-B6CB3F8E8F39}" name="D0 - TX/12" dataDxfId="182"/>
    <tableColumn id="72" xr3:uid="{EF291A8C-D148-9641-9A64-E96374CE6C01}" name="D28 - TX/12" dataDxfId="181"/>
    <tableColumn id="73" xr3:uid="{73CA7687-937A-6445-B4E8-D8DD898B860D}" name="D0 - Switz/13" dataDxfId="180"/>
    <tableColumn id="74" xr3:uid="{5EFB7EFD-C738-2445-BD16-5AB4BCFB00B3}" name="D28 - Switz/13" dataDxfId="179"/>
    <tableColumn id="75" xr3:uid="{453AE84B-F112-EB41-B29C-E3C70A24776B}" name="D0 - HK/14" dataDxfId="178"/>
    <tableColumn id="76" xr3:uid="{58AC3DBE-828A-BA46-8F5F-BFC2CAF98C28}" name="D28 - HK/14" dataDxfId="177"/>
    <tableColumn id="16" xr3:uid="{C3911F58-EC9E-0141-A9DA-E5A3E665BA02}" name="D0 - Sing/16" dataDxfId="176"/>
    <tableColumn id="17" xr3:uid="{29795858-27B4-1745-85AF-59C63D4004AA}" name="D28 - Sing/16" dataDxfId="175"/>
    <tableColumn id="49" xr3:uid="{53D785C7-C24F-DE4E-87FD-CB1573F764A5}" name="D0 - Switz/17" dataDxfId="174"/>
    <tableColumn id="50" xr3:uid="{B1411C65-D930-244F-8688-713F2EC86CF3}" name="D28 - Switz/17" dataDxfId="173"/>
    <tableColumn id="77" xr3:uid="{BC31687C-B605-0C4A-8AC3-627A9C9A8AAB}" name="D0 - KS/17" dataDxfId="172"/>
    <tableColumn id="78" xr3:uid="{371084F4-55EC-2947-9C7D-2B2D9F926EE0}" name="D28 - KS/17" dataDxfId="171"/>
    <tableColumn id="20" xr3:uid="{FA595C4B-5534-904C-AA18-54ECF00FD319}" name="D0-SA/19" dataDxfId="170"/>
    <tableColumn id="12" xr3:uid="{0921FBB2-10C6-4147-9DCE-A75F2818A4FF}" name="D28-SA/19" dataDxfId="169"/>
    <tableColumn id="51" xr3:uid="{A9FCF813-6F0C-474B-9817-36F15AD86A1E}" name="D0-HK/2671/19" dataDxfId="168"/>
    <tableColumn id="52" xr3:uid="{01547DA9-C145-1441-B550-499048CEA179}" name="D28-HK/2671/19" dataDxfId="167"/>
    <tableColumn id="47" xr3:uid="{DA378C1A-BD3E-414F-86F8-A10751647D38}" name="D0-HK/45/19" dataDxfId="166"/>
    <tableColumn id="48" xr3:uid="{B9CBDFF8-C8E4-C14D-A8C1-ED820E172723}" name="D28-HK/45/19" dataDxfId="165"/>
    <tableColumn id="79" xr3:uid="{DA742FB5-3E05-C242-9556-3A6B78A1C664}" name="ID# (3)" dataDxfId="164"/>
    <tableColumn id="105" xr3:uid="{9E38A977-7EA8-2B41-A7F7-4290C9DF1B10}" name="D0 - Lee/40" dataDxfId="163"/>
    <tableColumn id="106" xr3:uid="{8BEC7BE2-62F8-9F4B-ACB8-242A13179A61}" name="D28 - Lee/40" dataDxfId="162"/>
    <tableColumn id="80" xr3:uid="{4B79ABE5-E327-F143-997E-1EE3EC407C21}" name="D0 - YM/88" dataDxfId="161"/>
    <tableColumn id="81" xr3:uid="{63B75A95-360C-8244-9362-144E0A830917}" name="D28 - YM/88" dataDxfId="160"/>
    <tableColumn id="82" xr3:uid="{7E8E74FA-3749-5144-95AE-BF7940F0175B}" name="D0 - Harbin/94" dataDxfId="159"/>
    <tableColumn id="83" xr3:uid="{FB075C9E-D284-6944-98B8-D036105B8733}" name="D28 - Harbin/94" dataDxfId="158"/>
    <tableColumn id="111" xr3:uid="{AA3E7ECE-3B2A-914D-8D30-0410E3CF4D72}" name="D0 - Sich/99" dataDxfId="157"/>
    <tableColumn id="112" xr3:uid="{F6FEA45E-5DD9-5E40-AEB9-04964B7B1DF7}" name="D28 - Sich/99" dataDxfId="156"/>
    <tableColumn id="84" xr3:uid="{3A36598B-0FE4-A14F-BC10-70FCFD5D32A8}" name="D0 - FL/06" dataDxfId="155"/>
    <tableColumn id="85" xr3:uid="{C53F26EE-DD60-1745-A1EB-D2F767E52F3B}" name="D28 - FL/06" dataDxfId="154"/>
    <tableColumn id="86" xr3:uid="{A2E8A51E-C2B3-1F43-89B6-CDF7E417F398}" name="D0 - Wis/10" dataDxfId="153"/>
    <tableColumn id="87" xr3:uid="{5BD32C57-6F9D-074E-A44F-101F90BEB4FB}" name="D28 - Wis/10" dataDxfId="152"/>
    <tableColumn id="88" xr3:uid="{FA2C93A1-5E07-0448-B124-97F501E55B1B}" name="D0 - TX/11" dataDxfId="151"/>
    <tableColumn id="89" xr3:uid="{974FBA98-664D-1A41-90AE-FC5BFDC399B0}" name="D28 - TX/11" dataDxfId="150"/>
    <tableColumn id="90" xr3:uid="{5559B398-44A2-B84F-A513-CCF82B2035B6}" name="D0 - Mass/12" dataDxfId="149"/>
    <tableColumn id="91" xr3:uid="{1D703049-0A88-2345-89EF-8EFB79910A0A}" name="D28 - Mass/12" dataDxfId="148"/>
    <tableColumn id="92" xr3:uid="{4BF5FAD2-3DA1-9D40-9991-5E3AAB73D511}" name="D0 - Phu/13" dataDxfId="147"/>
    <tableColumn id="93" xr3:uid="{6C5E650C-7AE1-1344-8034-ECDE5C71E532}" name="D28 - Phu/13" dataDxfId="146"/>
    <tableColumn id="115" xr3:uid="{A31071E7-03DF-164C-9DDB-7BB9A899B224}" name="D0 - Vic/87" dataDxfId="145"/>
    <tableColumn id="116" xr3:uid="{A56CB382-2A89-A141-A7E2-9856F34862CB}" name="D28 - Vic/87" dataDxfId="144"/>
    <tableColumn id="94" xr3:uid="{62169E9A-C4BA-A840-99BF-3233D7785C14}" name="D0 - HK/01" dataDxfId="143"/>
    <tableColumn id="95" xr3:uid="{F0B4BB09-7C53-C64C-80B6-A56CD6035BF0}" name="D28 - HK/01" dataDxfId="142"/>
    <tableColumn id="96" xr3:uid="{3ED93AD8-FB8C-F340-B8D7-46EAF4E36A02}" name="D0 - Mal/04" dataDxfId="141"/>
    <tableColumn id="97" xr3:uid="{F353F466-8B14-B142-9E65-89F49BD12944}" name="D28 - Mal/04" dataDxfId="140"/>
    <tableColumn id="117" xr3:uid="{C31F31DC-EE35-E842-AAD7-9349512DAA88}" name="D0 - Vic/06" dataDxfId="139"/>
    <tableColumn id="118" xr3:uid="{B4FA0B67-FE6D-244D-A8C8-193DFF1383D8}" name="D28 - Vic/06" dataDxfId="138"/>
    <tableColumn id="98" xr3:uid="{EB40D233-A972-4346-AFF7-1E696FD509D2}" name="D0 - BR/08" dataDxfId="137"/>
    <tableColumn id="99" xr3:uid="{15B91794-FDE3-944E-9660-52BC54D56FB1}" name="D28 - BR/08" dataDxfId="136"/>
    <tableColumn id="18" xr3:uid="{2F2F7A92-E041-D148-A145-7F9EBD1962CA}" name="D0 - CO/17" dataDxfId="135"/>
    <tableColumn id="19" xr3:uid="{4D0FA29A-1BD8-F84E-B97B-4799B8965CBF}" name="D28 - CO/17" dataDxfId="134"/>
    <tableColumn id="100" xr3:uid="{3C114775-5F2F-AC49-B90F-3FA74F1C091C}" name="D0 - WA/19" dataDxfId="133"/>
    <tableColumn id="101" xr3:uid="{636CAE6C-6830-B940-B0EC-0B27222B4E0A}" name="D28 - WA/19" dataDxfId="132"/>
    <tableColumn id="102" xr3:uid="{03E50029-9E43-FF4B-8F23-E29D13D6073A}" name="ID# (4)" dataDxfId="131"/>
    <tableColumn id="53" xr3:uid="{07BCCA5B-4A2E-4349-B1B6-8B3AEE4E6E29}" name="BR/18 Fold" dataDxfId="130">
      <calculatedColumnFormula>Table2821115[[#This Row],[D28 - BR/18]]/Table2821115[[#This Row],[D0 - BR/18]]</calculatedColumnFormula>
    </tableColumn>
    <tableColumn id="54" xr3:uid="{8D8BBA62-849E-E844-999F-4EFA2C6F575C}" name="KS/17 Fold" dataDxfId="129">
      <calculatedColumnFormula>Table2821115[[#This Row],[D28 - KS/17]]/Table2821115[[#This Row],[D0 - KS/17]]</calculatedColumnFormula>
    </tableColumn>
    <tableColumn id="55" xr3:uid="{71B13A35-1F57-A74E-ADB1-8B57ECDDB485}" name="Phu/13 Fold" dataDxfId="128">
      <calculatedColumnFormula>Table2821115[[#This Row],[D28 - Phu/13]]/Table2821115[[#This Row],[D0 - Phu/13]]</calculatedColumnFormula>
    </tableColumn>
    <tableColumn id="56" xr3:uid="{E2DA6257-6631-3946-8D6F-7E1DFB1C4172}" name="CO/17 Fold" dataDxfId="127">
      <calculatedColumnFormula>Table2821115[[#This Row],[D28 - CO/17]]/Table2821115[[#This Row],[D0 - CO/17]]</calculatedColumnFormula>
    </tableColumn>
    <tableColumn id="57" xr3:uid="{4B1626D9-7958-674A-9744-B87505F2517D}" name="BR/18 Log2" dataDxfId="126">
      <calculatedColumnFormula>LOG(Table2821115[[#This Row],[BR/18 Fold]],2)</calculatedColumnFormula>
    </tableColumn>
    <tableColumn id="58" xr3:uid="{75F5B637-513D-AF47-833F-22FE95A90C3A}" name="KS/17 Log2" dataDxfId="125">
      <calculatedColumnFormula>LOG(Table2821115[[#This Row],[KS/17 Fold]],2)</calculatedColumnFormula>
    </tableColumn>
    <tableColumn id="103" xr3:uid="{4D98DD53-A216-924D-8B00-2390578B7458}" name="Phu/13 Log2" dataDxfId="124">
      <calculatedColumnFormula>LOG(Table2821115[[#This Row],[Phu/13 Fold]],2)</calculatedColumnFormula>
    </tableColumn>
    <tableColumn id="104" xr3:uid="{BC314018-EA93-3A49-81BC-76DDA9F5B40A}" name="CO/17 Log2" dataDxfId="123">
      <calculatedColumnFormula>LOG(Table2821115[[#This Row],[CO/17 Fold]],2)</calculatedColumnFormula>
    </tableColumn>
    <tableColumn id="107" xr3:uid="{914914EB-42C7-6248-90ED-C3B26651C67B}" name="SUM Log2" dataDxfId="122">
      <calculatedColumnFormula>SUM(Table2821115[[#This Row],[BR/18 Log2]:[CO/17 Log2]])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66F7E1-63BF-4C4E-9776-B824B28E02A3}" name="Table2827" displayName="Table2827" ref="A5:AM466" totalsRowShown="0" headerRowDxfId="121" dataDxfId="120" headerRowCellStyle="Normal_Sheet1 2">
  <autoFilter ref="A5:AM466" xr:uid="{995A5B04-EE13-204F-BEE5-2E4994524257}"/>
  <sortState xmlns:xlrd2="http://schemas.microsoft.com/office/spreadsheetml/2017/richdata2" ref="A6:AM466">
    <sortCondition ref="A5:A466"/>
  </sortState>
  <tableColumns count="39">
    <tableColumn id="1" xr3:uid="{5247233B-B554-BA4A-8189-FEB1EB89D95C}" name="ID" dataDxfId="119"/>
    <tableColumn id="2" xr3:uid="{8F877C31-1718-A947-A89B-DDC87D28167E}" name="DOB" dataDxfId="118"/>
    <tableColumn id="3" xr3:uid="{C14E916A-F24C-B84F-9E8C-09701DEA282F}" name="Date Vaccinated" dataDxfId="117"/>
    <tableColumn id="4" xr3:uid="{AFD8C1E2-4C3C-B74C-8CFF-3B9D5D5987E6}" name="Age" dataDxfId="116"/>
    <tableColumn id="5" xr3:uid="{D9EA1D19-EF70-1040-8916-A959470230FF}" name="Gender" dataDxfId="115"/>
    <tableColumn id="6" xr3:uid="{B8BA1A89-7AEE-8B48-8F2E-FFF56C0B0C58}" name="Race/Ethnicity" dataDxfId="114"/>
    <tableColumn id="7" xr3:uid="{3F2D6F1E-C45C-E747-B196-1A264EDBF631}" name="BMI" dataDxfId="113"/>
    <tableColumn id="8" xr3:uid="{5C57F143-3508-F84B-8F26-D3630906B596}" name="Vaccine" dataDxfId="112"/>
    <tableColumn id="9" xr3:uid="{BCCD6F3D-244F-8749-8671-1E5483FAB803}" name="Repeater?" dataDxfId="111"/>
    <tableColumn id="20" xr3:uid="{2404F3DA-FB2D-A545-A6E0-1D59D227568E}" name="D0-MI/15 IgG" dataDxfId="110"/>
    <tableColumn id="21" xr3:uid="{517202E7-85B8-524C-A8F2-06DEBB663015}" name="D28-MI/15 IgG" dataDxfId="109"/>
    <tableColumn id="22" xr3:uid="{33EC080E-580E-684A-8E8C-5D7FDA45256C}" name="D0-BR/18 IgG" dataDxfId="108"/>
    <tableColumn id="23" xr3:uid="{486C17DE-E7F9-0540-905B-FEB736867A9E}" name="D28-BR/18 IgG" dataDxfId="107"/>
    <tableColumn id="24" xr3:uid="{CCB1EFC6-2D0D-1447-BE9F-1F8796021B0D}" name="D0-SG/16 IgG" dataDxfId="106"/>
    <tableColumn id="25" xr3:uid="{55BD8EEA-8730-0B4B-9AD3-B131AF2A2779}" name="D28-SG/16 IgG" dataDxfId="105"/>
    <tableColumn id="26" xr3:uid="{9C851B76-FCAE-2642-95E7-081D37D76F77}" name="D0-KA/17 IgG" dataDxfId="104"/>
    <tableColumn id="27" xr3:uid="{2997570E-431C-A54B-B573-B02547C0F23E}" name="D28-KA/17 IgG" dataDxfId="103"/>
    <tableColumn id="28" xr3:uid="{14438362-88CE-164D-8D0F-B52206FD5E98}" name="D0-BR/08 IgG" dataDxfId="102"/>
    <tableColumn id="29" xr3:uid="{53D16AED-CBDD-184D-A342-621ABB4DFC21}" name="D28-BR/08 IgG" dataDxfId="101"/>
    <tableColumn id="30" xr3:uid="{DC8D7B13-8A69-FD41-B967-B5B84CC3B30F}" name="D0-CO/17 IgG" dataDxfId="100"/>
    <tableColumn id="31" xr3:uid="{90261615-9D26-004B-B373-AF02F6026225}" name="D28-CO/17 IgG" dataDxfId="99"/>
    <tableColumn id="32" xr3:uid="{AEE0FF9A-26FD-A14D-A4DD-DB7DA1DA4832}" name="D0-PH/13 IgG" dataDxfId="98"/>
    <tableColumn id="33" xr3:uid="{D8E0D1E2-5D10-CD40-AEAE-5F8494301F63}" name="D28-PH/13 IgG" dataDxfId="97"/>
    <tableColumn id="34" xr3:uid="{9C663300-2776-CD48-BD48-262232045749}" name="ID (2)" dataDxfId="96"/>
    <tableColumn id="35" xr3:uid="{D24A8091-E50F-914C-8E0D-BB569D9A72CC}" name="D0-MI/15 IgA" dataDxfId="95"/>
    <tableColumn id="36" xr3:uid="{95AAC1A3-6966-C146-A62F-4588829EBC02}" name="D28-MI/15 IgA" dataDxfId="94"/>
    <tableColumn id="37" xr3:uid="{A3B464B7-008A-9743-ABB1-DBD08E384BC2}" name="D0-BR/18 IgA" dataDxfId="93"/>
    <tableColumn id="38" xr3:uid="{41C0E469-7CF2-A940-9754-34207A8015B5}" name="D28-BR/18 IgA" dataDxfId="92"/>
    <tableColumn id="39" xr3:uid="{1C72742B-1C08-F040-88FC-EB84FB8FAC3D}" name="D0-SG/16 IgA" dataDxfId="91"/>
    <tableColumn id="40" xr3:uid="{7B45B5C7-6F01-F04B-BC5D-DC07336D01C9}" name="D28-SG/16 IgA" dataDxfId="90"/>
    <tableColumn id="41" xr3:uid="{BDE6DA25-F7B8-E24C-A73C-D0B98847B97D}" name="D0-KA/17 IgA" dataDxfId="89"/>
    <tableColumn id="42" xr3:uid="{2CF4AC96-621B-F14E-A0C7-CF4A7DAD779E}" name="D28-KA/17 IgA" dataDxfId="88"/>
    <tableColumn id="43" xr3:uid="{73E55358-2C2E-7C45-8698-A9A8F658EC1B}" name="D0-BR/08 IgA" dataDxfId="87"/>
    <tableColumn id="44" xr3:uid="{02F22E40-96F8-F947-9167-29643F2666A7}" name="D28-BR/08 IgA" dataDxfId="86"/>
    <tableColumn id="45" xr3:uid="{6754D27E-49AC-B441-AE6E-60EB4B66D758}" name="D0-CO/17 IgA" dataDxfId="85"/>
    <tableColumn id="46" xr3:uid="{AF127D43-FF39-434F-A182-479ACB5EC3F7}" name="D28-CO/17 IgA" dataDxfId="84"/>
    <tableColumn id="47" xr3:uid="{3C340F40-D64D-AB49-9846-C542B585DB8D}" name="D0-PH/13 IgA" dataDxfId="83"/>
    <tableColumn id="48" xr3:uid="{B0D04C73-E8EC-5E4E-B12C-FCD3F9135804}" name="D28-PH/13 IgA" dataDxfId="82"/>
    <tableColumn id="49" xr3:uid="{2A53940B-A123-244C-9D47-8B3CA9835BE0}" name="ID (3)" dataDxfId="8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5A26-F88A-F142-8F16-B02E120D54C2}">
  <dimension ref="A1:AH482"/>
  <sheetViews>
    <sheetView zoomScale="70" zoomScaleNormal="70" workbookViewId="0">
      <selection sqref="A1:AG1"/>
    </sheetView>
  </sheetViews>
  <sheetFormatPr defaultColWidth="10.77734375" defaultRowHeight="15.6"/>
  <cols>
    <col min="1" max="1" width="20.6640625" style="83" customWidth="1"/>
    <col min="2" max="2" width="21.33203125" style="83" customWidth="1"/>
    <col min="3" max="5" width="10.77734375" style="83"/>
    <col min="6" max="6" width="31" style="83" customWidth="1"/>
    <col min="7" max="7" width="20.33203125" style="83" bestFit="1" customWidth="1"/>
    <col min="8" max="8" width="27" style="83" customWidth="1"/>
    <col min="9" max="9" width="12.77734375" style="83" customWidth="1"/>
    <col min="10" max="10" width="12.77734375" style="132" customWidth="1"/>
    <col min="11" max="11" width="12.77734375" style="83" customWidth="1"/>
    <col min="12" max="12" width="17.109375" style="83" customWidth="1"/>
    <col min="13" max="13" width="14.44140625" style="83" customWidth="1"/>
    <col min="14" max="14" width="12.77734375" style="83" customWidth="1"/>
    <col min="15" max="17" width="14.77734375" style="83" customWidth="1"/>
    <col min="18" max="18" width="23.33203125" style="83" customWidth="1"/>
    <col min="19" max="19" width="22.109375" style="83" customWidth="1"/>
    <col min="20" max="22" width="12.77734375" style="83" customWidth="1"/>
    <col min="23" max="24" width="13.109375" style="83" customWidth="1"/>
    <col min="25" max="25" width="10.77734375" style="83"/>
    <col min="26" max="27" width="12.77734375" style="83" customWidth="1"/>
    <col min="28" max="30" width="18.6640625" style="83" customWidth="1"/>
    <col min="31" max="31" width="82.109375" style="83" customWidth="1"/>
    <col min="32" max="16384" width="10.77734375" style="83"/>
  </cols>
  <sheetData>
    <row r="1" spans="1:33" ht="66" customHeight="1">
      <c r="A1" s="394" t="s">
        <v>292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395"/>
      <c r="Q1" s="395"/>
      <c r="R1" s="395"/>
      <c r="S1" s="395"/>
      <c r="T1" s="395"/>
      <c r="U1" s="395"/>
      <c r="V1" s="395"/>
      <c r="W1" s="395"/>
      <c r="X1" s="395"/>
      <c r="Y1" s="395"/>
      <c r="Z1" s="395"/>
      <c r="AA1" s="395"/>
      <c r="AB1" s="395"/>
      <c r="AC1" s="395"/>
      <c r="AD1" s="395"/>
      <c r="AE1" s="395"/>
      <c r="AF1" s="395"/>
      <c r="AG1" s="395"/>
    </row>
    <row r="2" spans="1:33" ht="16.05" customHeight="1">
      <c r="A2" s="84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6"/>
    </row>
    <row r="3" spans="1:33" ht="40.049999999999997" customHeight="1">
      <c r="A3" s="396" t="s">
        <v>293</v>
      </c>
      <c r="B3" s="397"/>
      <c r="C3" s="397"/>
      <c r="D3" s="397"/>
      <c r="E3" s="397"/>
      <c r="F3" s="397"/>
      <c r="G3" s="397"/>
      <c r="H3" s="397"/>
      <c r="I3" s="397"/>
      <c r="J3" s="397"/>
      <c r="K3" s="397"/>
      <c r="L3" s="397"/>
      <c r="M3" s="397"/>
      <c r="N3" s="397"/>
      <c r="O3" s="397"/>
      <c r="P3" s="397"/>
      <c r="Q3" s="397"/>
      <c r="R3" s="397"/>
      <c r="S3" s="397"/>
      <c r="T3" s="397"/>
      <c r="U3" s="397"/>
      <c r="V3" s="397"/>
      <c r="W3" s="397"/>
      <c r="X3" s="397"/>
      <c r="Y3" s="397"/>
      <c r="Z3" s="397"/>
      <c r="AA3" s="397"/>
      <c r="AB3" s="397"/>
      <c r="AC3" s="397"/>
      <c r="AD3" s="397"/>
      <c r="AE3" s="397"/>
      <c r="AF3" s="397"/>
      <c r="AG3" s="397"/>
    </row>
    <row r="4" spans="1:33" s="91" customFormat="1" ht="57.6">
      <c r="A4" s="87" t="s">
        <v>294</v>
      </c>
      <c r="B4" s="88" t="s">
        <v>1147</v>
      </c>
      <c r="C4" s="89" t="s">
        <v>295</v>
      </c>
      <c r="D4" s="89" t="s">
        <v>296</v>
      </c>
      <c r="E4" s="87" t="s">
        <v>17</v>
      </c>
      <c r="F4" s="87" t="s">
        <v>69</v>
      </c>
      <c r="G4" s="87" t="s">
        <v>18</v>
      </c>
      <c r="H4" s="87" t="s">
        <v>297</v>
      </c>
      <c r="I4" s="87" t="s">
        <v>298</v>
      </c>
      <c r="J4" s="87" t="s">
        <v>299</v>
      </c>
      <c r="K4" s="87" t="s">
        <v>300</v>
      </c>
      <c r="L4" s="87" t="s">
        <v>301</v>
      </c>
      <c r="M4" s="87" t="s">
        <v>302</v>
      </c>
      <c r="N4" s="87" t="s">
        <v>303</v>
      </c>
      <c r="O4" s="87" t="s">
        <v>304</v>
      </c>
      <c r="P4" s="87" t="s">
        <v>305</v>
      </c>
      <c r="Q4" s="87" t="s">
        <v>306</v>
      </c>
      <c r="R4" s="87" t="s">
        <v>307</v>
      </c>
      <c r="S4" s="87" t="s">
        <v>308</v>
      </c>
      <c r="T4" s="87" t="s">
        <v>309</v>
      </c>
      <c r="U4" s="90" t="s">
        <v>310</v>
      </c>
      <c r="V4" s="90" t="s">
        <v>311</v>
      </c>
      <c r="W4" s="90" t="s">
        <v>312</v>
      </c>
      <c r="X4" s="89" t="s">
        <v>313</v>
      </c>
      <c r="Y4" s="89" t="s">
        <v>314</v>
      </c>
      <c r="Z4" s="89" t="s">
        <v>70</v>
      </c>
      <c r="AA4" s="89" t="s">
        <v>315</v>
      </c>
      <c r="AB4" s="89" t="s">
        <v>316</v>
      </c>
      <c r="AC4" s="89" t="s">
        <v>317</v>
      </c>
      <c r="AD4" s="87" t="s">
        <v>318</v>
      </c>
      <c r="AE4" s="87" t="s">
        <v>319</v>
      </c>
      <c r="AF4" s="88" t="s">
        <v>320</v>
      </c>
      <c r="AG4" s="87" t="s">
        <v>321</v>
      </c>
    </row>
    <row r="5" spans="1:33">
      <c r="A5" s="92" t="s">
        <v>322</v>
      </c>
      <c r="B5" s="93" t="s">
        <v>323</v>
      </c>
      <c r="C5" s="94">
        <v>43752</v>
      </c>
      <c r="D5" s="95" t="s">
        <v>60</v>
      </c>
      <c r="E5" s="93">
        <v>31</v>
      </c>
      <c r="F5" s="96">
        <v>32100</v>
      </c>
      <c r="G5" s="93" t="s">
        <v>61</v>
      </c>
      <c r="H5" s="93" t="s">
        <v>116</v>
      </c>
      <c r="I5" s="93" t="s">
        <v>62</v>
      </c>
      <c r="J5" s="97" t="s">
        <v>324</v>
      </c>
      <c r="K5" s="93" t="s">
        <v>62</v>
      </c>
      <c r="L5" s="97" t="s">
        <v>324</v>
      </c>
      <c r="M5" s="93" t="s">
        <v>62</v>
      </c>
      <c r="N5" s="93" t="s">
        <v>324</v>
      </c>
      <c r="O5" s="93" t="s">
        <v>62</v>
      </c>
      <c r="P5" s="93" t="s">
        <v>324</v>
      </c>
      <c r="Q5" s="93"/>
      <c r="R5" s="93"/>
      <c r="S5" s="93"/>
      <c r="T5" s="93"/>
      <c r="U5" s="95" t="s">
        <v>60</v>
      </c>
      <c r="V5" s="95" t="s">
        <v>60</v>
      </c>
      <c r="W5" s="95" t="s">
        <v>60</v>
      </c>
      <c r="X5" s="95">
        <v>165.4</v>
      </c>
      <c r="Y5" s="95">
        <v>104.3</v>
      </c>
      <c r="Z5" s="95">
        <f t="shared" ref="Z5:Z36" si="0">Y5/((X5/100)^2)</f>
        <v>38.1253024802282</v>
      </c>
      <c r="AA5" s="95" t="s">
        <v>325</v>
      </c>
      <c r="AB5" s="95" t="s">
        <v>60</v>
      </c>
      <c r="AC5" s="95" t="s">
        <v>60</v>
      </c>
      <c r="AD5" s="95" t="s">
        <v>60</v>
      </c>
      <c r="AE5" s="95" t="s">
        <v>60</v>
      </c>
      <c r="AF5" s="95" t="s">
        <v>60</v>
      </c>
      <c r="AG5" s="95"/>
    </row>
    <row r="6" spans="1:33">
      <c r="A6" s="92" t="s">
        <v>326</v>
      </c>
      <c r="B6" s="93" t="s">
        <v>324</v>
      </c>
      <c r="C6" s="98">
        <v>43774</v>
      </c>
      <c r="D6" s="95" t="s">
        <v>60</v>
      </c>
      <c r="E6" s="93">
        <v>27</v>
      </c>
      <c r="F6" s="96">
        <v>33566</v>
      </c>
      <c r="G6" s="93" t="s">
        <v>61</v>
      </c>
      <c r="H6" s="93" t="s">
        <v>116</v>
      </c>
      <c r="I6" s="93" t="s">
        <v>62</v>
      </c>
      <c r="J6" s="97" t="s">
        <v>324</v>
      </c>
      <c r="K6" s="93" t="s">
        <v>62</v>
      </c>
      <c r="L6" s="97" t="s">
        <v>324</v>
      </c>
      <c r="M6" s="93" t="s">
        <v>62</v>
      </c>
      <c r="N6" s="93" t="s">
        <v>324</v>
      </c>
      <c r="O6" s="93" t="s">
        <v>62</v>
      </c>
      <c r="P6" s="93" t="s">
        <v>324</v>
      </c>
      <c r="Q6" s="93" t="s">
        <v>327</v>
      </c>
      <c r="R6" s="93" t="s">
        <v>328</v>
      </c>
      <c r="S6" s="93"/>
      <c r="T6" s="93"/>
      <c r="U6" s="95" t="s">
        <v>60</v>
      </c>
      <c r="V6" s="95" t="s">
        <v>60</v>
      </c>
      <c r="W6" s="95" t="s">
        <v>60</v>
      </c>
      <c r="X6" s="95">
        <v>171.1</v>
      </c>
      <c r="Y6" s="95">
        <v>82.6</v>
      </c>
      <c r="Z6" s="95">
        <f t="shared" si="0"/>
        <v>28.214998286946535</v>
      </c>
      <c r="AA6" s="95" t="s">
        <v>325</v>
      </c>
      <c r="AB6" s="95" t="s">
        <v>60</v>
      </c>
      <c r="AC6" s="95"/>
      <c r="AD6" s="95" t="s">
        <v>60</v>
      </c>
      <c r="AE6" s="95" t="s">
        <v>60</v>
      </c>
      <c r="AF6" s="95"/>
      <c r="AG6" s="95"/>
    </row>
    <row r="7" spans="1:33">
      <c r="A7" s="92" t="s">
        <v>329</v>
      </c>
      <c r="B7" s="93" t="s">
        <v>324</v>
      </c>
      <c r="C7" s="98">
        <v>43741</v>
      </c>
      <c r="D7" s="95" t="s">
        <v>60</v>
      </c>
      <c r="E7" s="93">
        <v>49</v>
      </c>
      <c r="F7" s="96">
        <v>25772</v>
      </c>
      <c r="G7" s="93" t="s">
        <v>61</v>
      </c>
      <c r="H7" s="93" t="s">
        <v>117</v>
      </c>
      <c r="I7" s="93" t="s">
        <v>62</v>
      </c>
      <c r="J7" s="97" t="s">
        <v>324</v>
      </c>
      <c r="K7" s="93" t="s">
        <v>62</v>
      </c>
      <c r="L7" s="97" t="s">
        <v>324</v>
      </c>
      <c r="M7" s="93" t="s">
        <v>62</v>
      </c>
      <c r="N7" s="93" t="s">
        <v>324</v>
      </c>
      <c r="O7" s="93" t="s">
        <v>62</v>
      </c>
      <c r="P7" s="93" t="s">
        <v>324</v>
      </c>
      <c r="Q7" s="93"/>
      <c r="R7" s="93"/>
      <c r="S7" s="93"/>
      <c r="T7" s="93"/>
      <c r="U7" s="95" t="s">
        <v>60</v>
      </c>
      <c r="V7" s="95" t="s">
        <v>60</v>
      </c>
      <c r="W7" s="95" t="s">
        <v>60</v>
      </c>
      <c r="X7" s="95">
        <v>154.4</v>
      </c>
      <c r="Y7" s="95">
        <v>94.6</v>
      </c>
      <c r="Z7" s="95">
        <f t="shared" si="0"/>
        <v>39.682273349620118</v>
      </c>
      <c r="AA7" s="95" t="s">
        <v>325</v>
      </c>
      <c r="AB7" s="95" t="s">
        <v>60</v>
      </c>
      <c r="AC7" s="95" t="s">
        <v>60</v>
      </c>
      <c r="AD7" s="99" t="s">
        <v>60</v>
      </c>
      <c r="AE7" s="99" t="s">
        <v>60</v>
      </c>
      <c r="AF7" s="99" t="s">
        <v>60</v>
      </c>
      <c r="AG7" s="95"/>
    </row>
    <row r="8" spans="1:33">
      <c r="A8" s="92" t="s">
        <v>330</v>
      </c>
      <c r="B8" s="93" t="s">
        <v>324</v>
      </c>
      <c r="C8" s="98">
        <v>43844</v>
      </c>
      <c r="D8" s="95" t="s">
        <v>60</v>
      </c>
      <c r="E8" s="93">
        <v>28</v>
      </c>
      <c r="F8" s="96">
        <v>33298</v>
      </c>
      <c r="G8" s="93" t="s">
        <v>61</v>
      </c>
      <c r="H8" s="93" t="s">
        <v>126</v>
      </c>
      <c r="I8" s="93" t="s">
        <v>62</v>
      </c>
      <c r="J8" s="97" t="s">
        <v>324</v>
      </c>
      <c r="K8" s="93" t="s">
        <v>62</v>
      </c>
      <c r="L8" s="97" t="s">
        <v>324</v>
      </c>
      <c r="M8" s="93" t="s">
        <v>62</v>
      </c>
      <c r="N8" s="93" t="s">
        <v>324</v>
      </c>
      <c r="O8" s="93" t="s">
        <v>62</v>
      </c>
      <c r="P8" s="93" t="s">
        <v>62</v>
      </c>
      <c r="Q8" s="93"/>
      <c r="R8" s="93"/>
      <c r="S8" s="93"/>
      <c r="T8" s="93"/>
      <c r="U8" s="95" t="s">
        <v>60</v>
      </c>
      <c r="V8" s="95" t="s">
        <v>60</v>
      </c>
      <c r="W8" s="95" t="s">
        <v>60</v>
      </c>
      <c r="X8" s="95">
        <v>166</v>
      </c>
      <c r="Y8" s="95">
        <v>121.6</v>
      </c>
      <c r="Z8" s="95">
        <f t="shared" si="0"/>
        <v>44.128320510959504</v>
      </c>
      <c r="AA8" s="95" t="s">
        <v>325</v>
      </c>
      <c r="AB8" s="95" t="s">
        <v>60</v>
      </c>
      <c r="AC8" s="95" t="s">
        <v>60</v>
      </c>
      <c r="AD8" s="95" t="s">
        <v>60</v>
      </c>
      <c r="AE8" s="95" t="s">
        <v>60</v>
      </c>
      <c r="AF8" s="95"/>
      <c r="AG8" s="95"/>
    </row>
    <row r="9" spans="1:33">
      <c r="A9" s="92" t="s">
        <v>331</v>
      </c>
      <c r="B9" s="93" t="s">
        <v>324</v>
      </c>
      <c r="C9" s="94">
        <v>43749</v>
      </c>
      <c r="D9" s="95" t="s">
        <v>60</v>
      </c>
      <c r="E9" s="93">
        <v>64</v>
      </c>
      <c r="F9" s="96">
        <v>20114</v>
      </c>
      <c r="G9" s="93" t="s">
        <v>61</v>
      </c>
      <c r="H9" s="93" t="s">
        <v>116</v>
      </c>
      <c r="I9" s="93" t="s">
        <v>62</v>
      </c>
      <c r="J9" s="97" t="s">
        <v>324</v>
      </c>
      <c r="K9" s="93" t="s">
        <v>62</v>
      </c>
      <c r="L9" s="97" t="s">
        <v>324</v>
      </c>
      <c r="M9" s="93" t="s">
        <v>62</v>
      </c>
      <c r="N9" s="93" t="s">
        <v>324</v>
      </c>
      <c r="O9" s="93" t="s">
        <v>62</v>
      </c>
      <c r="P9" s="93" t="s">
        <v>324</v>
      </c>
      <c r="Q9" s="93"/>
      <c r="R9" s="93"/>
      <c r="S9" s="93"/>
      <c r="T9" s="93"/>
      <c r="U9" s="95" t="s">
        <v>60</v>
      </c>
      <c r="V9" s="95" t="s">
        <v>60</v>
      </c>
      <c r="W9" s="95" t="s">
        <v>60</v>
      </c>
      <c r="X9" s="95">
        <v>157</v>
      </c>
      <c r="Y9" s="95">
        <v>65.599999999999994</v>
      </c>
      <c r="Z9" s="95">
        <f t="shared" si="0"/>
        <v>26.613655726398633</v>
      </c>
      <c r="AA9" s="95" t="s">
        <v>325</v>
      </c>
      <c r="AB9" s="95" t="s">
        <v>60</v>
      </c>
      <c r="AC9" s="95" t="s">
        <v>60</v>
      </c>
      <c r="AD9" s="95" t="s">
        <v>60</v>
      </c>
      <c r="AE9" s="95" t="s">
        <v>60</v>
      </c>
      <c r="AF9" s="95" t="s">
        <v>60</v>
      </c>
      <c r="AG9" s="95"/>
    </row>
    <row r="10" spans="1:33">
      <c r="A10" s="92" t="s">
        <v>332</v>
      </c>
      <c r="B10" s="93" t="s">
        <v>324</v>
      </c>
      <c r="C10" s="98">
        <v>43766</v>
      </c>
      <c r="D10" s="95" t="s">
        <v>60</v>
      </c>
      <c r="E10" s="93">
        <v>41</v>
      </c>
      <c r="F10" s="96">
        <v>28741</v>
      </c>
      <c r="G10" s="93" t="s">
        <v>61</v>
      </c>
      <c r="H10" s="93" t="s">
        <v>333</v>
      </c>
      <c r="I10" s="93" t="s">
        <v>62</v>
      </c>
      <c r="J10" s="97" t="s">
        <v>324</v>
      </c>
      <c r="K10" s="93" t="s">
        <v>62</v>
      </c>
      <c r="L10" s="97" t="s">
        <v>324</v>
      </c>
      <c r="M10" s="93" t="s">
        <v>62</v>
      </c>
      <c r="N10" s="93" t="s">
        <v>324</v>
      </c>
      <c r="O10" s="93" t="s">
        <v>62</v>
      </c>
      <c r="P10" s="93" t="s">
        <v>324</v>
      </c>
      <c r="Q10" s="93"/>
      <c r="R10" s="93"/>
      <c r="S10" s="93"/>
      <c r="T10" s="93"/>
      <c r="U10" s="95" t="s">
        <v>60</v>
      </c>
      <c r="V10" s="95" t="s">
        <v>60</v>
      </c>
      <c r="W10" s="95" t="s">
        <v>60</v>
      </c>
      <c r="X10" s="95">
        <v>158</v>
      </c>
      <c r="Y10" s="95">
        <v>71</v>
      </c>
      <c r="Z10" s="95">
        <f t="shared" si="0"/>
        <v>28.440954975164232</v>
      </c>
      <c r="AA10" s="95" t="s">
        <v>325</v>
      </c>
      <c r="AB10" s="95" t="s">
        <v>60</v>
      </c>
      <c r="AC10" s="95" t="s">
        <v>60</v>
      </c>
      <c r="AD10" s="95" t="s">
        <v>60</v>
      </c>
      <c r="AE10" s="95" t="s">
        <v>60</v>
      </c>
      <c r="AF10" s="95" t="s">
        <v>60</v>
      </c>
      <c r="AG10" s="95"/>
    </row>
    <row r="11" spans="1:33">
      <c r="A11" s="92" t="s">
        <v>334</v>
      </c>
      <c r="B11" s="93" t="s">
        <v>324</v>
      </c>
      <c r="C11" s="98">
        <v>43742</v>
      </c>
      <c r="D11" s="95" t="s">
        <v>60</v>
      </c>
      <c r="E11" s="93">
        <v>54</v>
      </c>
      <c r="F11" s="96">
        <v>23833</v>
      </c>
      <c r="G11" s="93" t="s">
        <v>58</v>
      </c>
      <c r="H11" s="93" t="s">
        <v>116</v>
      </c>
      <c r="I11" s="93" t="s">
        <v>62</v>
      </c>
      <c r="J11" s="97" t="s">
        <v>324</v>
      </c>
      <c r="K11" s="93" t="s">
        <v>62</v>
      </c>
      <c r="L11" s="97" t="s">
        <v>324</v>
      </c>
      <c r="M11" s="93" t="s">
        <v>62</v>
      </c>
      <c r="N11" s="93" t="s">
        <v>324</v>
      </c>
      <c r="O11" s="100" t="s">
        <v>62</v>
      </c>
      <c r="P11" s="100" t="s">
        <v>324</v>
      </c>
      <c r="Q11" s="93" t="s">
        <v>335</v>
      </c>
      <c r="R11" s="93"/>
      <c r="S11" s="93"/>
      <c r="T11" s="93"/>
      <c r="U11" s="95" t="s">
        <v>60</v>
      </c>
      <c r="V11" s="95" t="s">
        <v>60</v>
      </c>
      <c r="W11" s="95" t="s">
        <v>60</v>
      </c>
      <c r="X11" s="95">
        <v>180.4</v>
      </c>
      <c r="Y11" s="95">
        <v>109.4</v>
      </c>
      <c r="Z11" s="95">
        <f t="shared" si="0"/>
        <v>33.61586226223077</v>
      </c>
      <c r="AA11" s="95" t="s">
        <v>325</v>
      </c>
      <c r="AB11" s="95" t="s">
        <v>60</v>
      </c>
      <c r="AC11" s="95" t="s">
        <v>60</v>
      </c>
      <c r="AD11" s="95" t="s">
        <v>60</v>
      </c>
      <c r="AE11" s="95" t="s">
        <v>60</v>
      </c>
      <c r="AF11" s="95" t="s">
        <v>60</v>
      </c>
      <c r="AG11" s="95"/>
    </row>
    <row r="12" spans="1:33" ht="28.8">
      <c r="A12" s="92" t="s">
        <v>336</v>
      </c>
      <c r="B12" s="93" t="s">
        <v>324</v>
      </c>
      <c r="C12" s="98">
        <v>43766</v>
      </c>
      <c r="D12" s="95" t="s">
        <v>60</v>
      </c>
      <c r="E12" s="93">
        <v>42</v>
      </c>
      <c r="F12" s="96">
        <v>28132</v>
      </c>
      <c r="G12" s="93" t="s">
        <v>58</v>
      </c>
      <c r="H12" s="93" t="s">
        <v>116</v>
      </c>
      <c r="I12" s="93" t="s">
        <v>62</v>
      </c>
      <c r="J12" s="97" t="s">
        <v>324</v>
      </c>
      <c r="K12" s="93" t="s">
        <v>60</v>
      </c>
      <c r="L12" s="97" t="s">
        <v>337</v>
      </c>
      <c r="M12" s="93" t="s">
        <v>62</v>
      </c>
      <c r="N12" s="93" t="s">
        <v>324</v>
      </c>
      <c r="O12" s="93" t="s">
        <v>62</v>
      </c>
      <c r="P12" s="93" t="s">
        <v>324</v>
      </c>
      <c r="Q12" s="93"/>
      <c r="R12" s="93"/>
      <c r="S12" s="93"/>
      <c r="T12" s="93"/>
      <c r="U12" s="95" t="s">
        <v>60</v>
      </c>
      <c r="V12" s="95" t="s">
        <v>60</v>
      </c>
      <c r="W12" s="95" t="s">
        <v>60</v>
      </c>
      <c r="X12" s="95">
        <v>177.45</v>
      </c>
      <c r="Y12" s="95">
        <v>141.85</v>
      </c>
      <c r="Z12" s="95">
        <f t="shared" si="0"/>
        <v>45.048188620592548</v>
      </c>
      <c r="AA12" s="95" t="s">
        <v>325</v>
      </c>
      <c r="AB12" s="95" t="s">
        <v>60</v>
      </c>
      <c r="AC12" s="95"/>
      <c r="AD12" s="95" t="s">
        <v>60</v>
      </c>
      <c r="AE12" s="95" t="s">
        <v>60</v>
      </c>
      <c r="AF12" s="95"/>
      <c r="AG12" s="95"/>
    </row>
    <row r="13" spans="1:33">
      <c r="A13" s="92" t="s">
        <v>338</v>
      </c>
      <c r="B13" s="93" t="s">
        <v>324</v>
      </c>
      <c r="C13" s="98">
        <v>43788</v>
      </c>
      <c r="D13" s="95" t="s">
        <v>60</v>
      </c>
      <c r="E13" s="93">
        <v>26</v>
      </c>
      <c r="F13" s="96">
        <v>33948</v>
      </c>
      <c r="G13" s="93" t="s">
        <v>61</v>
      </c>
      <c r="H13" s="93" t="s">
        <v>116</v>
      </c>
      <c r="I13" s="93" t="s">
        <v>62</v>
      </c>
      <c r="J13" s="97" t="s">
        <v>324</v>
      </c>
      <c r="K13" s="93" t="s">
        <v>62</v>
      </c>
      <c r="L13" s="97" t="s">
        <v>324</v>
      </c>
      <c r="M13" s="93" t="s">
        <v>62</v>
      </c>
      <c r="N13" s="93" t="s">
        <v>324</v>
      </c>
      <c r="O13" s="93" t="s">
        <v>62</v>
      </c>
      <c r="P13" s="93" t="s">
        <v>324</v>
      </c>
      <c r="Q13" s="93"/>
      <c r="R13" s="93"/>
      <c r="S13" s="93"/>
      <c r="T13" s="93"/>
      <c r="U13" s="95" t="s">
        <v>60</v>
      </c>
      <c r="V13" s="95" t="s">
        <v>60</v>
      </c>
      <c r="W13" s="95" t="s">
        <v>60</v>
      </c>
      <c r="X13" s="95">
        <v>165.1</v>
      </c>
      <c r="Y13" s="95">
        <v>71.2</v>
      </c>
      <c r="Z13" s="95">
        <f t="shared" si="0"/>
        <v>26.1207623006962</v>
      </c>
      <c r="AA13" s="95" t="s">
        <v>325</v>
      </c>
      <c r="AB13" s="95" t="s">
        <v>60</v>
      </c>
      <c r="AC13" s="95"/>
      <c r="AD13" s="95" t="s">
        <v>60</v>
      </c>
      <c r="AE13" s="95" t="s">
        <v>60</v>
      </c>
      <c r="AF13" s="95" t="s">
        <v>60</v>
      </c>
      <c r="AG13" s="95"/>
    </row>
    <row r="14" spans="1:33">
      <c r="A14" s="92" t="s">
        <v>339</v>
      </c>
      <c r="B14" s="93" t="s">
        <v>324</v>
      </c>
      <c r="C14" s="98">
        <v>43853</v>
      </c>
      <c r="D14" s="95" t="s">
        <v>60</v>
      </c>
      <c r="E14" s="93">
        <v>33</v>
      </c>
      <c r="F14" s="96">
        <v>31782</v>
      </c>
      <c r="G14" s="93" t="s">
        <v>58</v>
      </c>
      <c r="H14" s="93" t="s">
        <v>340</v>
      </c>
      <c r="I14" s="93"/>
      <c r="J14" s="97" t="s">
        <v>324</v>
      </c>
      <c r="K14" s="93" t="s">
        <v>341</v>
      </c>
      <c r="L14" s="97" t="s">
        <v>324</v>
      </c>
      <c r="M14" s="93" t="s">
        <v>62</v>
      </c>
      <c r="N14" s="93" t="s">
        <v>324</v>
      </c>
      <c r="O14" s="93" t="s">
        <v>62</v>
      </c>
      <c r="P14" s="93" t="s">
        <v>62</v>
      </c>
      <c r="Q14" s="93"/>
      <c r="R14" s="93"/>
      <c r="S14" s="93"/>
      <c r="T14" s="93"/>
      <c r="U14" s="95" t="s">
        <v>60</v>
      </c>
      <c r="V14" s="95" t="s">
        <v>60</v>
      </c>
      <c r="W14" s="95" t="s">
        <v>60</v>
      </c>
      <c r="X14" s="95">
        <v>173.6</v>
      </c>
      <c r="Y14" s="95">
        <v>88.1</v>
      </c>
      <c r="Z14" s="95">
        <f t="shared" si="0"/>
        <v>29.233207330799125</v>
      </c>
      <c r="AA14" s="95" t="s">
        <v>325</v>
      </c>
      <c r="AB14" s="95" t="s">
        <v>60</v>
      </c>
      <c r="AC14" s="95" t="s">
        <v>60</v>
      </c>
      <c r="AD14" s="95" t="s">
        <v>60</v>
      </c>
      <c r="AE14" s="95" t="s">
        <v>60</v>
      </c>
      <c r="AF14" s="95"/>
      <c r="AG14" s="95"/>
    </row>
    <row r="15" spans="1:33" ht="43.2">
      <c r="A15" s="92" t="s">
        <v>342</v>
      </c>
      <c r="B15" s="93" t="s">
        <v>324</v>
      </c>
      <c r="C15" s="98">
        <v>43788</v>
      </c>
      <c r="D15" s="95" t="s">
        <v>60</v>
      </c>
      <c r="E15" s="93">
        <v>29</v>
      </c>
      <c r="F15" s="96">
        <v>33042</v>
      </c>
      <c r="G15" s="93" t="s">
        <v>61</v>
      </c>
      <c r="H15" s="93" t="s">
        <v>116</v>
      </c>
      <c r="I15" s="93" t="s">
        <v>62</v>
      </c>
      <c r="J15" s="97" t="s">
        <v>324</v>
      </c>
      <c r="K15" s="93" t="s">
        <v>60</v>
      </c>
      <c r="L15" s="97" t="s">
        <v>343</v>
      </c>
      <c r="M15" s="93" t="s">
        <v>62</v>
      </c>
      <c r="N15" s="93" t="s">
        <v>324</v>
      </c>
      <c r="O15" s="93" t="s">
        <v>62</v>
      </c>
      <c r="P15" s="93" t="s">
        <v>324</v>
      </c>
      <c r="Q15" s="93"/>
      <c r="R15" s="93"/>
      <c r="S15" s="93"/>
      <c r="T15" s="93"/>
      <c r="U15" s="95" t="s">
        <v>60</v>
      </c>
      <c r="V15" s="95" t="s">
        <v>60</v>
      </c>
      <c r="W15" s="95" t="s">
        <v>60</v>
      </c>
      <c r="X15" s="95">
        <v>172</v>
      </c>
      <c r="Y15" s="95">
        <v>80.2</v>
      </c>
      <c r="Z15" s="95">
        <f t="shared" si="0"/>
        <v>27.109248242293134</v>
      </c>
      <c r="AA15" s="95" t="s">
        <v>325</v>
      </c>
      <c r="AB15" s="95" t="s">
        <v>60</v>
      </c>
      <c r="AC15" s="95" t="s">
        <v>60</v>
      </c>
      <c r="AD15" s="95" t="s">
        <v>60</v>
      </c>
      <c r="AE15" s="95" t="s">
        <v>60</v>
      </c>
      <c r="AF15" s="95" t="s">
        <v>60</v>
      </c>
      <c r="AG15" s="95"/>
    </row>
    <row r="16" spans="1:33" ht="57.6">
      <c r="A16" s="92" t="s">
        <v>344</v>
      </c>
      <c r="B16" s="93" t="s">
        <v>324</v>
      </c>
      <c r="C16" s="98">
        <v>43740</v>
      </c>
      <c r="D16" s="95" t="s">
        <v>60</v>
      </c>
      <c r="E16" s="93">
        <v>60</v>
      </c>
      <c r="F16" s="96">
        <v>21742</v>
      </c>
      <c r="G16" s="93" t="s">
        <v>61</v>
      </c>
      <c r="H16" s="93" t="s">
        <v>116</v>
      </c>
      <c r="I16" s="93" t="s">
        <v>62</v>
      </c>
      <c r="J16" s="97" t="s">
        <v>324</v>
      </c>
      <c r="K16" s="93" t="s">
        <v>60</v>
      </c>
      <c r="L16" s="97" t="s">
        <v>345</v>
      </c>
      <c r="M16" s="93" t="s">
        <v>62</v>
      </c>
      <c r="N16" s="93" t="s">
        <v>324</v>
      </c>
      <c r="O16" s="93" t="s">
        <v>62</v>
      </c>
      <c r="P16" s="93" t="s">
        <v>324</v>
      </c>
      <c r="Q16" s="93"/>
      <c r="R16" s="93"/>
      <c r="S16" s="93"/>
      <c r="T16" s="93"/>
      <c r="U16" s="95" t="s">
        <v>60</v>
      </c>
      <c r="V16" s="95" t="s">
        <v>60</v>
      </c>
      <c r="W16" s="95" t="s">
        <v>60</v>
      </c>
      <c r="X16" s="95">
        <v>169.9</v>
      </c>
      <c r="Y16" s="95">
        <v>84.5</v>
      </c>
      <c r="Z16" s="95">
        <f t="shared" si="0"/>
        <v>29.273183235230636</v>
      </c>
      <c r="AA16" s="95" t="s">
        <v>325</v>
      </c>
      <c r="AB16" s="95" t="s">
        <v>60</v>
      </c>
      <c r="AC16" s="95"/>
      <c r="AD16" s="95" t="s">
        <v>60</v>
      </c>
      <c r="AE16" s="95" t="s">
        <v>60</v>
      </c>
      <c r="AF16" s="95"/>
      <c r="AG16" s="95"/>
    </row>
    <row r="17" spans="1:33" ht="28.8">
      <c r="A17" s="92" t="s">
        <v>346</v>
      </c>
      <c r="B17" s="93" t="s">
        <v>324</v>
      </c>
      <c r="C17" s="98">
        <v>43769</v>
      </c>
      <c r="D17" s="95" t="s">
        <v>60</v>
      </c>
      <c r="E17" s="93">
        <v>46</v>
      </c>
      <c r="F17" s="96">
        <v>26961</v>
      </c>
      <c r="G17" s="93" t="s">
        <v>58</v>
      </c>
      <c r="H17" s="93" t="s">
        <v>116</v>
      </c>
      <c r="I17" s="93" t="s">
        <v>60</v>
      </c>
      <c r="J17" s="97" t="s">
        <v>347</v>
      </c>
      <c r="K17" s="93" t="s">
        <v>324</v>
      </c>
      <c r="L17" s="97" t="s">
        <v>324</v>
      </c>
      <c r="M17" s="93" t="s">
        <v>62</v>
      </c>
      <c r="N17" s="93" t="s">
        <v>324</v>
      </c>
      <c r="O17" s="93" t="s">
        <v>62</v>
      </c>
      <c r="P17" s="93" t="s">
        <v>324</v>
      </c>
      <c r="Q17" s="93" t="s">
        <v>348</v>
      </c>
      <c r="R17" s="93"/>
      <c r="S17" s="93"/>
      <c r="T17" s="93"/>
      <c r="U17" s="95" t="s">
        <v>60</v>
      </c>
      <c r="V17" s="95" t="s">
        <v>60</v>
      </c>
      <c r="W17" s="95" t="s">
        <v>60</v>
      </c>
      <c r="X17" s="95">
        <v>170.9</v>
      </c>
      <c r="Y17" s="95">
        <v>89.5</v>
      </c>
      <c r="Z17" s="95">
        <f t="shared" si="0"/>
        <v>30.643538270697825</v>
      </c>
      <c r="AA17" s="95" t="s">
        <v>325</v>
      </c>
      <c r="AB17" s="95" t="s">
        <v>60</v>
      </c>
      <c r="AC17" s="95" t="s">
        <v>60</v>
      </c>
      <c r="AD17" s="95" t="s">
        <v>60</v>
      </c>
      <c r="AE17" s="95" t="s">
        <v>60</v>
      </c>
      <c r="AF17" s="95" t="s">
        <v>60</v>
      </c>
      <c r="AG17" s="95"/>
    </row>
    <row r="18" spans="1:33">
      <c r="A18" s="92" t="s">
        <v>349</v>
      </c>
      <c r="B18" s="93" t="s">
        <v>324</v>
      </c>
      <c r="C18" s="98">
        <v>43803</v>
      </c>
      <c r="D18" s="95" t="s">
        <v>60</v>
      </c>
      <c r="E18" s="93">
        <v>25</v>
      </c>
      <c r="F18" s="96">
        <v>34635</v>
      </c>
      <c r="G18" s="93" t="s">
        <v>61</v>
      </c>
      <c r="H18" s="93" t="s">
        <v>116</v>
      </c>
      <c r="I18" s="93" t="s">
        <v>62</v>
      </c>
      <c r="J18" s="97" t="s">
        <v>324</v>
      </c>
      <c r="K18" s="93" t="s">
        <v>62</v>
      </c>
      <c r="L18" s="97" t="s">
        <v>324</v>
      </c>
      <c r="M18" s="93" t="s">
        <v>62</v>
      </c>
      <c r="N18" s="93" t="s">
        <v>324</v>
      </c>
      <c r="O18" s="93" t="s">
        <v>62</v>
      </c>
      <c r="P18" s="93" t="s">
        <v>324</v>
      </c>
      <c r="Q18" s="93"/>
      <c r="R18" s="93"/>
      <c r="S18" s="93"/>
      <c r="T18" s="93"/>
      <c r="U18" s="95" t="s">
        <v>60</v>
      </c>
      <c r="V18" s="95" t="s">
        <v>60</v>
      </c>
      <c r="W18" s="95" t="s">
        <v>60</v>
      </c>
      <c r="X18" s="95">
        <v>163.5</v>
      </c>
      <c r="Y18" s="95">
        <v>62.7</v>
      </c>
      <c r="Z18" s="95">
        <f t="shared" si="0"/>
        <v>23.454815812361474</v>
      </c>
      <c r="AA18" s="95" t="s">
        <v>325</v>
      </c>
      <c r="AB18" s="95" t="s">
        <v>60</v>
      </c>
      <c r="AC18" s="95"/>
      <c r="AD18" s="95" t="s">
        <v>60</v>
      </c>
      <c r="AE18" s="95" t="s">
        <v>60</v>
      </c>
      <c r="AF18" s="95"/>
      <c r="AG18" s="95"/>
    </row>
    <row r="19" spans="1:33" ht="43.2">
      <c r="A19" s="92" t="s">
        <v>350</v>
      </c>
      <c r="B19" s="93" t="s">
        <v>324</v>
      </c>
      <c r="C19" s="98">
        <v>43784</v>
      </c>
      <c r="D19" s="95" t="s">
        <v>60</v>
      </c>
      <c r="E19" s="93">
        <v>32</v>
      </c>
      <c r="F19" s="96">
        <v>31911</v>
      </c>
      <c r="G19" s="93" t="s">
        <v>58</v>
      </c>
      <c r="H19" s="93" t="s">
        <v>351</v>
      </c>
      <c r="I19" s="93" t="s">
        <v>62</v>
      </c>
      <c r="J19" s="97" t="s">
        <v>324</v>
      </c>
      <c r="K19" s="93" t="s">
        <v>60</v>
      </c>
      <c r="L19" s="97" t="s">
        <v>352</v>
      </c>
      <c r="M19" s="93" t="s">
        <v>62</v>
      </c>
      <c r="N19" s="93" t="s">
        <v>324</v>
      </c>
      <c r="O19" s="93" t="s">
        <v>62</v>
      </c>
      <c r="P19" s="93" t="s">
        <v>324</v>
      </c>
      <c r="Q19" s="93"/>
      <c r="R19" s="93"/>
      <c r="S19" s="93"/>
      <c r="T19" s="93"/>
      <c r="U19" s="95" t="s">
        <v>60</v>
      </c>
      <c r="V19" s="95" t="s">
        <v>60</v>
      </c>
      <c r="W19" s="95" t="s">
        <v>60</v>
      </c>
      <c r="X19" s="95">
        <v>180.7</v>
      </c>
      <c r="Y19" s="95">
        <v>85.4</v>
      </c>
      <c r="Z19" s="95">
        <f t="shared" si="0"/>
        <v>26.154207535168073</v>
      </c>
      <c r="AA19" s="95" t="s">
        <v>325</v>
      </c>
      <c r="AB19" s="95" t="s">
        <v>60</v>
      </c>
      <c r="AC19" s="95" t="s">
        <v>60</v>
      </c>
      <c r="AD19" s="95" t="s">
        <v>60</v>
      </c>
      <c r="AE19" s="95" t="s">
        <v>60</v>
      </c>
      <c r="AF19" s="95" t="s">
        <v>60</v>
      </c>
      <c r="AG19" s="95"/>
    </row>
    <row r="20" spans="1:33">
      <c r="A20" s="92" t="s">
        <v>353</v>
      </c>
      <c r="B20" s="93" t="s">
        <v>324</v>
      </c>
      <c r="C20" s="98">
        <v>43746</v>
      </c>
      <c r="D20" s="95" t="s">
        <v>60</v>
      </c>
      <c r="E20" s="93">
        <v>65</v>
      </c>
      <c r="F20" s="96">
        <v>19898</v>
      </c>
      <c r="G20" s="93" t="s">
        <v>61</v>
      </c>
      <c r="H20" s="93" t="s">
        <v>354</v>
      </c>
      <c r="I20" s="93" t="s">
        <v>62</v>
      </c>
      <c r="J20" s="97" t="s">
        <v>324</v>
      </c>
      <c r="K20" s="93" t="s">
        <v>62</v>
      </c>
      <c r="L20" s="97" t="s">
        <v>324</v>
      </c>
      <c r="M20" s="93" t="s">
        <v>62</v>
      </c>
      <c r="N20" s="93" t="s">
        <v>324</v>
      </c>
      <c r="O20" s="93" t="s">
        <v>62</v>
      </c>
      <c r="P20" s="93" t="s">
        <v>324</v>
      </c>
      <c r="Q20" s="93"/>
      <c r="R20" s="93"/>
      <c r="S20" s="93"/>
      <c r="T20" s="93"/>
      <c r="U20" s="95" t="s">
        <v>60</v>
      </c>
      <c r="V20" s="95" t="s">
        <v>60</v>
      </c>
      <c r="W20" s="95" t="s">
        <v>60</v>
      </c>
      <c r="X20" s="95">
        <v>165.9</v>
      </c>
      <c r="Y20" s="95">
        <v>80.900000000000006</v>
      </c>
      <c r="Z20" s="95">
        <f t="shared" si="0"/>
        <v>29.393800996337223</v>
      </c>
      <c r="AA20" s="95" t="s">
        <v>355</v>
      </c>
      <c r="AB20" s="95" t="s">
        <v>60</v>
      </c>
      <c r="AC20" s="95"/>
      <c r="AD20" s="95" t="s">
        <v>60</v>
      </c>
      <c r="AE20" s="95" t="s">
        <v>60</v>
      </c>
      <c r="AF20" s="95"/>
      <c r="AG20" s="95"/>
    </row>
    <row r="21" spans="1:33" ht="28.8">
      <c r="A21" s="92" t="s">
        <v>356</v>
      </c>
      <c r="B21" s="93" t="s">
        <v>324</v>
      </c>
      <c r="C21" s="98">
        <v>43843</v>
      </c>
      <c r="D21" s="95" t="s">
        <v>60</v>
      </c>
      <c r="E21" s="93">
        <v>24</v>
      </c>
      <c r="F21" s="96">
        <v>34768</v>
      </c>
      <c r="G21" s="93" t="s">
        <v>58</v>
      </c>
      <c r="H21" s="93" t="s">
        <v>116</v>
      </c>
      <c r="I21" s="93" t="s">
        <v>62</v>
      </c>
      <c r="J21" s="97" t="s">
        <v>324</v>
      </c>
      <c r="K21" s="93" t="s">
        <v>60</v>
      </c>
      <c r="L21" s="97" t="s">
        <v>357</v>
      </c>
      <c r="M21" s="93" t="s">
        <v>62</v>
      </c>
      <c r="N21" s="93" t="s">
        <v>324</v>
      </c>
      <c r="O21" s="93" t="s">
        <v>62</v>
      </c>
      <c r="P21" s="93" t="s">
        <v>62</v>
      </c>
      <c r="Q21" s="93"/>
      <c r="R21" s="93"/>
      <c r="S21" s="93"/>
      <c r="T21" s="93"/>
      <c r="U21" s="95" t="s">
        <v>60</v>
      </c>
      <c r="V21" s="95" t="s">
        <v>60</v>
      </c>
      <c r="W21" s="95" t="s">
        <v>60</v>
      </c>
      <c r="X21" s="95">
        <v>190.5</v>
      </c>
      <c r="Y21" s="95">
        <v>79.7</v>
      </c>
      <c r="Z21" s="95">
        <f t="shared" si="0"/>
        <v>21.961821701421183</v>
      </c>
      <c r="AA21" s="95" t="s">
        <v>325</v>
      </c>
      <c r="AB21" s="95" t="s">
        <v>60</v>
      </c>
      <c r="AC21" s="95" t="s">
        <v>60</v>
      </c>
      <c r="AD21" s="95" t="s">
        <v>60</v>
      </c>
      <c r="AE21" s="95" t="s">
        <v>60</v>
      </c>
      <c r="AF21" s="95"/>
      <c r="AG21" s="95"/>
    </row>
    <row r="22" spans="1:33">
      <c r="A22" s="92" t="s">
        <v>358</v>
      </c>
      <c r="B22" s="93" t="s">
        <v>324</v>
      </c>
      <c r="C22" s="98">
        <v>43769</v>
      </c>
      <c r="D22" s="95" t="s">
        <v>60</v>
      </c>
      <c r="E22" s="93">
        <v>48</v>
      </c>
      <c r="F22" s="96">
        <v>26085</v>
      </c>
      <c r="G22" s="93" t="s">
        <v>58</v>
      </c>
      <c r="H22" s="93" t="s">
        <v>116</v>
      </c>
      <c r="I22" s="93" t="s">
        <v>62</v>
      </c>
      <c r="J22" s="97" t="s">
        <v>324</v>
      </c>
      <c r="K22" s="93" t="s">
        <v>62</v>
      </c>
      <c r="L22" s="97" t="s">
        <v>324</v>
      </c>
      <c r="M22" s="93" t="s">
        <v>62</v>
      </c>
      <c r="N22" s="93" t="s">
        <v>324</v>
      </c>
      <c r="O22" s="93" t="s">
        <v>62</v>
      </c>
      <c r="P22" s="93" t="s">
        <v>324</v>
      </c>
      <c r="Q22" s="93" t="s">
        <v>348</v>
      </c>
      <c r="R22" s="93"/>
      <c r="S22" s="93"/>
      <c r="T22" s="93"/>
      <c r="U22" s="95" t="s">
        <v>60</v>
      </c>
      <c r="V22" s="95" t="s">
        <v>60</v>
      </c>
      <c r="W22" s="95" t="s">
        <v>60</v>
      </c>
      <c r="X22" s="95">
        <v>182</v>
      </c>
      <c r="Y22" s="95">
        <v>92.3</v>
      </c>
      <c r="Z22" s="95">
        <f t="shared" si="0"/>
        <v>27.864992150706435</v>
      </c>
      <c r="AA22" s="95" t="s">
        <v>325</v>
      </c>
      <c r="AB22" s="95" t="s">
        <v>60</v>
      </c>
      <c r="AC22" s="95" t="s">
        <v>60</v>
      </c>
      <c r="AD22" s="95" t="s">
        <v>60</v>
      </c>
      <c r="AE22" s="95" t="s">
        <v>60</v>
      </c>
      <c r="AF22" s="95" t="s">
        <v>60</v>
      </c>
      <c r="AG22" s="95"/>
    </row>
    <row r="23" spans="1:33">
      <c r="A23" s="92" t="s">
        <v>359</v>
      </c>
      <c r="B23" s="93" t="s">
        <v>324</v>
      </c>
      <c r="C23" s="98">
        <v>43783</v>
      </c>
      <c r="D23" s="95" t="s">
        <v>62</v>
      </c>
      <c r="E23" s="93">
        <v>21</v>
      </c>
      <c r="F23" s="96">
        <v>35850</v>
      </c>
      <c r="G23" s="93" t="s">
        <v>61</v>
      </c>
      <c r="H23" s="93" t="s">
        <v>116</v>
      </c>
      <c r="I23" s="93" t="s">
        <v>62</v>
      </c>
      <c r="J23" s="97" t="s">
        <v>324</v>
      </c>
      <c r="K23" s="93" t="s">
        <v>62</v>
      </c>
      <c r="L23" s="97" t="s">
        <v>324</v>
      </c>
      <c r="M23" s="93" t="s">
        <v>62</v>
      </c>
      <c r="N23" s="93" t="s">
        <v>324</v>
      </c>
      <c r="O23" s="93" t="s">
        <v>62</v>
      </c>
      <c r="P23" s="93" t="s">
        <v>324</v>
      </c>
      <c r="Q23" s="93"/>
      <c r="R23" s="93"/>
      <c r="S23" s="93"/>
      <c r="T23" s="93"/>
      <c r="U23" s="95" t="s">
        <v>60</v>
      </c>
      <c r="V23" s="95" t="s">
        <v>60</v>
      </c>
      <c r="W23" s="95" t="s">
        <v>60</v>
      </c>
      <c r="X23" s="95">
        <v>164.3</v>
      </c>
      <c r="Y23" s="95">
        <v>60.2</v>
      </c>
      <c r="Z23" s="95">
        <f t="shared" si="0"/>
        <v>22.30084732106441</v>
      </c>
      <c r="AA23" s="95" t="s">
        <v>325</v>
      </c>
      <c r="AB23" s="95" t="s">
        <v>60</v>
      </c>
      <c r="AC23" s="95" t="s">
        <v>60</v>
      </c>
      <c r="AD23" s="95" t="s">
        <v>60</v>
      </c>
      <c r="AE23" s="95" t="s">
        <v>60</v>
      </c>
      <c r="AF23" s="95" t="s">
        <v>60</v>
      </c>
      <c r="AG23" s="95"/>
    </row>
    <row r="24" spans="1:33" ht="28.8">
      <c r="A24" s="92" t="s">
        <v>360</v>
      </c>
      <c r="B24" s="93" t="s">
        <v>324</v>
      </c>
      <c r="C24" s="98">
        <v>43767</v>
      </c>
      <c r="D24" s="95" t="s">
        <v>60</v>
      </c>
      <c r="E24" s="93">
        <v>53</v>
      </c>
      <c r="F24" s="96">
        <v>24408</v>
      </c>
      <c r="G24" s="93" t="s">
        <v>58</v>
      </c>
      <c r="H24" s="93" t="s">
        <v>116</v>
      </c>
      <c r="I24" s="93" t="s">
        <v>62</v>
      </c>
      <c r="J24" s="97" t="s">
        <v>324</v>
      </c>
      <c r="K24" s="93" t="s">
        <v>60</v>
      </c>
      <c r="L24" s="97" t="s">
        <v>361</v>
      </c>
      <c r="M24" s="93" t="s">
        <v>62</v>
      </c>
      <c r="N24" s="93" t="s">
        <v>324</v>
      </c>
      <c r="O24" s="93" t="s">
        <v>62</v>
      </c>
      <c r="P24" s="93" t="s">
        <v>324</v>
      </c>
      <c r="Q24" s="93" t="s">
        <v>362</v>
      </c>
      <c r="R24" s="93" t="s">
        <v>363</v>
      </c>
      <c r="S24" s="93"/>
      <c r="T24" s="93"/>
      <c r="U24" s="95" t="s">
        <v>60</v>
      </c>
      <c r="V24" s="95" t="s">
        <v>60</v>
      </c>
      <c r="W24" s="95" t="s">
        <v>60</v>
      </c>
      <c r="X24" s="95">
        <v>178.8</v>
      </c>
      <c r="Y24" s="95">
        <v>95.2</v>
      </c>
      <c r="Z24" s="95">
        <f t="shared" si="0"/>
        <v>29.778438408680287</v>
      </c>
      <c r="AA24" s="95" t="s">
        <v>325</v>
      </c>
      <c r="AB24" s="95" t="s">
        <v>60</v>
      </c>
      <c r="AC24" s="95" t="s">
        <v>60</v>
      </c>
      <c r="AD24" s="95" t="s">
        <v>60</v>
      </c>
      <c r="AE24" s="95" t="s">
        <v>60</v>
      </c>
      <c r="AF24" s="95" t="s">
        <v>60</v>
      </c>
      <c r="AG24" s="95"/>
    </row>
    <row r="25" spans="1:33" ht="28.8">
      <c r="A25" s="92" t="s">
        <v>364</v>
      </c>
      <c r="B25" s="93" t="s">
        <v>324</v>
      </c>
      <c r="C25" s="94">
        <v>43761</v>
      </c>
      <c r="D25" s="95" t="s">
        <v>60</v>
      </c>
      <c r="E25" s="93">
        <v>59</v>
      </c>
      <c r="F25" s="96">
        <v>22158</v>
      </c>
      <c r="G25" s="93" t="s">
        <v>61</v>
      </c>
      <c r="H25" s="93" t="s">
        <v>116</v>
      </c>
      <c r="I25" s="93" t="s">
        <v>62</v>
      </c>
      <c r="J25" s="97" t="s">
        <v>324</v>
      </c>
      <c r="K25" s="93" t="s">
        <v>60</v>
      </c>
      <c r="L25" s="97" t="s">
        <v>365</v>
      </c>
      <c r="M25" s="93" t="s">
        <v>62</v>
      </c>
      <c r="N25" s="93" t="s">
        <v>324</v>
      </c>
      <c r="O25" s="93" t="s">
        <v>62</v>
      </c>
      <c r="P25" s="93" t="s">
        <v>324</v>
      </c>
      <c r="Q25" s="93"/>
      <c r="R25" s="93"/>
      <c r="S25" s="93"/>
      <c r="T25" s="93"/>
      <c r="U25" s="95" t="s">
        <v>60</v>
      </c>
      <c r="V25" s="95" t="s">
        <v>60</v>
      </c>
      <c r="W25" s="95" t="s">
        <v>60</v>
      </c>
      <c r="X25" s="95">
        <v>167.5</v>
      </c>
      <c r="Y25" s="95">
        <v>103.1</v>
      </c>
      <c r="Z25" s="95">
        <f t="shared" si="0"/>
        <v>36.747605257295611</v>
      </c>
      <c r="AA25" s="95" t="s">
        <v>325</v>
      </c>
      <c r="AB25" s="95" t="s">
        <v>60</v>
      </c>
      <c r="AC25" s="95"/>
      <c r="AD25" s="95" t="s">
        <v>60</v>
      </c>
      <c r="AE25" s="95" t="s">
        <v>60</v>
      </c>
      <c r="AF25" s="95"/>
      <c r="AG25" s="95"/>
    </row>
    <row r="26" spans="1:33" ht="28.8">
      <c r="A26" s="92" t="s">
        <v>366</v>
      </c>
      <c r="B26" s="93" t="s">
        <v>324</v>
      </c>
      <c r="C26" s="98">
        <v>43773</v>
      </c>
      <c r="D26" s="95" t="s">
        <v>60</v>
      </c>
      <c r="E26" s="93">
        <v>51</v>
      </c>
      <c r="F26" s="96">
        <v>25144</v>
      </c>
      <c r="G26" s="93" t="s">
        <v>61</v>
      </c>
      <c r="H26" s="93" t="s">
        <v>116</v>
      </c>
      <c r="I26" s="93" t="s">
        <v>60</v>
      </c>
      <c r="J26" s="97" t="s">
        <v>367</v>
      </c>
      <c r="K26" s="93" t="s">
        <v>60</v>
      </c>
      <c r="L26" s="97" t="s">
        <v>368</v>
      </c>
      <c r="M26" s="100" t="s">
        <v>62</v>
      </c>
      <c r="N26" s="100" t="s">
        <v>324</v>
      </c>
      <c r="O26" s="93" t="s">
        <v>62</v>
      </c>
      <c r="P26" s="93" t="s">
        <v>324</v>
      </c>
      <c r="Q26" s="93" t="s">
        <v>369</v>
      </c>
      <c r="R26" s="93"/>
      <c r="S26" s="93"/>
      <c r="T26" s="93"/>
      <c r="U26" s="95" t="s">
        <v>60</v>
      </c>
      <c r="V26" s="95" t="s">
        <v>60</v>
      </c>
      <c r="W26" s="95" t="s">
        <v>60</v>
      </c>
      <c r="X26" s="95">
        <v>175.8</v>
      </c>
      <c r="Y26" s="95">
        <v>75.3</v>
      </c>
      <c r="Z26" s="95">
        <f t="shared" si="0"/>
        <v>24.364484928964419</v>
      </c>
      <c r="AA26" s="95" t="s">
        <v>325</v>
      </c>
      <c r="AB26" s="95" t="s">
        <v>60</v>
      </c>
      <c r="AC26" s="95" t="s">
        <v>60</v>
      </c>
      <c r="AD26" s="95" t="s">
        <v>60</v>
      </c>
      <c r="AE26" s="95" t="s">
        <v>60</v>
      </c>
      <c r="AF26" s="95" t="s">
        <v>60</v>
      </c>
      <c r="AG26" s="95"/>
    </row>
    <row r="27" spans="1:33">
      <c r="A27" s="92" t="s">
        <v>370</v>
      </c>
      <c r="B27" s="93" t="s">
        <v>324</v>
      </c>
      <c r="C27" s="94">
        <v>43749</v>
      </c>
      <c r="D27" s="95" t="s">
        <v>60</v>
      </c>
      <c r="E27" s="93">
        <v>58</v>
      </c>
      <c r="F27" s="96">
        <v>22521</v>
      </c>
      <c r="G27" s="93" t="s">
        <v>61</v>
      </c>
      <c r="H27" s="93" t="s">
        <v>371</v>
      </c>
      <c r="I27" s="93" t="s">
        <v>62</v>
      </c>
      <c r="J27" s="97" t="s">
        <v>324</v>
      </c>
      <c r="K27" s="93" t="s">
        <v>62</v>
      </c>
      <c r="L27" s="97" t="s">
        <v>324</v>
      </c>
      <c r="M27" s="93" t="s">
        <v>62</v>
      </c>
      <c r="N27" s="93" t="s">
        <v>324</v>
      </c>
      <c r="O27" s="93" t="s">
        <v>62</v>
      </c>
      <c r="P27" s="93" t="s">
        <v>324</v>
      </c>
      <c r="Q27" s="93" t="s">
        <v>372</v>
      </c>
      <c r="R27" s="93"/>
      <c r="S27" s="93"/>
      <c r="T27" s="93"/>
      <c r="U27" s="95" t="s">
        <v>60</v>
      </c>
      <c r="V27" s="95" t="s">
        <v>60</v>
      </c>
      <c r="W27" s="95" t="s">
        <v>60</v>
      </c>
      <c r="X27" s="95">
        <v>161</v>
      </c>
      <c r="Y27" s="95">
        <v>87.6</v>
      </c>
      <c r="Z27" s="95">
        <f t="shared" si="0"/>
        <v>33.794992477142081</v>
      </c>
      <c r="AA27" s="95" t="s">
        <v>325</v>
      </c>
      <c r="AB27" s="95" t="s">
        <v>60</v>
      </c>
      <c r="AC27" s="95" t="s">
        <v>60</v>
      </c>
      <c r="AD27" s="95" t="s">
        <v>60</v>
      </c>
      <c r="AE27" s="95" t="s">
        <v>60</v>
      </c>
      <c r="AF27" s="95" t="s">
        <v>60</v>
      </c>
      <c r="AG27" s="95"/>
    </row>
    <row r="28" spans="1:33">
      <c r="A28" s="92" t="s">
        <v>373</v>
      </c>
      <c r="B28" s="93" t="s">
        <v>324</v>
      </c>
      <c r="C28" s="98">
        <v>43802</v>
      </c>
      <c r="D28" s="95" t="s">
        <v>60</v>
      </c>
      <c r="E28" s="93">
        <v>26</v>
      </c>
      <c r="F28" s="96">
        <v>33985</v>
      </c>
      <c r="G28" s="93" t="s">
        <v>61</v>
      </c>
      <c r="H28" s="93" t="s">
        <v>333</v>
      </c>
      <c r="I28" s="93" t="s">
        <v>62</v>
      </c>
      <c r="J28" s="97" t="s">
        <v>324</v>
      </c>
      <c r="K28" s="93" t="s">
        <v>62</v>
      </c>
      <c r="L28" s="97" t="s">
        <v>324</v>
      </c>
      <c r="M28" s="93" t="s">
        <v>62</v>
      </c>
      <c r="N28" s="93" t="s">
        <v>324</v>
      </c>
      <c r="O28" s="93" t="s">
        <v>62</v>
      </c>
      <c r="P28" s="93" t="s">
        <v>324</v>
      </c>
      <c r="Q28" s="93"/>
      <c r="R28" s="93"/>
      <c r="S28" s="93"/>
      <c r="T28" s="93"/>
      <c r="U28" s="95" t="s">
        <v>60</v>
      </c>
      <c r="V28" s="95" t="s">
        <v>60</v>
      </c>
      <c r="W28" s="95" t="s">
        <v>60</v>
      </c>
      <c r="X28" s="95">
        <v>173</v>
      </c>
      <c r="Y28" s="95">
        <v>64.5</v>
      </c>
      <c r="Z28" s="95">
        <f t="shared" si="0"/>
        <v>21.551004042901532</v>
      </c>
      <c r="AA28" s="95" t="s">
        <v>325</v>
      </c>
      <c r="AB28" s="95" t="s">
        <v>60</v>
      </c>
      <c r="AC28" s="95" t="s">
        <v>60</v>
      </c>
      <c r="AD28" s="95" t="s">
        <v>60</v>
      </c>
      <c r="AE28" s="95" t="s">
        <v>60</v>
      </c>
      <c r="AF28" s="95" t="s">
        <v>60</v>
      </c>
      <c r="AG28" s="95"/>
    </row>
    <row r="29" spans="1:33" ht="28.8">
      <c r="A29" s="92" t="s">
        <v>374</v>
      </c>
      <c r="B29" s="93" t="s">
        <v>324</v>
      </c>
      <c r="C29" s="98">
        <v>43774</v>
      </c>
      <c r="D29" s="95" t="s">
        <v>60</v>
      </c>
      <c r="E29" s="93">
        <v>45</v>
      </c>
      <c r="F29" s="96">
        <v>27225</v>
      </c>
      <c r="G29" s="93" t="s">
        <v>58</v>
      </c>
      <c r="H29" s="93" t="s">
        <v>63</v>
      </c>
      <c r="I29" s="93" t="s">
        <v>62</v>
      </c>
      <c r="J29" s="97" t="s">
        <v>324</v>
      </c>
      <c r="K29" s="93" t="s">
        <v>60</v>
      </c>
      <c r="L29" s="97" t="s">
        <v>375</v>
      </c>
      <c r="M29" s="93" t="s">
        <v>62</v>
      </c>
      <c r="N29" s="93" t="s">
        <v>324</v>
      </c>
      <c r="O29" s="93" t="s">
        <v>60</v>
      </c>
      <c r="P29" s="93" t="s">
        <v>60</v>
      </c>
      <c r="Q29" s="93" t="s">
        <v>369</v>
      </c>
      <c r="R29" s="93"/>
      <c r="S29" s="93"/>
      <c r="T29" s="93"/>
      <c r="U29" s="95" t="s">
        <v>60</v>
      </c>
      <c r="V29" s="95" t="s">
        <v>60</v>
      </c>
      <c r="W29" s="95" t="s">
        <v>60</v>
      </c>
      <c r="X29" s="95">
        <v>166.3</v>
      </c>
      <c r="Y29" s="95">
        <v>84.9</v>
      </c>
      <c r="Z29" s="95">
        <f t="shared" si="0"/>
        <v>30.698926694651263</v>
      </c>
      <c r="AA29" s="95" t="s">
        <v>325</v>
      </c>
      <c r="AB29" s="95" t="s">
        <v>60</v>
      </c>
      <c r="AC29" s="95" t="s">
        <v>60</v>
      </c>
      <c r="AD29" s="95" t="s">
        <v>60</v>
      </c>
      <c r="AE29" s="95" t="s">
        <v>60</v>
      </c>
      <c r="AF29" s="95" t="s">
        <v>60</v>
      </c>
      <c r="AG29" s="95"/>
    </row>
    <row r="30" spans="1:33">
      <c r="A30" s="92" t="s">
        <v>376</v>
      </c>
      <c r="B30" s="93" t="s">
        <v>324</v>
      </c>
      <c r="C30" s="98">
        <v>43802</v>
      </c>
      <c r="D30" s="95" t="s">
        <v>60</v>
      </c>
      <c r="E30" s="93">
        <v>28</v>
      </c>
      <c r="F30" s="96">
        <v>33364</v>
      </c>
      <c r="G30" s="93" t="s">
        <v>58</v>
      </c>
      <c r="H30" s="93" t="s">
        <v>116</v>
      </c>
      <c r="I30" s="93" t="s">
        <v>62</v>
      </c>
      <c r="J30" s="97" t="s">
        <v>324</v>
      </c>
      <c r="K30" s="93" t="s">
        <v>62</v>
      </c>
      <c r="L30" s="97" t="s">
        <v>324</v>
      </c>
      <c r="M30" s="93" t="s">
        <v>62</v>
      </c>
      <c r="N30" s="93" t="s">
        <v>324</v>
      </c>
      <c r="O30" s="93" t="s">
        <v>62</v>
      </c>
      <c r="P30" s="93" t="s">
        <v>324</v>
      </c>
      <c r="Q30" s="93"/>
      <c r="R30" s="93"/>
      <c r="S30" s="93"/>
      <c r="T30" s="93"/>
      <c r="U30" s="95" t="s">
        <v>60</v>
      </c>
      <c r="V30" s="95" t="s">
        <v>60</v>
      </c>
      <c r="W30" s="95" t="s">
        <v>60</v>
      </c>
      <c r="X30" s="95">
        <v>170.7</v>
      </c>
      <c r="Y30" s="95">
        <v>81.400000000000006</v>
      </c>
      <c r="Z30" s="95">
        <f t="shared" si="0"/>
        <v>27.935558774665406</v>
      </c>
      <c r="AA30" s="95" t="s">
        <v>325</v>
      </c>
      <c r="AB30" s="95" t="s">
        <v>60</v>
      </c>
      <c r="AC30" s="95" t="s">
        <v>60</v>
      </c>
      <c r="AD30" s="95" t="s">
        <v>60</v>
      </c>
      <c r="AE30" s="95" t="s">
        <v>60</v>
      </c>
      <c r="AF30" s="95" t="s">
        <v>60</v>
      </c>
      <c r="AG30" s="95"/>
    </row>
    <row r="31" spans="1:33" ht="57.6">
      <c r="A31" s="92" t="s">
        <v>377</v>
      </c>
      <c r="B31" s="93" t="s">
        <v>324</v>
      </c>
      <c r="C31" s="98">
        <v>43781</v>
      </c>
      <c r="D31" s="95" t="s">
        <v>60</v>
      </c>
      <c r="E31" s="93">
        <v>56</v>
      </c>
      <c r="F31" s="96">
        <v>23271</v>
      </c>
      <c r="G31" s="93" t="s">
        <v>58</v>
      </c>
      <c r="H31" s="93" t="s">
        <v>116</v>
      </c>
      <c r="I31" s="93" t="s">
        <v>60</v>
      </c>
      <c r="J31" s="97" t="s">
        <v>378</v>
      </c>
      <c r="K31" s="93" t="s">
        <v>60</v>
      </c>
      <c r="L31" s="97" t="s">
        <v>379</v>
      </c>
      <c r="M31" s="93" t="s">
        <v>62</v>
      </c>
      <c r="N31" s="93" t="s">
        <v>324</v>
      </c>
      <c r="O31" s="93" t="s">
        <v>62</v>
      </c>
      <c r="P31" s="93" t="s">
        <v>324</v>
      </c>
      <c r="Q31" s="93"/>
      <c r="R31" s="93"/>
      <c r="S31" s="93"/>
      <c r="T31" s="93"/>
      <c r="U31" s="95" t="s">
        <v>60</v>
      </c>
      <c r="V31" s="95" t="s">
        <v>60</v>
      </c>
      <c r="W31" s="95" t="s">
        <v>60</v>
      </c>
      <c r="X31" s="95">
        <v>175.6</v>
      </c>
      <c r="Y31" s="95">
        <v>96.3</v>
      </c>
      <c r="Z31" s="95">
        <f t="shared" si="0"/>
        <v>31.230379668017495</v>
      </c>
      <c r="AA31" s="95" t="s">
        <v>325</v>
      </c>
      <c r="AB31" s="95" t="s">
        <v>60</v>
      </c>
      <c r="AC31" s="95" t="s">
        <v>60</v>
      </c>
      <c r="AD31" s="95" t="s">
        <v>60</v>
      </c>
      <c r="AE31" s="95" t="s">
        <v>60</v>
      </c>
      <c r="AF31" s="95" t="s">
        <v>60</v>
      </c>
      <c r="AG31" s="95"/>
    </row>
    <row r="32" spans="1:33">
      <c r="A32" s="92" t="s">
        <v>380</v>
      </c>
      <c r="B32" s="93" t="s">
        <v>324</v>
      </c>
      <c r="C32" s="98">
        <v>43813</v>
      </c>
      <c r="D32" s="95" t="s">
        <v>60</v>
      </c>
      <c r="E32" s="93">
        <v>25</v>
      </c>
      <c r="F32" s="96">
        <v>34336</v>
      </c>
      <c r="G32" s="93" t="s">
        <v>61</v>
      </c>
      <c r="H32" s="93" t="s">
        <v>116</v>
      </c>
      <c r="I32" s="93" t="s">
        <v>62</v>
      </c>
      <c r="J32" s="97" t="s">
        <v>324</v>
      </c>
      <c r="K32" s="93" t="s">
        <v>62</v>
      </c>
      <c r="L32" s="97" t="s">
        <v>324</v>
      </c>
      <c r="M32" s="93" t="s">
        <v>62</v>
      </c>
      <c r="N32" s="93" t="s">
        <v>324</v>
      </c>
      <c r="O32" s="93" t="s">
        <v>62</v>
      </c>
      <c r="P32" s="93" t="s">
        <v>324</v>
      </c>
      <c r="Q32" s="93"/>
      <c r="R32" s="93"/>
      <c r="S32" s="93"/>
      <c r="T32" s="93"/>
      <c r="U32" s="95" t="s">
        <v>60</v>
      </c>
      <c r="V32" s="95" t="s">
        <v>60</v>
      </c>
      <c r="W32" s="95" t="s">
        <v>60</v>
      </c>
      <c r="X32" s="95">
        <v>186</v>
      </c>
      <c r="Y32" s="95">
        <v>78.7</v>
      </c>
      <c r="Z32" s="95">
        <f t="shared" si="0"/>
        <v>22.74829460053185</v>
      </c>
      <c r="AA32" s="95" t="s">
        <v>325</v>
      </c>
      <c r="AB32" s="95" t="s">
        <v>60</v>
      </c>
      <c r="AC32" s="95"/>
      <c r="AD32" s="95" t="s">
        <v>60</v>
      </c>
      <c r="AE32" s="95"/>
      <c r="AF32" s="95"/>
      <c r="AG32" s="95"/>
    </row>
    <row r="33" spans="1:33" ht="28.8">
      <c r="A33" s="92" t="s">
        <v>381</v>
      </c>
      <c r="B33" s="93" t="s">
        <v>324</v>
      </c>
      <c r="C33" s="98">
        <v>43734</v>
      </c>
      <c r="D33" s="95" t="s">
        <v>60</v>
      </c>
      <c r="E33" s="93">
        <v>67</v>
      </c>
      <c r="F33" s="96">
        <v>19213</v>
      </c>
      <c r="G33" s="93" t="s">
        <v>61</v>
      </c>
      <c r="H33" s="93" t="s">
        <v>116</v>
      </c>
      <c r="I33" s="93" t="s">
        <v>62</v>
      </c>
      <c r="J33" s="97" t="s">
        <v>324</v>
      </c>
      <c r="K33" s="93" t="s">
        <v>60</v>
      </c>
      <c r="L33" s="97" t="s">
        <v>382</v>
      </c>
      <c r="M33" s="93" t="s">
        <v>62</v>
      </c>
      <c r="N33" s="93" t="s">
        <v>324</v>
      </c>
      <c r="O33" s="93" t="s">
        <v>62</v>
      </c>
      <c r="P33" s="93" t="s">
        <v>324</v>
      </c>
      <c r="Q33" s="93" t="s">
        <v>348</v>
      </c>
      <c r="R33" s="93" t="s">
        <v>362</v>
      </c>
      <c r="S33" s="93" t="s">
        <v>383</v>
      </c>
      <c r="T33" s="93"/>
      <c r="U33" s="95" t="s">
        <v>60</v>
      </c>
      <c r="V33" s="95" t="s">
        <v>60</v>
      </c>
      <c r="W33" s="95" t="s">
        <v>60</v>
      </c>
      <c r="X33" s="95">
        <v>163.19999999999999</v>
      </c>
      <c r="Y33" s="95">
        <v>77.599999999999994</v>
      </c>
      <c r="Z33" s="95">
        <f t="shared" si="0"/>
        <v>29.135428681276434</v>
      </c>
      <c r="AA33" s="95" t="s">
        <v>355</v>
      </c>
      <c r="AB33" s="95" t="s">
        <v>60</v>
      </c>
      <c r="AC33" s="95" t="s">
        <v>60</v>
      </c>
      <c r="AD33" s="95" t="s">
        <v>60</v>
      </c>
      <c r="AE33" s="95" t="s">
        <v>60</v>
      </c>
      <c r="AF33" s="95" t="s">
        <v>60</v>
      </c>
      <c r="AG33" s="95"/>
    </row>
    <row r="34" spans="1:33">
      <c r="A34" s="136" t="s">
        <v>1098</v>
      </c>
      <c r="B34" s="93" t="s">
        <v>324</v>
      </c>
      <c r="C34" s="98">
        <v>43770</v>
      </c>
      <c r="D34" s="95" t="s">
        <v>60</v>
      </c>
      <c r="E34" s="93">
        <v>49</v>
      </c>
      <c r="F34" s="96">
        <v>25576</v>
      </c>
      <c r="G34" s="93" t="s">
        <v>61</v>
      </c>
      <c r="H34" s="93" t="s">
        <v>116</v>
      </c>
      <c r="I34" s="93" t="s">
        <v>62</v>
      </c>
      <c r="J34" s="97" t="s">
        <v>324</v>
      </c>
      <c r="K34" s="93" t="s">
        <v>62</v>
      </c>
      <c r="L34" s="97" t="s">
        <v>324</v>
      </c>
      <c r="M34" s="93" t="s">
        <v>62</v>
      </c>
      <c r="N34" s="93" t="s">
        <v>324</v>
      </c>
      <c r="O34" s="93" t="s">
        <v>62</v>
      </c>
      <c r="P34" s="93" t="s">
        <v>324</v>
      </c>
      <c r="Q34" s="93"/>
      <c r="R34" s="93"/>
      <c r="S34" s="93"/>
      <c r="T34" s="93"/>
      <c r="U34" s="95" t="s">
        <v>60</v>
      </c>
      <c r="V34" s="95" t="s">
        <v>60</v>
      </c>
      <c r="W34" s="95" t="s">
        <v>60</v>
      </c>
      <c r="X34" s="95">
        <v>173.9</v>
      </c>
      <c r="Y34" s="95">
        <v>61</v>
      </c>
      <c r="Z34" s="95">
        <f t="shared" si="0"/>
        <v>20.171150559121141</v>
      </c>
      <c r="AA34" s="95" t="s">
        <v>325</v>
      </c>
      <c r="AB34" s="95" t="s">
        <v>60</v>
      </c>
      <c r="AC34" s="95" t="s">
        <v>60</v>
      </c>
      <c r="AD34" s="95" t="s">
        <v>60</v>
      </c>
      <c r="AE34" s="95" t="s">
        <v>60</v>
      </c>
      <c r="AF34" s="95" t="s">
        <v>60</v>
      </c>
      <c r="AG34" s="95"/>
    </row>
    <row r="35" spans="1:33">
      <c r="A35" s="92" t="s">
        <v>384</v>
      </c>
      <c r="B35" s="93" t="s">
        <v>324</v>
      </c>
      <c r="C35" s="98">
        <v>43766</v>
      </c>
      <c r="D35" s="95" t="s">
        <v>60</v>
      </c>
      <c r="E35" s="93">
        <v>69</v>
      </c>
      <c r="F35" s="96">
        <v>18549</v>
      </c>
      <c r="G35" s="93" t="s">
        <v>61</v>
      </c>
      <c r="H35" s="93" t="s">
        <v>116</v>
      </c>
      <c r="I35" s="93" t="s">
        <v>62</v>
      </c>
      <c r="J35" s="97" t="s">
        <v>324</v>
      </c>
      <c r="K35" s="93" t="s">
        <v>62</v>
      </c>
      <c r="L35" s="97" t="s">
        <v>324</v>
      </c>
      <c r="M35" s="93" t="s">
        <v>62</v>
      </c>
      <c r="N35" s="93" t="s">
        <v>324</v>
      </c>
      <c r="O35" s="93" t="s">
        <v>62</v>
      </c>
      <c r="P35" s="93" t="s">
        <v>324</v>
      </c>
      <c r="Q35" s="93" t="s">
        <v>362</v>
      </c>
      <c r="R35" s="93"/>
      <c r="S35" s="93"/>
      <c r="T35" s="93"/>
      <c r="U35" s="95" t="s">
        <v>60</v>
      </c>
      <c r="V35" s="95" t="s">
        <v>60</v>
      </c>
      <c r="W35" s="95" t="s">
        <v>60</v>
      </c>
      <c r="X35" s="95">
        <v>166.5</v>
      </c>
      <c r="Y35" s="95">
        <v>74.900000000000006</v>
      </c>
      <c r="Z35" s="95">
        <f t="shared" si="0"/>
        <v>27.018008999990982</v>
      </c>
      <c r="AA35" s="95" t="s">
        <v>355</v>
      </c>
      <c r="AB35" s="95" t="s">
        <v>60</v>
      </c>
      <c r="AC35" s="95" t="s">
        <v>60</v>
      </c>
      <c r="AD35" s="95" t="s">
        <v>60</v>
      </c>
      <c r="AE35" s="95" t="s">
        <v>60</v>
      </c>
      <c r="AF35" s="95" t="s">
        <v>60</v>
      </c>
      <c r="AG35" s="95"/>
    </row>
    <row r="36" spans="1:33">
      <c r="A36" s="92" t="s">
        <v>385</v>
      </c>
      <c r="B36" s="93" t="s">
        <v>324</v>
      </c>
      <c r="C36" s="98">
        <v>43774</v>
      </c>
      <c r="D36" s="95" t="s">
        <v>60</v>
      </c>
      <c r="E36" s="93">
        <v>21</v>
      </c>
      <c r="F36" s="96">
        <v>35942</v>
      </c>
      <c r="G36" s="93" t="s">
        <v>61</v>
      </c>
      <c r="H36" s="93" t="s">
        <v>116</v>
      </c>
      <c r="I36" s="93" t="s">
        <v>62</v>
      </c>
      <c r="J36" s="97" t="s">
        <v>324</v>
      </c>
      <c r="K36" s="93" t="s">
        <v>62</v>
      </c>
      <c r="L36" s="97" t="s">
        <v>324</v>
      </c>
      <c r="M36" s="93" t="s">
        <v>62</v>
      </c>
      <c r="N36" s="93" t="s">
        <v>324</v>
      </c>
      <c r="O36" s="93" t="s">
        <v>62</v>
      </c>
      <c r="P36" s="93" t="s">
        <v>324</v>
      </c>
      <c r="Q36" s="93" t="s">
        <v>386</v>
      </c>
      <c r="R36" s="93"/>
      <c r="S36" s="93"/>
      <c r="T36" s="93"/>
      <c r="U36" s="95" t="s">
        <v>60</v>
      </c>
      <c r="V36" s="95" t="s">
        <v>60</v>
      </c>
      <c r="W36" s="95" t="s">
        <v>60</v>
      </c>
      <c r="X36" s="95">
        <v>179.9</v>
      </c>
      <c r="Y36" s="95">
        <v>68.099999999999994</v>
      </c>
      <c r="Z36" s="95">
        <f t="shared" si="0"/>
        <v>21.041891904000764</v>
      </c>
      <c r="AA36" s="95" t="s">
        <v>325</v>
      </c>
      <c r="AB36" s="95" t="s">
        <v>60</v>
      </c>
      <c r="AC36" s="95"/>
      <c r="AD36" s="95" t="s">
        <v>60</v>
      </c>
      <c r="AE36" s="95" t="s">
        <v>60</v>
      </c>
      <c r="AF36" s="95" t="s">
        <v>60</v>
      </c>
      <c r="AG36" s="95"/>
    </row>
    <row r="37" spans="1:33">
      <c r="A37" s="92" t="s">
        <v>387</v>
      </c>
      <c r="B37" s="93" t="s">
        <v>324</v>
      </c>
      <c r="C37" s="98">
        <v>43739</v>
      </c>
      <c r="D37" s="95" t="s">
        <v>60</v>
      </c>
      <c r="E37" s="93">
        <v>60</v>
      </c>
      <c r="F37" s="96">
        <v>21556</v>
      </c>
      <c r="G37" s="93" t="s">
        <v>58</v>
      </c>
      <c r="H37" s="93" t="s">
        <v>116</v>
      </c>
      <c r="I37" s="93" t="s">
        <v>62</v>
      </c>
      <c r="J37" s="97" t="s">
        <v>324</v>
      </c>
      <c r="K37" s="93" t="s">
        <v>62</v>
      </c>
      <c r="L37" s="97" t="s">
        <v>324</v>
      </c>
      <c r="M37" s="93" t="s">
        <v>62</v>
      </c>
      <c r="N37" s="93" t="s">
        <v>324</v>
      </c>
      <c r="O37" s="93" t="s">
        <v>62</v>
      </c>
      <c r="P37" s="93" t="s">
        <v>324</v>
      </c>
      <c r="Q37" s="93"/>
      <c r="R37" s="93"/>
      <c r="S37" s="93"/>
      <c r="T37" s="93"/>
      <c r="U37" s="95" t="s">
        <v>60</v>
      </c>
      <c r="V37" s="95" t="s">
        <v>60</v>
      </c>
      <c r="W37" s="95" t="s">
        <v>60</v>
      </c>
      <c r="X37" s="95">
        <v>171.3</v>
      </c>
      <c r="Y37" s="95">
        <v>97.5</v>
      </c>
      <c r="Z37" s="95">
        <f t="shared" ref="Z37:Z68" si="1">Y37/((X37/100)^2)</f>
        <v>33.22690500070032</v>
      </c>
      <c r="AA37" s="95" t="s">
        <v>325</v>
      </c>
      <c r="AB37" s="95" t="s">
        <v>60</v>
      </c>
      <c r="AC37" s="95" t="s">
        <v>60</v>
      </c>
      <c r="AD37" s="95" t="s">
        <v>60</v>
      </c>
      <c r="AE37" s="95" t="s">
        <v>60</v>
      </c>
      <c r="AF37" s="95" t="s">
        <v>60</v>
      </c>
      <c r="AG37" s="95"/>
    </row>
    <row r="38" spans="1:33">
      <c r="A38" s="92" t="s">
        <v>388</v>
      </c>
      <c r="B38" s="93" t="s">
        <v>324</v>
      </c>
      <c r="C38" s="98">
        <v>43739</v>
      </c>
      <c r="D38" s="95" t="s">
        <v>60</v>
      </c>
      <c r="E38" s="93">
        <v>58</v>
      </c>
      <c r="F38" s="96">
        <v>22209</v>
      </c>
      <c r="G38" s="93" t="s">
        <v>58</v>
      </c>
      <c r="H38" s="93" t="s">
        <v>116</v>
      </c>
      <c r="I38" s="93" t="s">
        <v>60</v>
      </c>
      <c r="J38" s="97" t="s">
        <v>389</v>
      </c>
      <c r="K38" s="93" t="s">
        <v>60</v>
      </c>
      <c r="L38" s="97" t="s">
        <v>324</v>
      </c>
      <c r="M38" s="93" t="s">
        <v>62</v>
      </c>
      <c r="N38" s="93" t="s">
        <v>324</v>
      </c>
      <c r="O38" s="93" t="s">
        <v>62</v>
      </c>
      <c r="P38" s="93" t="s">
        <v>324</v>
      </c>
      <c r="Q38" s="93"/>
      <c r="R38" s="93"/>
      <c r="S38" s="93"/>
      <c r="T38" s="93"/>
      <c r="U38" s="95" t="s">
        <v>60</v>
      </c>
      <c r="V38" s="95" t="s">
        <v>60</v>
      </c>
      <c r="W38" s="95" t="s">
        <v>390</v>
      </c>
      <c r="X38" s="95">
        <v>173.4</v>
      </c>
      <c r="Y38" s="95">
        <v>95.3</v>
      </c>
      <c r="Z38" s="95">
        <f t="shared" si="1"/>
        <v>31.695288876117651</v>
      </c>
      <c r="AA38" s="95" t="s">
        <v>325</v>
      </c>
      <c r="AB38" s="95" t="s">
        <v>60</v>
      </c>
      <c r="AC38" s="95" t="s">
        <v>60</v>
      </c>
      <c r="AD38" s="95" t="s">
        <v>60</v>
      </c>
      <c r="AE38" s="95" t="s">
        <v>60</v>
      </c>
      <c r="AF38" s="95" t="s">
        <v>60</v>
      </c>
      <c r="AG38" s="95"/>
    </row>
    <row r="39" spans="1:33">
      <c r="A39" s="92" t="s">
        <v>391</v>
      </c>
      <c r="B39" s="93" t="s">
        <v>324</v>
      </c>
      <c r="C39" s="98">
        <v>43853</v>
      </c>
      <c r="D39" s="95" t="s">
        <v>60</v>
      </c>
      <c r="E39" s="93">
        <v>24</v>
      </c>
      <c r="F39" s="96">
        <v>35046</v>
      </c>
      <c r="G39" s="93" t="s">
        <v>61</v>
      </c>
      <c r="H39" s="93" t="s">
        <v>123</v>
      </c>
      <c r="I39" s="93" t="s">
        <v>62</v>
      </c>
      <c r="J39" s="97" t="s">
        <v>324</v>
      </c>
      <c r="K39" s="93" t="s">
        <v>62</v>
      </c>
      <c r="L39" s="97" t="s">
        <v>324</v>
      </c>
      <c r="M39" s="93" t="s">
        <v>62</v>
      </c>
      <c r="N39" s="93" t="s">
        <v>324</v>
      </c>
      <c r="O39" s="93" t="s">
        <v>62</v>
      </c>
      <c r="P39" s="93" t="s">
        <v>62</v>
      </c>
      <c r="Q39" s="93"/>
      <c r="R39" s="93"/>
      <c r="S39" s="93"/>
      <c r="T39" s="93"/>
      <c r="U39" s="95" t="s">
        <v>60</v>
      </c>
      <c r="V39" s="95" t="s">
        <v>60</v>
      </c>
      <c r="W39" s="95" t="s">
        <v>60</v>
      </c>
      <c r="X39" s="95">
        <v>173.8</v>
      </c>
      <c r="Y39" s="95">
        <v>53.9</v>
      </c>
      <c r="Z39" s="95">
        <f t="shared" si="1"/>
        <v>17.843877001063344</v>
      </c>
      <c r="AA39" s="95" t="s">
        <v>325</v>
      </c>
      <c r="AB39" s="95" t="s">
        <v>60</v>
      </c>
      <c r="AC39" s="95" t="s">
        <v>60</v>
      </c>
      <c r="AD39" s="95" t="s">
        <v>60</v>
      </c>
      <c r="AE39" s="95" t="s">
        <v>60</v>
      </c>
      <c r="AF39" s="95"/>
      <c r="AG39" s="95"/>
    </row>
    <row r="40" spans="1:33">
      <c r="A40" s="92" t="s">
        <v>392</v>
      </c>
      <c r="B40" s="93" t="s">
        <v>324</v>
      </c>
      <c r="C40" s="94">
        <v>43761</v>
      </c>
      <c r="D40" s="95" t="s">
        <v>60</v>
      </c>
      <c r="E40" s="93">
        <v>49</v>
      </c>
      <c r="F40" s="96">
        <v>25574</v>
      </c>
      <c r="G40" s="93" t="s">
        <v>61</v>
      </c>
      <c r="H40" s="93" t="s">
        <v>116</v>
      </c>
      <c r="I40" s="93" t="s">
        <v>62</v>
      </c>
      <c r="J40" s="97" t="s">
        <v>324</v>
      </c>
      <c r="K40" s="93" t="s">
        <v>60</v>
      </c>
      <c r="L40" s="97" t="s">
        <v>393</v>
      </c>
      <c r="M40" s="93" t="s">
        <v>62</v>
      </c>
      <c r="N40" s="93" t="s">
        <v>324</v>
      </c>
      <c r="O40" s="93" t="s">
        <v>62</v>
      </c>
      <c r="P40" s="93" t="s">
        <v>324</v>
      </c>
      <c r="Q40" s="93"/>
      <c r="R40" s="93"/>
      <c r="S40" s="93"/>
      <c r="T40" s="93"/>
      <c r="U40" s="95" t="s">
        <v>60</v>
      </c>
      <c r="V40" s="95" t="s">
        <v>60</v>
      </c>
      <c r="W40" s="95" t="s">
        <v>60</v>
      </c>
      <c r="X40" s="95">
        <v>175</v>
      </c>
      <c r="Y40" s="95">
        <v>102.2</v>
      </c>
      <c r="Z40" s="95">
        <f t="shared" si="1"/>
        <v>33.371428571428574</v>
      </c>
      <c r="AA40" s="95" t="s">
        <v>325</v>
      </c>
      <c r="AB40" s="95" t="s">
        <v>60</v>
      </c>
      <c r="AC40" s="95" t="s">
        <v>60</v>
      </c>
      <c r="AD40" s="95" t="s">
        <v>60</v>
      </c>
      <c r="AE40" s="95" t="s">
        <v>60</v>
      </c>
      <c r="AF40" s="95" t="s">
        <v>60</v>
      </c>
      <c r="AG40" s="95"/>
    </row>
    <row r="41" spans="1:33" ht="28.8">
      <c r="A41" s="92" t="s">
        <v>394</v>
      </c>
      <c r="B41" s="93" t="s">
        <v>324</v>
      </c>
      <c r="C41" s="98">
        <v>43840</v>
      </c>
      <c r="D41" s="95" t="s">
        <v>60</v>
      </c>
      <c r="E41" s="93">
        <v>57</v>
      </c>
      <c r="F41" s="96">
        <v>23017</v>
      </c>
      <c r="G41" s="93" t="s">
        <v>58</v>
      </c>
      <c r="H41" s="93" t="s">
        <v>128</v>
      </c>
      <c r="I41" s="93" t="s">
        <v>62</v>
      </c>
      <c r="J41" s="97" t="s">
        <v>324</v>
      </c>
      <c r="K41" s="93" t="s">
        <v>60</v>
      </c>
      <c r="L41" s="97" t="s">
        <v>395</v>
      </c>
      <c r="M41" s="93"/>
      <c r="N41" s="93" t="s">
        <v>324</v>
      </c>
      <c r="O41" s="93" t="s">
        <v>62</v>
      </c>
      <c r="P41" s="93" t="s">
        <v>62</v>
      </c>
      <c r="Q41" s="93"/>
      <c r="R41" s="93"/>
      <c r="S41" s="93"/>
      <c r="T41" s="93"/>
      <c r="U41" s="95" t="s">
        <v>62</v>
      </c>
      <c r="V41" s="95" t="s">
        <v>60</v>
      </c>
      <c r="W41" s="95" t="s">
        <v>62</v>
      </c>
      <c r="X41" s="95">
        <v>172.1</v>
      </c>
      <c r="Y41" s="95">
        <v>77.3</v>
      </c>
      <c r="Z41" s="95">
        <f t="shared" si="1"/>
        <v>26.098632573456847</v>
      </c>
      <c r="AA41" s="95" t="s">
        <v>325</v>
      </c>
      <c r="AB41" s="95" t="s">
        <v>60</v>
      </c>
      <c r="AC41" s="95"/>
      <c r="AD41" s="95" t="s">
        <v>60</v>
      </c>
      <c r="AE41" s="95" t="s">
        <v>60</v>
      </c>
      <c r="AF41" s="95"/>
      <c r="AG41" s="95"/>
    </row>
    <row r="42" spans="1:33">
      <c r="A42" s="92" t="s">
        <v>396</v>
      </c>
      <c r="B42" s="93" t="s">
        <v>324</v>
      </c>
      <c r="C42" s="94">
        <v>43754</v>
      </c>
      <c r="D42" s="95" t="s">
        <v>60</v>
      </c>
      <c r="E42" s="93">
        <v>25</v>
      </c>
      <c r="F42" s="96">
        <v>34605</v>
      </c>
      <c r="G42" s="93" t="s">
        <v>61</v>
      </c>
      <c r="H42" s="93" t="s">
        <v>116</v>
      </c>
      <c r="I42" s="93" t="s">
        <v>62</v>
      </c>
      <c r="J42" s="97" t="s">
        <v>324</v>
      </c>
      <c r="K42" s="93" t="s">
        <v>62</v>
      </c>
      <c r="L42" s="97" t="s">
        <v>324</v>
      </c>
      <c r="M42" s="93" t="s">
        <v>62</v>
      </c>
      <c r="N42" s="93" t="s">
        <v>324</v>
      </c>
      <c r="O42" s="93" t="s">
        <v>62</v>
      </c>
      <c r="P42" s="93" t="s">
        <v>324</v>
      </c>
      <c r="Q42" s="93"/>
      <c r="R42" s="93"/>
      <c r="S42" s="93"/>
      <c r="T42" s="93"/>
      <c r="U42" s="95" t="s">
        <v>60</v>
      </c>
      <c r="V42" s="95" t="s">
        <v>60</v>
      </c>
      <c r="W42" s="95" t="s">
        <v>60</v>
      </c>
      <c r="X42" s="95">
        <v>167</v>
      </c>
      <c r="Y42" s="95">
        <v>60.2</v>
      </c>
      <c r="Z42" s="95">
        <f t="shared" si="1"/>
        <v>21.585571372225612</v>
      </c>
      <c r="AA42" s="95" t="s">
        <v>325</v>
      </c>
      <c r="AB42" s="95" t="s">
        <v>60</v>
      </c>
      <c r="AC42" s="95" t="s">
        <v>60</v>
      </c>
      <c r="AD42" s="95" t="s">
        <v>60</v>
      </c>
      <c r="AE42" s="95" t="s">
        <v>60</v>
      </c>
      <c r="AF42" s="95" t="s">
        <v>60</v>
      </c>
      <c r="AG42" s="95"/>
    </row>
    <row r="43" spans="1:33" ht="57.6">
      <c r="A43" s="92" t="s">
        <v>397</v>
      </c>
      <c r="B43" s="93" t="s">
        <v>324</v>
      </c>
      <c r="C43" s="98">
        <v>43746</v>
      </c>
      <c r="D43" s="95" t="s">
        <v>60</v>
      </c>
      <c r="E43" s="93">
        <v>76</v>
      </c>
      <c r="F43" s="96">
        <v>15637</v>
      </c>
      <c r="G43" s="93" t="s">
        <v>58</v>
      </c>
      <c r="H43" s="93" t="s">
        <v>116</v>
      </c>
      <c r="I43" s="93" t="s">
        <v>62</v>
      </c>
      <c r="J43" s="97" t="s">
        <v>324</v>
      </c>
      <c r="K43" s="93" t="s">
        <v>60</v>
      </c>
      <c r="L43" s="97" t="s">
        <v>398</v>
      </c>
      <c r="M43" s="93" t="s">
        <v>62</v>
      </c>
      <c r="N43" s="93" t="s">
        <v>324</v>
      </c>
      <c r="O43" s="93" t="s">
        <v>60</v>
      </c>
      <c r="P43" s="93" t="s">
        <v>62</v>
      </c>
      <c r="Q43" s="93" t="s">
        <v>362</v>
      </c>
      <c r="R43" s="93" t="s">
        <v>399</v>
      </c>
      <c r="S43" s="93"/>
      <c r="T43" s="93"/>
      <c r="U43" s="95" t="s">
        <v>60</v>
      </c>
      <c r="V43" s="95" t="s">
        <v>60</v>
      </c>
      <c r="W43" s="95" t="s">
        <v>60</v>
      </c>
      <c r="X43" s="95">
        <v>177.5</v>
      </c>
      <c r="Y43" s="95">
        <v>81.900000000000006</v>
      </c>
      <c r="Z43" s="95">
        <f t="shared" si="1"/>
        <v>25.994842293195799</v>
      </c>
      <c r="AA43" s="95" t="s">
        <v>355</v>
      </c>
      <c r="AB43" s="95" t="s">
        <v>60</v>
      </c>
      <c r="AC43" s="95" t="s">
        <v>60</v>
      </c>
      <c r="AD43" s="95" t="s">
        <v>60</v>
      </c>
      <c r="AE43" s="95" t="s">
        <v>60</v>
      </c>
      <c r="AF43" s="95" t="s">
        <v>60</v>
      </c>
      <c r="AG43" s="95"/>
    </row>
    <row r="44" spans="1:33">
      <c r="A44" s="92" t="s">
        <v>400</v>
      </c>
      <c r="B44" s="93" t="s">
        <v>324</v>
      </c>
      <c r="C44" s="98">
        <v>43734</v>
      </c>
      <c r="D44" s="95" t="s">
        <v>60</v>
      </c>
      <c r="E44" s="93">
        <v>70</v>
      </c>
      <c r="F44" s="96">
        <v>17950</v>
      </c>
      <c r="G44" s="93" t="s">
        <v>61</v>
      </c>
      <c r="H44" s="93" t="s">
        <v>116</v>
      </c>
      <c r="I44" s="93" t="s">
        <v>62</v>
      </c>
      <c r="J44" s="97" t="s">
        <v>324</v>
      </c>
      <c r="K44" s="93" t="s">
        <v>62</v>
      </c>
      <c r="L44" s="97" t="s">
        <v>324</v>
      </c>
      <c r="M44" s="93" t="s">
        <v>62</v>
      </c>
      <c r="N44" s="93" t="s">
        <v>324</v>
      </c>
      <c r="O44" s="93" t="s">
        <v>62</v>
      </c>
      <c r="P44" s="93" t="s">
        <v>324</v>
      </c>
      <c r="Q44" s="93" t="s">
        <v>401</v>
      </c>
      <c r="R44" s="93" t="s">
        <v>348</v>
      </c>
      <c r="S44" s="93" t="s">
        <v>402</v>
      </c>
      <c r="T44" s="93" t="s">
        <v>403</v>
      </c>
      <c r="U44" s="95" t="s">
        <v>60</v>
      </c>
      <c r="V44" s="95" t="s">
        <v>60</v>
      </c>
      <c r="W44" s="95" t="s">
        <v>60</v>
      </c>
      <c r="X44" s="95">
        <v>159.19999999999999</v>
      </c>
      <c r="Y44" s="95">
        <v>90.5</v>
      </c>
      <c r="Z44" s="95">
        <f t="shared" si="1"/>
        <v>35.707747279109121</v>
      </c>
      <c r="AA44" s="95" t="s">
        <v>355</v>
      </c>
      <c r="AB44" s="95" t="s">
        <v>60</v>
      </c>
      <c r="AC44" s="95" t="s">
        <v>60</v>
      </c>
      <c r="AD44" s="95" t="s">
        <v>60</v>
      </c>
      <c r="AE44" s="95" t="s">
        <v>60</v>
      </c>
      <c r="AF44" s="95" t="s">
        <v>60</v>
      </c>
      <c r="AG44" s="95"/>
    </row>
    <row r="45" spans="1:33">
      <c r="A45" s="92" t="s">
        <v>404</v>
      </c>
      <c r="B45" s="93" t="s">
        <v>324</v>
      </c>
      <c r="C45" s="98">
        <v>43766</v>
      </c>
      <c r="D45" s="95" t="s">
        <v>60</v>
      </c>
      <c r="E45" s="93">
        <v>67</v>
      </c>
      <c r="F45" s="96">
        <v>19037</v>
      </c>
      <c r="G45" s="93" t="s">
        <v>58</v>
      </c>
      <c r="H45" s="93" t="s">
        <v>116</v>
      </c>
      <c r="I45" s="93" t="s">
        <v>62</v>
      </c>
      <c r="J45" s="97" t="s">
        <v>324</v>
      </c>
      <c r="K45" s="93" t="s">
        <v>62</v>
      </c>
      <c r="L45" s="97" t="s">
        <v>324</v>
      </c>
      <c r="M45" s="93" t="s">
        <v>62</v>
      </c>
      <c r="N45" s="93" t="s">
        <v>324</v>
      </c>
      <c r="O45" s="93" t="s">
        <v>62</v>
      </c>
      <c r="P45" s="93" t="s">
        <v>324</v>
      </c>
      <c r="Q45" s="93" t="s">
        <v>405</v>
      </c>
      <c r="R45" s="93"/>
      <c r="S45" s="93"/>
      <c r="T45" s="93"/>
      <c r="U45" s="95" t="s">
        <v>60</v>
      </c>
      <c r="V45" s="95" t="s">
        <v>60</v>
      </c>
      <c r="W45" s="95" t="s">
        <v>60</v>
      </c>
      <c r="X45" s="95">
        <v>184.8</v>
      </c>
      <c r="Y45" s="95">
        <v>94.9</v>
      </c>
      <c r="Z45" s="95">
        <f t="shared" si="1"/>
        <v>27.788319184423081</v>
      </c>
      <c r="AA45" s="95" t="s">
        <v>355</v>
      </c>
      <c r="AB45" s="95" t="s">
        <v>60</v>
      </c>
      <c r="AC45" s="95" t="s">
        <v>60</v>
      </c>
      <c r="AD45" s="95" t="s">
        <v>60</v>
      </c>
      <c r="AE45" s="95" t="s">
        <v>60</v>
      </c>
      <c r="AF45" s="95" t="s">
        <v>60</v>
      </c>
      <c r="AG45" s="95"/>
    </row>
    <row r="46" spans="1:33" ht="43.2">
      <c r="A46" s="92" t="s">
        <v>406</v>
      </c>
      <c r="B46" s="93" t="s">
        <v>324</v>
      </c>
      <c r="C46" s="98">
        <v>43804</v>
      </c>
      <c r="D46" s="95" t="s">
        <v>60</v>
      </c>
      <c r="E46" s="93">
        <v>38</v>
      </c>
      <c r="F46" s="96">
        <v>29678</v>
      </c>
      <c r="G46" s="93" t="s">
        <v>61</v>
      </c>
      <c r="H46" s="93" t="s">
        <v>117</v>
      </c>
      <c r="I46" s="93" t="s">
        <v>60</v>
      </c>
      <c r="J46" s="97" t="s">
        <v>407</v>
      </c>
      <c r="K46" s="93" t="s">
        <v>60</v>
      </c>
      <c r="L46" s="97" t="s">
        <v>408</v>
      </c>
      <c r="M46" s="93" t="s">
        <v>62</v>
      </c>
      <c r="N46" s="93" t="s">
        <v>324</v>
      </c>
      <c r="O46" s="93" t="s">
        <v>62</v>
      </c>
      <c r="P46" s="93" t="s">
        <v>324</v>
      </c>
      <c r="Q46" s="93"/>
      <c r="R46" s="93"/>
      <c r="S46" s="93"/>
      <c r="T46" s="93"/>
      <c r="U46" s="95" t="s">
        <v>60</v>
      </c>
      <c r="V46" s="95" t="s">
        <v>60</v>
      </c>
      <c r="W46" s="95" t="s">
        <v>62</v>
      </c>
      <c r="X46" s="95">
        <v>169.9</v>
      </c>
      <c r="Y46" s="95">
        <v>105</v>
      </c>
      <c r="Z46" s="95">
        <f t="shared" si="1"/>
        <v>36.374961416558783</v>
      </c>
      <c r="AA46" s="95" t="s">
        <v>325</v>
      </c>
      <c r="AB46" s="95" t="s">
        <v>60</v>
      </c>
      <c r="AC46" s="95" t="s">
        <v>60</v>
      </c>
      <c r="AD46" s="95" t="s">
        <v>60</v>
      </c>
      <c r="AE46" s="95" t="s">
        <v>60</v>
      </c>
      <c r="AF46" s="95"/>
      <c r="AG46" s="95"/>
    </row>
    <row r="47" spans="1:33">
      <c r="A47" s="92" t="s">
        <v>409</v>
      </c>
      <c r="B47" s="93" t="s">
        <v>324</v>
      </c>
      <c r="C47" s="98">
        <v>43857</v>
      </c>
      <c r="D47" s="95" t="s">
        <v>60</v>
      </c>
      <c r="E47" s="93">
        <v>24</v>
      </c>
      <c r="F47" s="96">
        <v>34569</v>
      </c>
      <c r="G47" s="93" t="s">
        <v>61</v>
      </c>
      <c r="H47" s="93" t="s">
        <v>340</v>
      </c>
      <c r="I47" s="93" t="s">
        <v>62</v>
      </c>
      <c r="J47" s="97" t="s">
        <v>324</v>
      </c>
      <c r="K47" s="93" t="s">
        <v>62</v>
      </c>
      <c r="L47" s="97" t="s">
        <v>324</v>
      </c>
      <c r="M47" s="93" t="s">
        <v>62</v>
      </c>
      <c r="N47" s="93" t="s">
        <v>324</v>
      </c>
      <c r="O47" s="93" t="s">
        <v>62</v>
      </c>
      <c r="P47" s="93" t="s">
        <v>62</v>
      </c>
      <c r="Q47" s="93" t="s">
        <v>369</v>
      </c>
      <c r="R47" s="93" t="s">
        <v>410</v>
      </c>
      <c r="S47" s="93"/>
      <c r="T47" s="93"/>
      <c r="U47" s="95" t="s">
        <v>62</v>
      </c>
      <c r="V47" s="95" t="s">
        <v>60</v>
      </c>
      <c r="W47" s="95" t="s">
        <v>60</v>
      </c>
      <c r="X47" s="95">
        <v>157.9</v>
      </c>
      <c r="Y47" s="95">
        <v>64</v>
      </c>
      <c r="Z47" s="95">
        <f t="shared" si="1"/>
        <v>25.669399789270273</v>
      </c>
      <c r="AA47" s="95" t="s">
        <v>325</v>
      </c>
      <c r="AB47" s="95" t="s">
        <v>60</v>
      </c>
      <c r="AC47" s="95" t="s">
        <v>60</v>
      </c>
      <c r="AD47" s="95" t="s">
        <v>60</v>
      </c>
      <c r="AE47" s="95" t="s">
        <v>60</v>
      </c>
      <c r="AF47" s="95"/>
      <c r="AG47" s="95"/>
    </row>
    <row r="48" spans="1:33">
      <c r="A48" s="92" t="s">
        <v>411</v>
      </c>
      <c r="B48" s="93" t="s">
        <v>324</v>
      </c>
      <c r="C48" s="98">
        <v>43738</v>
      </c>
      <c r="D48" s="95" t="s">
        <v>60</v>
      </c>
      <c r="E48" s="93">
        <v>72</v>
      </c>
      <c r="F48" s="96">
        <v>17225</v>
      </c>
      <c r="G48" s="93" t="s">
        <v>61</v>
      </c>
      <c r="H48" s="93" t="s">
        <v>412</v>
      </c>
      <c r="I48" s="93" t="s">
        <v>62</v>
      </c>
      <c r="J48" s="97" t="s">
        <v>324</v>
      </c>
      <c r="K48" s="93" t="s">
        <v>62</v>
      </c>
      <c r="L48" s="97" t="s">
        <v>324</v>
      </c>
      <c r="M48" s="93" t="s">
        <v>62</v>
      </c>
      <c r="N48" s="93" t="s">
        <v>324</v>
      </c>
      <c r="O48" s="93" t="s">
        <v>413</v>
      </c>
      <c r="P48" s="93" t="s">
        <v>62</v>
      </c>
      <c r="Q48" s="93"/>
      <c r="R48" s="93"/>
      <c r="S48" s="93"/>
      <c r="T48" s="93"/>
      <c r="U48" s="95" t="s">
        <v>60</v>
      </c>
      <c r="V48" s="95" t="s">
        <v>60</v>
      </c>
      <c r="W48" s="95" t="s">
        <v>60</v>
      </c>
      <c r="X48" s="95">
        <v>156.6</v>
      </c>
      <c r="Y48" s="95">
        <v>64.3</v>
      </c>
      <c r="Z48" s="95">
        <f t="shared" si="1"/>
        <v>26.219684254651447</v>
      </c>
      <c r="AA48" s="95" t="s">
        <v>325</v>
      </c>
      <c r="AB48" s="95" t="s">
        <v>60</v>
      </c>
      <c r="AC48" s="95"/>
      <c r="AD48" s="95" t="s">
        <v>60</v>
      </c>
      <c r="AE48" s="95" t="s">
        <v>60</v>
      </c>
      <c r="AF48" s="95"/>
      <c r="AG48" s="95"/>
    </row>
    <row r="49" spans="1:33">
      <c r="A49" s="92" t="s">
        <v>414</v>
      </c>
      <c r="B49" s="93" t="s">
        <v>324</v>
      </c>
      <c r="C49" s="98">
        <v>43728</v>
      </c>
      <c r="D49" s="95" t="s">
        <v>60</v>
      </c>
      <c r="E49" s="93">
        <v>71</v>
      </c>
      <c r="F49" s="96">
        <v>17723</v>
      </c>
      <c r="G49" s="93" t="s">
        <v>58</v>
      </c>
      <c r="H49" s="93" t="s">
        <v>116</v>
      </c>
      <c r="I49" s="93" t="s">
        <v>62</v>
      </c>
      <c r="J49" s="97" t="s">
        <v>324</v>
      </c>
      <c r="K49" s="93" t="s">
        <v>62</v>
      </c>
      <c r="L49" s="97" t="s">
        <v>324</v>
      </c>
      <c r="M49" s="93" t="s">
        <v>62</v>
      </c>
      <c r="N49" s="93" t="s">
        <v>324</v>
      </c>
      <c r="O49" s="93" t="s">
        <v>62</v>
      </c>
      <c r="P49" s="93" t="s">
        <v>324</v>
      </c>
      <c r="Q49" s="93"/>
      <c r="R49" s="93"/>
      <c r="S49" s="93"/>
      <c r="T49" s="93"/>
      <c r="U49" s="95" t="s">
        <v>60</v>
      </c>
      <c r="V49" s="95" t="s">
        <v>60</v>
      </c>
      <c r="W49" s="95" t="s">
        <v>60</v>
      </c>
      <c r="X49" s="95">
        <v>175.6</v>
      </c>
      <c r="Y49" s="95">
        <v>84</v>
      </c>
      <c r="Z49" s="95">
        <f t="shared" si="1"/>
        <v>27.241452669921802</v>
      </c>
      <c r="AA49" s="95" t="s">
        <v>355</v>
      </c>
      <c r="AB49" s="95" t="s">
        <v>60</v>
      </c>
      <c r="AC49" s="95" t="s">
        <v>60</v>
      </c>
      <c r="AD49" s="95" t="s">
        <v>60</v>
      </c>
      <c r="AE49" s="95" t="s">
        <v>60</v>
      </c>
      <c r="AF49" s="95" t="s">
        <v>60</v>
      </c>
      <c r="AG49" s="95"/>
    </row>
    <row r="50" spans="1:33">
      <c r="A50" s="92" t="s">
        <v>415</v>
      </c>
      <c r="B50" s="93" t="s">
        <v>324</v>
      </c>
      <c r="C50" s="98">
        <v>43843</v>
      </c>
      <c r="D50" s="95" t="s">
        <v>60</v>
      </c>
      <c r="E50" s="93">
        <v>29</v>
      </c>
      <c r="F50" s="96">
        <v>33119</v>
      </c>
      <c r="G50" s="93" t="s">
        <v>61</v>
      </c>
      <c r="H50" s="93" t="s">
        <v>416</v>
      </c>
      <c r="I50" s="93" t="s">
        <v>62</v>
      </c>
      <c r="J50" s="97" t="s">
        <v>324</v>
      </c>
      <c r="K50" s="93" t="s">
        <v>62</v>
      </c>
      <c r="L50" s="97" t="s">
        <v>324</v>
      </c>
      <c r="M50" s="93" t="s">
        <v>62</v>
      </c>
      <c r="N50" s="93" t="s">
        <v>324</v>
      </c>
      <c r="O50" s="93" t="s">
        <v>62</v>
      </c>
      <c r="P50" s="93" t="s">
        <v>62</v>
      </c>
      <c r="Q50" s="93"/>
      <c r="R50" s="93"/>
      <c r="S50" s="93"/>
      <c r="T50" s="93"/>
      <c r="U50" s="95" t="s">
        <v>60</v>
      </c>
      <c r="V50" s="95" t="s">
        <v>60</v>
      </c>
      <c r="W50" s="95" t="s">
        <v>60</v>
      </c>
      <c r="X50" s="95">
        <v>165</v>
      </c>
      <c r="Y50" s="95">
        <v>63.1</v>
      </c>
      <c r="Z50" s="95">
        <f t="shared" si="1"/>
        <v>23.177226813590455</v>
      </c>
      <c r="AA50" s="95" t="s">
        <v>325</v>
      </c>
      <c r="AB50" s="95" t="s">
        <v>60</v>
      </c>
      <c r="AC50" s="95" t="s">
        <v>60</v>
      </c>
      <c r="AD50" s="95" t="s">
        <v>60</v>
      </c>
      <c r="AE50" s="95" t="s">
        <v>60</v>
      </c>
      <c r="AF50" s="95"/>
      <c r="AG50" s="95"/>
    </row>
    <row r="51" spans="1:33">
      <c r="A51" s="92" t="s">
        <v>417</v>
      </c>
      <c r="B51" s="93" t="s">
        <v>324</v>
      </c>
      <c r="C51" s="98">
        <v>43834</v>
      </c>
      <c r="D51" s="95" t="s">
        <v>60</v>
      </c>
      <c r="E51" s="93">
        <v>65</v>
      </c>
      <c r="F51" s="96">
        <v>19925</v>
      </c>
      <c r="G51" s="93" t="s">
        <v>61</v>
      </c>
      <c r="H51" s="93" t="s">
        <v>116</v>
      </c>
      <c r="I51" s="93" t="s">
        <v>62</v>
      </c>
      <c r="J51" s="97" t="s">
        <v>324</v>
      </c>
      <c r="K51" s="93" t="s">
        <v>60</v>
      </c>
      <c r="L51" s="97" t="s">
        <v>418</v>
      </c>
      <c r="M51" s="93" t="s">
        <v>62</v>
      </c>
      <c r="N51" s="93" t="s">
        <v>324</v>
      </c>
      <c r="O51" s="93" t="s">
        <v>62</v>
      </c>
      <c r="P51" s="93" t="s">
        <v>62</v>
      </c>
      <c r="Q51" s="93" t="s">
        <v>419</v>
      </c>
      <c r="R51" s="93" t="s">
        <v>420</v>
      </c>
      <c r="S51" s="93"/>
      <c r="T51" s="93"/>
      <c r="U51" s="95" t="s">
        <v>60</v>
      </c>
      <c r="V51" s="95" t="s">
        <v>60</v>
      </c>
      <c r="W51" s="95" t="s">
        <v>60</v>
      </c>
      <c r="X51" s="95">
        <v>163</v>
      </c>
      <c r="Y51" s="95">
        <v>75.400000000000006</v>
      </c>
      <c r="Z51" s="95">
        <f t="shared" si="1"/>
        <v>28.378937859911932</v>
      </c>
      <c r="AA51" s="95" t="s">
        <v>325</v>
      </c>
      <c r="AB51" s="95" t="s">
        <v>421</v>
      </c>
      <c r="AC51" s="95"/>
      <c r="AD51" s="95" t="s">
        <v>60</v>
      </c>
      <c r="AE51" s="95" t="s">
        <v>60</v>
      </c>
      <c r="AF51" s="95"/>
      <c r="AG51" s="95"/>
    </row>
    <row r="52" spans="1:33">
      <c r="A52" s="92" t="s">
        <v>422</v>
      </c>
      <c r="B52" s="93" t="s">
        <v>324</v>
      </c>
      <c r="C52" s="98">
        <v>43834</v>
      </c>
      <c r="D52" s="95" t="s">
        <v>60</v>
      </c>
      <c r="E52" s="93">
        <v>66</v>
      </c>
      <c r="F52" s="96">
        <v>19555</v>
      </c>
      <c r="G52" s="93" t="s">
        <v>58</v>
      </c>
      <c r="H52" s="93" t="s">
        <v>116</v>
      </c>
      <c r="I52" s="93" t="s">
        <v>62</v>
      </c>
      <c r="J52" s="97" t="s">
        <v>324</v>
      </c>
      <c r="K52" s="93" t="s">
        <v>62</v>
      </c>
      <c r="L52" s="97" t="s">
        <v>324</v>
      </c>
      <c r="M52" s="93" t="s">
        <v>62</v>
      </c>
      <c r="N52" s="93" t="s">
        <v>324</v>
      </c>
      <c r="O52" s="93" t="s">
        <v>62</v>
      </c>
      <c r="P52" s="93" t="s">
        <v>62</v>
      </c>
      <c r="Q52" s="93"/>
      <c r="R52" s="93"/>
      <c r="S52" s="93"/>
      <c r="T52" s="93"/>
      <c r="U52" s="95" t="s">
        <v>60</v>
      </c>
      <c r="V52" s="95" t="s">
        <v>60</v>
      </c>
      <c r="W52" s="95" t="s">
        <v>60</v>
      </c>
      <c r="X52" s="95">
        <v>172</v>
      </c>
      <c r="Y52" s="95">
        <v>82.4</v>
      </c>
      <c r="Z52" s="95">
        <f t="shared" si="1"/>
        <v>27.852893455922125</v>
      </c>
      <c r="AA52" s="95" t="s">
        <v>325</v>
      </c>
      <c r="AB52" s="95" t="s">
        <v>60</v>
      </c>
      <c r="AC52" s="95"/>
      <c r="AD52" s="95" t="s">
        <v>60</v>
      </c>
      <c r="AE52" s="95" t="s">
        <v>60</v>
      </c>
      <c r="AF52" s="95"/>
      <c r="AG52" s="95"/>
    </row>
    <row r="53" spans="1:33">
      <c r="A53" s="92" t="s">
        <v>423</v>
      </c>
      <c r="B53" s="93" t="s">
        <v>324</v>
      </c>
      <c r="C53" s="98">
        <v>43731</v>
      </c>
      <c r="D53" s="95" t="s">
        <v>60</v>
      </c>
      <c r="E53" s="93">
        <v>73</v>
      </c>
      <c r="F53" s="96">
        <v>16919</v>
      </c>
      <c r="G53" s="93" t="s">
        <v>61</v>
      </c>
      <c r="H53" s="93" t="s">
        <v>116</v>
      </c>
      <c r="I53" s="93" t="s">
        <v>62</v>
      </c>
      <c r="J53" s="97" t="s">
        <v>324</v>
      </c>
      <c r="K53" s="93" t="s">
        <v>62</v>
      </c>
      <c r="L53" s="97" t="s">
        <v>324</v>
      </c>
      <c r="M53" s="93" t="s">
        <v>62</v>
      </c>
      <c r="N53" s="93" t="s">
        <v>324</v>
      </c>
      <c r="O53" s="93" t="s">
        <v>62</v>
      </c>
      <c r="P53" s="93" t="s">
        <v>324</v>
      </c>
      <c r="Q53" s="93" t="s">
        <v>424</v>
      </c>
      <c r="R53" s="93" t="s">
        <v>425</v>
      </c>
      <c r="S53" s="93"/>
      <c r="T53" s="93"/>
      <c r="U53" s="95" t="s">
        <v>60</v>
      </c>
      <c r="V53" s="95" t="s">
        <v>60</v>
      </c>
      <c r="W53" s="95" t="s">
        <v>60</v>
      </c>
      <c r="X53" s="95">
        <v>172.1</v>
      </c>
      <c r="Y53" s="95">
        <v>86.4</v>
      </c>
      <c r="Z53" s="95">
        <f t="shared" si="1"/>
        <v>29.171045981198862</v>
      </c>
      <c r="AA53" s="95" t="s">
        <v>355</v>
      </c>
      <c r="AB53" s="95" t="s">
        <v>60</v>
      </c>
      <c r="AC53" s="95"/>
      <c r="AD53" s="95" t="s">
        <v>60</v>
      </c>
      <c r="AE53" s="95" t="s">
        <v>60</v>
      </c>
      <c r="AF53" s="95"/>
      <c r="AG53" s="95"/>
    </row>
    <row r="54" spans="1:33">
      <c r="A54" s="92" t="s">
        <v>426</v>
      </c>
      <c r="B54" s="93" t="s">
        <v>324</v>
      </c>
      <c r="C54" s="98">
        <v>43886</v>
      </c>
      <c r="D54" s="95" t="s">
        <v>60</v>
      </c>
      <c r="E54" s="93">
        <v>29</v>
      </c>
      <c r="F54" s="96">
        <v>32940</v>
      </c>
      <c r="G54" s="93" t="s">
        <v>61</v>
      </c>
      <c r="H54" s="93" t="s">
        <v>116</v>
      </c>
      <c r="I54" s="93" t="s">
        <v>62</v>
      </c>
      <c r="J54" s="97" t="s">
        <v>324</v>
      </c>
      <c r="K54" s="93" t="s">
        <v>62</v>
      </c>
      <c r="L54" s="97" t="s">
        <v>324</v>
      </c>
      <c r="M54" s="93" t="s">
        <v>62</v>
      </c>
      <c r="N54" s="93" t="s">
        <v>324</v>
      </c>
      <c r="O54" s="93" t="s">
        <v>62</v>
      </c>
      <c r="P54" s="93" t="s">
        <v>62</v>
      </c>
      <c r="Q54" s="93"/>
      <c r="R54" s="93"/>
      <c r="S54" s="93"/>
      <c r="T54" s="93"/>
      <c r="U54" s="95" t="s">
        <v>60</v>
      </c>
      <c r="V54" s="95" t="s">
        <v>60</v>
      </c>
      <c r="W54" s="95" t="s">
        <v>60</v>
      </c>
      <c r="X54" s="95">
        <v>160.5</v>
      </c>
      <c r="Y54" s="95">
        <v>72.3</v>
      </c>
      <c r="Z54" s="95">
        <f t="shared" si="1"/>
        <v>28.066497801845866</v>
      </c>
      <c r="AA54" s="95" t="s">
        <v>325</v>
      </c>
      <c r="AB54" s="95" t="s">
        <v>60</v>
      </c>
      <c r="AC54" s="95"/>
      <c r="AD54" s="95" t="s">
        <v>60</v>
      </c>
      <c r="AE54" s="95"/>
      <c r="AF54" s="95"/>
      <c r="AG54" s="95"/>
    </row>
    <row r="55" spans="1:33" ht="43.2">
      <c r="A55" s="92" t="s">
        <v>427</v>
      </c>
      <c r="B55" s="93" t="s">
        <v>324</v>
      </c>
      <c r="C55" s="98">
        <v>43735</v>
      </c>
      <c r="D55" s="95" t="s">
        <v>60</v>
      </c>
      <c r="E55" s="93">
        <v>70</v>
      </c>
      <c r="F55" s="96">
        <v>17845</v>
      </c>
      <c r="G55" s="93" t="s">
        <v>58</v>
      </c>
      <c r="H55" s="93" t="s">
        <v>116</v>
      </c>
      <c r="I55" s="93" t="s">
        <v>62</v>
      </c>
      <c r="J55" s="97" t="s">
        <v>324</v>
      </c>
      <c r="K55" s="93" t="s">
        <v>60</v>
      </c>
      <c r="L55" s="97" t="s">
        <v>428</v>
      </c>
      <c r="M55" s="93" t="s">
        <v>62</v>
      </c>
      <c r="N55" s="93" t="s">
        <v>324</v>
      </c>
      <c r="O55" s="93" t="s">
        <v>62</v>
      </c>
      <c r="P55" s="93" t="s">
        <v>324</v>
      </c>
      <c r="Q55" s="93" t="s">
        <v>348</v>
      </c>
      <c r="R55" s="93" t="s">
        <v>362</v>
      </c>
      <c r="S55" s="93"/>
      <c r="T55" s="93"/>
      <c r="U55" s="95" t="s">
        <v>60</v>
      </c>
      <c r="V55" s="95" t="s">
        <v>60</v>
      </c>
      <c r="W55" s="95" t="s">
        <v>390</v>
      </c>
      <c r="X55" s="95">
        <v>182.9</v>
      </c>
      <c r="Y55" s="95">
        <v>97.1</v>
      </c>
      <c r="Z55" s="95">
        <f t="shared" si="1"/>
        <v>29.026309315233192</v>
      </c>
      <c r="AA55" s="95" t="s">
        <v>355</v>
      </c>
      <c r="AB55" s="95" t="s">
        <v>60</v>
      </c>
      <c r="AC55" s="95" t="s">
        <v>60</v>
      </c>
      <c r="AD55" s="95" t="s">
        <v>60</v>
      </c>
      <c r="AE55" s="95" t="s">
        <v>60</v>
      </c>
      <c r="AF55" s="95" t="s">
        <v>60</v>
      </c>
      <c r="AG55" s="95"/>
    </row>
    <row r="56" spans="1:33">
      <c r="A56" s="92" t="s">
        <v>429</v>
      </c>
      <c r="B56" s="93" t="s">
        <v>324</v>
      </c>
      <c r="C56" s="98">
        <v>43738</v>
      </c>
      <c r="D56" s="95" t="s">
        <v>60</v>
      </c>
      <c r="E56" s="93">
        <v>69</v>
      </c>
      <c r="F56" s="96">
        <v>18298</v>
      </c>
      <c r="G56" s="93" t="s">
        <v>58</v>
      </c>
      <c r="H56" s="93" t="s">
        <v>116</v>
      </c>
      <c r="I56" s="93" t="s">
        <v>62</v>
      </c>
      <c r="J56" s="97" t="s">
        <v>324</v>
      </c>
      <c r="K56" s="93" t="s">
        <v>62</v>
      </c>
      <c r="L56" s="97" t="s">
        <v>324</v>
      </c>
      <c r="M56" s="93" t="s">
        <v>62</v>
      </c>
      <c r="N56" s="93" t="s">
        <v>324</v>
      </c>
      <c r="O56" s="93" t="s">
        <v>62</v>
      </c>
      <c r="P56" s="93" t="s">
        <v>324</v>
      </c>
      <c r="Q56" s="93"/>
      <c r="R56" s="93"/>
      <c r="S56" s="93"/>
      <c r="T56" s="93"/>
      <c r="U56" s="95" t="s">
        <v>60</v>
      </c>
      <c r="V56" s="95" t="s">
        <v>60</v>
      </c>
      <c r="W56" s="95" t="s">
        <v>60</v>
      </c>
      <c r="X56" s="95">
        <v>182.5</v>
      </c>
      <c r="Y56" s="95">
        <v>70.7</v>
      </c>
      <c r="Z56" s="95">
        <f t="shared" si="1"/>
        <v>21.22724713829987</v>
      </c>
      <c r="AA56" s="95" t="s">
        <v>355</v>
      </c>
      <c r="AB56" s="95" t="s">
        <v>60</v>
      </c>
      <c r="AC56" s="95" t="s">
        <v>60</v>
      </c>
      <c r="AD56" s="95" t="s">
        <v>60</v>
      </c>
      <c r="AE56" s="95" t="s">
        <v>60</v>
      </c>
      <c r="AF56" s="95" t="s">
        <v>60</v>
      </c>
      <c r="AG56" s="95"/>
    </row>
    <row r="57" spans="1:33">
      <c r="A57" s="92" t="s">
        <v>430</v>
      </c>
      <c r="B57" s="93" t="s">
        <v>324</v>
      </c>
      <c r="C57" s="98">
        <v>43732</v>
      </c>
      <c r="D57" s="95" t="s">
        <v>60</v>
      </c>
      <c r="E57" s="93">
        <v>71</v>
      </c>
      <c r="F57" s="96">
        <v>17640</v>
      </c>
      <c r="G57" s="93" t="s">
        <v>58</v>
      </c>
      <c r="H57" s="93" t="s">
        <v>116</v>
      </c>
      <c r="I57" s="93" t="s">
        <v>62</v>
      </c>
      <c r="J57" s="97" t="s">
        <v>324</v>
      </c>
      <c r="K57" s="93" t="s">
        <v>62</v>
      </c>
      <c r="L57" s="97" t="s">
        <v>324</v>
      </c>
      <c r="M57" s="93" t="s">
        <v>62</v>
      </c>
      <c r="N57" s="93" t="s">
        <v>324</v>
      </c>
      <c r="O57" s="93" t="s">
        <v>60</v>
      </c>
      <c r="P57" s="93" t="s">
        <v>60</v>
      </c>
      <c r="Q57" s="93" t="s">
        <v>431</v>
      </c>
      <c r="R57" s="93" t="s">
        <v>348</v>
      </c>
      <c r="S57" s="93" t="s">
        <v>432</v>
      </c>
      <c r="T57" s="93" t="s">
        <v>433</v>
      </c>
      <c r="U57" s="95" t="s">
        <v>60</v>
      </c>
      <c r="V57" s="95" t="s">
        <v>60</v>
      </c>
      <c r="W57" s="95" t="s">
        <v>60</v>
      </c>
      <c r="X57" s="95">
        <v>180.6</v>
      </c>
      <c r="Y57" s="95">
        <v>99.7</v>
      </c>
      <c r="Z57" s="95">
        <f t="shared" si="1"/>
        <v>30.567482085677248</v>
      </c>
      <c r="AA57" s="95" t="s">
        <v>355</v>
      </c>
      <c r="AB57" s="95" t="s">
        <v>60</v>
      </c>
      <c r="AC57" s="95" t="s">
        <v>60</v>
      </c>
      <c r="AD57" s="95" t="s">
        <v>60</v>
      </c>
      <c r="AE57" s="95" t="s">
        <v>60</v>
      </c>
      <c r="AF57" s="101" t="s">
        <v>60</v>
      </c>
      <c r="AG57" s="95"/>
    </row>
    <row r="58" spans="1:33">
      <c r="A58" s="92" t="s">
        <v>434</v>
      </c>
      <c r="B58" s="93" t="s">
        <v>324</v>
      </c>
      <c r="C58" s="98">
        <v>43747</v>
      </c>
      <c r="D58" s="95" t="s">
        <v>60</v>
      </c>
      <c r="E58" s="93">
        <v>68</v>
      </c>
      <c r="F58" s="96">
        <v>18768</v>
      </c>
      <c r="G58" s="93" t="s">
        <v>58</v>
      </c>
      <c r="H58" s="93" t="s">
        <v>116</v>
      </c>
      <c r="I58" s="93" t="s">
        <v>62</v>
      </c>
      <c r="J58" s="97" t="s">
        <v>324</v>
      </c>
      <c r="K58" s="93" t="s">
        <v>62</v>
      </c>
      <c r="L58" s="97" t="s">
        <v>324</v>
      </c>
      <c r="M58" s="93" t="s">
        <v>62</v>
      </c>
      <c r="N58" s="93" t="s">
        <v>324</v>
      </c>
      <c r="O58" s="93" t="s">
        <v>62</v>
      </c>
      <c r="P58" s="93" t="s">
        <v>324</v>
      </c>
      <c r="Q58" s="93"/>
      <c r="R58" s="93"/>
      <c r="S58" s="93"/>
      <c r="T58" s="93"/>
      <c r="U58" s="95" t="s">
        <v>60</v>
      </c>
      <c r="V58" s="95" t="s">
        <v>60</v>
      </c>
      <c r="W58" s="95" t="s">
        <v>60</v>
      </c>
      <c r="X58" s="95">
        <v>173.6</v>
      </c>
      <c r="Y58" s="95">
        <v>66.3</v>
      </c>
      <c r="Z58" s="95">
        <f t="shared" si="1"/>
        <v>21.999564654165518</v>
      </c>
      <c r="AA58" s="95" t="s">
        <v>325</v>
      </c>
      <c r="AB58" s="95" t="s">
        <v>60</v>
      </c>
      <c r="AC58" s="95"/>
      <c r="AD58" s="95" t="s">
        <v>60</v>
      </c>
      <c r="AE58" s="95" t="s">
        <v>60</v>
      </c>
      <c r="AF58" s="95"/>
      <c r="AG58" s="95"/>
    </row>
    <row r="59" spans="1:33">
      <c r="A59" s="92" t="s">
        <v>435</v>
      </c>
      <c r="B59" s="93" t="s">
        <v>324</v>
      </c>
      <c r="C59" s="98">
        <v>43780</v>
      </c>
      <c r="D59" s="95" t="s">
        <v>60</v>
      </c>
      <c r="E59" s="93">
        <v>69</v>
      </c>
      <c r="F59" s="96">
        <v>18470</v>
      </c>
      <c r="G59" s="93" t="s">
        <v>61</v>
      </c>
      <c r="H59" s="93" t="s">
        <v>116</v>
      </c>
      <c r="I59" s="93" t="s">
        <v>62</v>
      </c>
      <c r="J59" s="97" t="s">
        <v>324</v>
      </c>
      <c r="K59" s="93" t="s">
        <v>62</v>
      </c>
      <c r="L59" s="97" t="s">
        <v>324</v>
      </c>
      <c r="M59" s="93" t="s">
        <v>62</v>
      </c>
      <c r="N59" s="93" t="s">
        <v>324</v>
      </c>
      <c r="O59" s="93" t="s">
        <v>62</v>
      </c>
      <c r="P59" s="93" t="s">
        <v>324</v>
      </c>
      <c r="Q59" s="93"/>
      <c r="R59" s="93"/>
      <c r="S59" s="93"/>
      <c r="T59" s="93"/>
      <c r="U59" s="95" t="s">
        <v>60</v>
      </c>
      <c r="V59" s="95" t="s">
        <v>60</v>
      </c>
      <c r="W59" s="95" t="s">
        <v>60</v>
      </c>
      <c r="X59" s="95">
        <v>164.6</v>
      </c>
      <c r="Y59" s="95">
        <v>81.2</v>
      </c>
      <c r="Z59" s="95">
        <f t="shared" si="1"/>
        <v>29.970664182398806</v>
      </c>
      <c r="AA59" s="95" t="s">
        <v>325</v>
      </c>
      <c r="AB59" s="95" t="s">
        <v>60</v>
      </c>
      <c r="AC59" s="95" t="s">
        <v>60</v>
      </c>
      <c r="AD59" s="95" t="s">
        <v>60</v>
      </c>
      <c r="AE59" s="95" t="s">
        <v>60</v>
      </c>
      <c r="AF59" s="95" t="s">
        <v>60</v>
      </c>
      <c r="AG59" s="95"/>
    </row>
    <row r="60" spans="1:33">
      <c r="A60" s="92" t="s">
        <v>436</v>
      </c>
      <c r="B60" s="93" t="s">
        <v>324</v>
      </c>
      <c r="C60" s="98">
        <v>43769</v>
      </c>
      <c r="D60" s="95" t="s">
        <v>60</v>
      </c>
      <c r="E60" s="93">
        <v>38</v>
      </c>
      <c r="F60" s="96">
        <v>29689</v>
      </c>
      <c r="G60" s="93" t="s">
        <v>58</v>
      </c>
      <c r="H60" s="93" t="s">
        <v>116</v>
      </c>
      <c r="I60" s="93" t="s">
        <v>62</v>
      </c>
      <c r="J60" s="97" t="s">
        <v>324</v>
      </c>
      <c r="K60" s="93" t="s">
        <v>62</v>
      </c>
      <c r="L60" s="97" t="s">
        <v>324</v>
      </c>
      <c r="M60" s="93" t="s">
        <v>62</v>
      </c>
      <c r="N60" s="93" t="s">
        <v>324</v>
      </c>
      <c r="O60" s="93" t="s">
        <v>62</v>
      </c>
      <c r="P60" s="93" t="s">
        <v>324</v>
      </c>
      <c r="Q60" s="93" t="s">
        <v>424</v>
      </c>
      <c r="R60" s="93" t="s">
        <v>437</v>
      </c>
      <c r="S60" s="93"/>
      <c r="T60" s="93"/>
      <c r="U60" s="95" t="s">
        <v>62</v>
      </c>
      <c r="V60" s="95" t="s">
        <v>60</v>
      </c>
      <c r="W60" s="95" t="s">
        <v>62</v>
      </c>
      <c r="X60" s="95">
        <v>183.5</v>
      </c>
      <c r="Y60" s="95">
        <v>165.7</v>
      </c>
      <c r="Z60" s="95">
        <f t="shared" si="1"/>
        <v>49.209660774079545</v>
      </c>
      <c r="AA60" s="95" t="s">
        <v>325</v>
      </c>
      <c r="AB60" s="95" t="s">
        <v>60</v>
      </c>
      <c r="AC60" s="95" t="s">
        <v>60</v>
      </c>
      <c r="AD60" s="95" t="s">
        <v>60</v>
      </c>
      <c r="AE60" s="95" t="s">
        <v>60</v>
      </c>
      <c r="AF60" s="95" t="s">
        <v>60</v>
      </c>
      <c r="AG60" s="95"/>
    </row>
    <row r="61" spans="1:33">
      <c r="A61" s="92" t="s">
        <v>438</v>
      </c>
      <c r="B61" s="93" t="s">
        <v>324</v>
      </c>
      <c r="C61" s="98">
        <v>43746</v>
      </c>
      <c r="D61" s="95" t="s">
        <v>60</v>
      </c>
      <c r="E61" s="93">
        <v>62</v>
      </c>
      <c r="F61" s="96">
        <v>20760</v>
      </c>
      <c r="G61" s="93" t="s">
        <v>58</v>
      </c>
      <c r="H61" s="93" t="s">
        <v>116</v>
      </c>
      <c r="I61" s="93" t="s">
        <v>62</v>
      </c>
      <c r="J61" s="97" t="s">
        <v>324</v>
      </c>
      <c r="K61" s="93" t="s">
        <v>62</v>
      </c>
      <c r="L61" s="97" t="s">
        <v>324</v>
      </c>
      <c r="M61" s="93" t="s">
        <v>62</v>
      </c>
      <c r="N61" s="93" t="s">
        <v>324</v>
      </c>
      <c r="O61" s="93" t="s">
        <v>60</v>
      </c>
      <c r="P61" s="93" t="s">
        <v>62</v>
      </c>
      <c r="Q61" s="93" t="s">
        <v>439</v>
      </c>
      <c r="R61" s="93"/>
      <c r="S61" s="93"/>
      <c r="T61" s="93"/>
      <c r="U61" s="95" t="s">
        <v>60</v>
      </c>
      <c r="V61" s="95" t="s">
        <v>60</v>
      </c>
      <c r="W61" s="95" t="s">
        <v>60</v>
      </c>
      <c r="X61" s="95">
        <v>179.2</v>
      </c>
      <c r="Y61" s="95">
        <v>80.099999999999994</v>
      </c>
      <c r="Z61" s="95">
        <f t="shared" si="1"/>
        <v>24.943449059311227</v>
      </c>
      <c r="AA61" s="95" t="s">
        <v>325</v>
      </c>
      <c r="AB61" s="95" t="s">
        <v>60</v>
      </c>
      <c r="AC61" s="95"/>
      <c r="AD61" s="95" t="s">
        <v>60</v>
      </c>
      <c r="AE61" s="95" t="s">
        <v>60</v>
      </c>
      <c r="AF61" s="95"/>
      <c r="AG61" s="95"/>
    </row>
    <row r="62" spans="1:33">
      <c r="A62" s="92" t="s">
        <v>440</v>
      </c>
      <c r="B62" s="93" t="s">
        <v>324</v>
      </c>
      <c r="C62" s="94">
        <v>43760</v>
      </c>
      <c r="D62" s="95" t="s">
        <v>60</v>
      </c>
      <c r="E62" s="93">
        <v>27</v>
      </c>
      <c r="F62" s="96">
        <v>33793</v>
      </c>
      <c r="G62" s="93" t="s">
        <v>58</v>
      </c>
      <c r="H62" s="93" t="s">
        <v>116</v>
      </c>
      <c r="I62" s="93" t="s">
        <v>62</v>
      </c>
      <c r="J62" s="97" t="s">
        <v>324</v>
      </c>
      <c r="K62" s="93" t="s">
        <v>62</v>
      </c>
      <c r="L62" s="97" t="s">
        <v>324</v>
      </c>
      <c r="M62" s="93" t="s">
        <v>62</v>
      </c>
      <c r="N62" s="93" t="s">
        <v>324</v>
      </c>
      <c r="O62" s="93" t="s">
        <v>62</v>
      </c>
      <c r="P62" s="93" t="s">
        <v>324</v>
      </c>
      <c r="Q62" s="93"/>
      <c r="R62" s="93"/>
      <c r="S62" s="93"/>
      <c r="T62" s="93"/>
      <c r="U62" s="95" t="s">
        <v>60</v>
      </c>
      <c r="V62" s="95" t="s">
        <v>60</v>
      </c>
      <c r="W62" s="95" t="s">
        <v>60</v>
      </c>
      <c r="X62" s="95">
        <v>175</v>
      </c>
      <c r="Y62" s="95">
        <v>82.3</v>
      </c>
      <c r="Z62" s="95">
        <f t="shared" si="1"/>
        <v>26.873469387755101</v>
      </c>
      <c r="AA62" s="95" t="s">
        <v>325</v>
      </c>
      <c r="AB62" s="95" t="s">
        <v>60</v>
      </c>
      <c r="AC62" s="95" t="s">
        <v>60</v>
      </c>
      <c r="AD62" s="95" t="s">
        <v>60</v>
      </c>
      <c r="AE62" s="95" t="s">
        <v>60</v>
      </c>
      <c r="AF62" s="95" t="s">
        <v>60</v>
      </c>
      <c r="AG62" s="95"/>
    </row>
    <row r="63" spans="1:33" ht="28.8">
      <c r="A63" s="92" t="s">
        <v>441</v>
      </c>
      <c r="B63" s="93" t="s">
        <v>324</v>
      </c>
      <c r="C63" s="94">
        <v>43762</v>
      </c>
      <c r="D63" s="95" t="s">
        <v>60</v>
      </c>
      <c r="E63" s="93">
        <v>75</v>
      </c>
      <c r="F63" s="96">
        <v>16022</v>
      </c>
      <c r="G63" s="93" t="s">
        <v>61</v>
      </c>
      <c r="H63" s="93" t="s">
        <v>116</v>
      </c>
      <c r="I63" s="93" t="s">
        <v>62</v>
      </c>
      <c r="J63" s="97" t="s">
        <v>324</v>
      </c>
      <c r="K63" s="93" t="s">
        <v>60</v>
      </c>
      <c r="L63" s="97" t="s">
        <v>442</v>
      </c>
      <c r="M63" s="93" t="s">
        <v>62</v>
      </c>
      <c r="N63" s="93" t="s">
        <v>324</v>
      </c>
      <c r="O63" s="93" t="s">
        <v>62</v>
      </c>
      <c r="P63" s="93" t="s">
        <v>324</v>
      </c>
      <c r="Q63" s="93"/>
      <c r="R63" s="93"/>
      <c r="S63" s="93"/>
      <c r="T63" s="93"/>
      <c r="U63" s="95" t="s">
        <v>60</v>
      </c>
      <c r="V63" s="95" t="s">
        <v>60</v>
      </c>
      <c r="W63" s="95" t="s">
        <v>60</v>
      </c>
      <c r="X63" s="95">
        <v>169.1</v>
      </c>
      <c r="Y63" s="95">
        <v>70.7</v>
      </c>
      <c r="Z63" s="95">
        <f t="shared" si="1"/>
        <v>24.724766487345089</v>
      </c>
      <c r="AA63" s="95" t="s">
        <v>355</v>
      </c>
      <c r="AB63" s="95" t="s">
        <v>60</v>
      </c>
      <c r="AC63" s="95" t="s">
        <v>60</v>
      </c>
      <c r="AD63" s="95" t="s">
        <v>60</v>
      </c>
      <c r="AE63" s="95" t="s">
        <v>60</v>
      </c>
      <c r="AF63" s="95" t="s">
        <v>60</v>
      </c>
      <c r="AG63" s="95"/>
    </row>
    <row r="64" spans="1:33">
      <c r="A64" s="92" t="s">
        <v>443</v>
      </c>
      <c r="B64" s="93" t="s">
        <v>324</v>
      </c>
      <c r="C64" s="98">
        <v>43738</v>
      </c>
      <c r="D64" s="95" t="s">
        <v>60</v>
      </c>
      <c r="E64" s="93">
        <v>56</v>
      </c>
      <c r="F64" s="96">
        <v>23242</v>
      </c>
      <c r="G64" s="93" t="s">
        <v>58</v>
      </c>
      <c r="H64" s="93" t="s">
        <v>116</v>
      </c>
      <c r="I64" s="93" t="s">
        <v>62</v>
      </c>
      <c r="J64" s="97" t="s">
        <v>324</v>
      </c>
      <c r="K64" s="93" t="s">
        <v>62</v>
      </c>
      <c r="L64" s="97" t="s">
        <v>324</v>
      </c>
      <c r="M64" s="93" t="s">
        <v>62</v>
      </c>
      <c r="N64" s="93" t="s">
        <v>324</v>
      </c>
      <c r="O64" s="93" t="s">
        <v>62</v>
      </c>
      <c r="P64" s="93" t="s">
        <v>62</v>
      </c>
      <c r="Q64" s="93" t="s">
        <v>348</v>
      </c>
      <c r="R64" s="93"/>
      <c r="S64" s="93"/>
      <c r="T64" s="93"/>
      <c r="U64" s="95" t="s">
        <v>60</v>
      </c>
      <c r="V64" s="95" t="s">
        <v>60</v>
      </c>
      <c r="W64" s="95" t="s">
        <v>60</v>
      </c>
      <c r="X64" s="95">
        <v>174.9</v>
      </c>
      <c r="Y64" s="95">
        <v>94.15</v>
      </c>
      <c r="Z64" s="95">
        <f t="shared" si="1"/>
        <v>30.778021975148093</v>
      </c>
      <c r="AA64" s="95" t="s">
        <v>325</v>
      </c>
      <c r="AB64" s="95" t="s">
        <v>60</v>
      </c>
      <c r="AC64" s="95" t="s">
        <v>60</v>
      </c>
      <c r="AD64" s="95" t="s">
        <v>60</v>
      </c>
      <c r="AE64" s="95" t="s">
        <v>60</v>
      </c>
      <c r="AF64" s="95" t="s">
        <v>60</v>
      </c>
      <c r="AG64" s="95"/>
    </row>
    <row r="65" spans="1:33">
      <c r="A65" s="92" t="s">
        <v>444</v>
      </c>
      <c r="B65" s="93" t="s">
        <v>324</v>
      </c>
      <c r="C65" s="98">
        <v>43734</v>
      </c>
      <c r="D65" s="95" t="s">
        <v>60</v>
      </c>
      <c r="E65" s="93">
        <v>76</v>
      </c>
      <c r="F65" s="96">
        <v>15907</v>
      </c>
      <c r="G65" s="93" t="s">
        <v>58</v>
      </c>
      <c r="H65" s="93" t="s">
        <v>116</v>
      </c>
      <c r="I65" s="93" t="s">
        <v>62</v>
      </c>
      <c r="J65" s="97" t="s">
        <v>324</v>
      </c>
      <c r="K65" s="93" t="s">
        <v>62</v>
      </c>
      <c r="L65" s="97" t="s">
        <v>324</v>
      </c>
      <c r="M65" s="93" t="s">
        <v>62</v>
      </c>
      <c r="N65" s="93" t="s">
        <v>324</v>
      </c>
      <c r="O65" s="93" t="s">
        <v>62</v>
      </c>
      <c r="P65" s="93" t="s">
        <v>324</v>
      </c>
      <c r="Q65" s="93" t="s">
        <v>445</v>
      </c>
      <c r="R65" s="93"/>
      <c r="S65" s="93"/>
      <c r="T65" s="93"/>
      <c r="U65" s="95" t="s">
        <v>60</v>
      </c>
      <c r="V65" s="95" t="s">
        <v>60</v>
      </c>
      <c r="W65" s="95" t="s">
        <v>60</v>
      </c>
      <c r="X65" s="95">
        <v>176.4</v>
      </c>
      <c r="Y65" s="95">
        <v>76</v>
      </c>
      <c r="Z65" s="95">
        <f t="shared" si="1"/>
        <v>24.423979720383993</v>
      </c>
      <c r="AA65" s="95" t="s">
        <v>355</v>
      </c>
      <c r="AB65" s="95" t="s">
        <v>60</v>
      </c>
      <c r="AC65" s="95" t="s">
        <v>60</v>
      </c>
      <c r="AD65" s="95" t="s">
        <v>60</v>
      </c>
      <c r="AE65" s="95" t="s">
        <v>60</v>
      </c>
      <c r="AF65" s="95" t="s">
        <v>60</v>
      </c>
      <c r="AG65" s="95"/>
    </row>
    <row r="66" spans="1:33" ht="43.2">
      <c r="A66" s="92" t="s">
        <v>446</v>
      </c>
      <c r="B66" s="93" t="s">
        <v>324</v>
      </c>
      <c r="C66" s="98">
        <v>43734</v>
      </c>
      <c r="D66" s="95" t="s">
        <v>60</v>
      </c>
      <c r="E66" s="93">
        <v>69</v>
      </c>
      <c r="F66" s="96">
        <v>18281</v>
      </c>
      <c r="G66" s="93" t="s">
        <v>61</v>
      </c>
      <c r="H66" s="93" t="s">
        <v>116</v>
      </c>
      <c r="I66" s="93" t="s">
        <v>62</v>
      </c>
      <c r="J66" s="97" t="s">
        <v>324</v>
      </c>
      <c r="K66" s="93" t="s">
        <v>60</v>
      </c>
      <c r="L66" s="97" t="s">
        <v>447</v>
      </c>
      <c r="M66" s="93" t="s">
        <v>62</v>
      </c>
      <c r="N66" s="93" t="s">
        <v>324</v>
      </c>
      <c r="O66" s="93" t="s">
        <v>62</v>
      </c>
      <c r="P66" s="93" t="s">
        <v>324</v>
      </c>
      <c r="Q66" s="93" t="s">
        <v>348</v>
      </c>
      <c r="R66" s="93" t="s">
        <v>362</v>
      </c>
      <c r="S66" s="93" t="s">
        <v>445</v>
      </c>
      <c r="T66" s="93"/>
      <c r="U66" s="95" t="s">
        <v>60</v>
      </c>
      <c r="V66" s="95" t="s">
        <v>60</v>
      </c>
      <c r="W66" s="95" t="s">
        <v>60</v>
      </c>
      <c r="X66" s="95">
        <v>167.2</v>
      </c>
      <c r="Y66" s="95">
        <v>91</v>
      </c>
      <c r="Z66" s="95">
        <f t="shared" si="1"/>
        <v>32.551338110391249</v>
      </c>
      <c r="AA66" s="95" t="s">
        <v>355</v>
      </c>
      <c r="AB66" s="95" t="s">
        <v>60</v>
      </c>
      <c r="AC66" s="95" t="s">
        <v>60</v>
      </c>
      <c r="AD66" s="95" t="s">
        <v>60</v>
      </c>
      <c r="AE66" s="95" t="s">
        <v>60</v>
      </c>
      <c r="AF66" s="95" t="s">
        <v>60</v>
      </c>
      <c r="AG66" s="95"/>
    </row>
    <row r="67" spans="1:33">
      <c r="A67" s="92" t="s">
        <v>448</v>
      </c>
      <c r="B67" s="93" t="s">
        <v>324</v>
      </c>
      <c r="C67" s="98">
        <v>43732</v>
      </c>
      <c r="D67" s="95" t="s">
        <v>60</v>
      </c>
      <c r="E67" s="93">
        <v>81</v>
      </c>
      <c r="F67" s="96">
        <v>14078</v>
      </c>
      <c r="G67" s="93" t="s">
        <v>61</v>
      </c>
      <c r="H67" s="93" t="s">
        <v>146</v>
      </c>
      <c r="I67" s="93" t="s">
        <v>62</v>
      </c>
      <c r="J67" s="97" t="s">
        <v>324</v>
      </c>
      <c r="K67" s="93" t="s">
        <v>62</v>
      </c>
      <c r="L67" s="97" t="s">
        <v>324</v>
      </c>
      <c r="M67" s="93" t="s">
        <v>62</v>
      </c>
      <c r="N67" s="93" t="s">
        <v>324</v>
      </c>
      <c r="O67" s="93" t="s">
        <v>60</v>
      </c>
      <c r="P67" s="93" t="s">
        <v>60</v>
      </c>
      <c r="Q67" s="93" t="s">
        <v>348</v>
      </c>
      <c r="R67" s="93"/>
      <c r="S67" s="93"/>
      <c r="T67" s="93"/>
      <c r="U67" s="95" t="s">
        <v>60</v>
      </c>
      <c r="V67" s="95" t="s">
        <v>60</v>
      </c>
      <c r="W67" s="95" t="s">
        <v>60</v>
      </c>
      <c r="X67" s="95">
        <v>160</v>
      </c>
      <c r="Y67" s="95">
        <v>69</v>
      </c>
      <c r="Z67" s="95">
        <f t="shared" si="1"/>
        <v>26.953124999999996</v>
      </c>
      <c r="AA67" s="95" t="s">
        <v>355</v>
      </c>
      <c r="AB67" s="95" t="s">
        <v>60</v>
      </c>
      <c r="AC67" s="95"/>
      <c r="AD67" s="101" t="s">
        <v>60</v>
      </c>
      <c r="AE67" s="101" t="s">
        <v>60</v>
      </c>
      <c r="AF67" s="95"/>
      <c r="AG67" s="95"/>
    </row>
    <row r="68" spans="1:33" ht="57.6">
      <c r="A68" s="92" t="s">
        <v>449</v>
      </c>
      <c r="B68" s="93" t="s">
        <v>324</v>
      </c>
      <c r="C68" s="98">
        <v>43740</v>
      </c>
      <c r="D68" s="95" t="s">
        <v>60</v>
      </c>
      <c r="E68" s="93">
        <v>55</v>
      </c>
      <c r="F68" s="96">
        <v>23488</v>
      </c>
      <c r="G68" s="93" t="s">
        <v>58</v>
      </c>
      <c r="H68" s="93" t="s">
        <v>117</v>
      </c>
      <c r="I68" s="93" t="s">
        <v>62</v>
      </c>
      <c r="J68" s="97" t="s">
        <v>324</v>
      </c>
      <c r="K68" s="93" t="s">
        <v>60</v>
      </c>
      <c r="L68" s="97" t="s">
        <v>450</v>
      </c>
      <c r="M68" s="93" t="s">
        <v>62</v>
      </c>
      <c r="N68" s="93" t="s">
        <v>324</v>
      </c>
      <c r="O68" s="93" t="s">
        <v>60</v>
      </c>
      <c r="P68" s="93" t="s">
        <v>62</v>
      </c>
      <c r="Q68" s="93" t="s">
        <v>348</v>
      </c>
      <c r="R68" s="93" t="s">
        <v>451</v>
      </c>
      <c r="S68" s="93" t="s">
        <v>424</v>
      </c>
      <c r="T68" s="93"/>
      <c r="U68" s="95" t="s">
        <v>60</v>
      </c>
      <c r="V68" s="95" t="s">
        <v>60</v>
      </c>
      <c r="W68" s="95" t="s">
        <v>60</v>
      </c>
      <c r="X68" s="95">
        <v>176.4</v>
      </c>
      <c r="Y68" s="95">
        <v>94.7</v>
      </c>
      <c r="Z68" s="95">
        <f t="shared" si="1"/>
        <v>30.433564204215319</v>
      </c>
      <c r="AA68" s="95" t="s">
        <v>325</v>
      </c>
      <c r="AB68" s="95" t="s">
        <v>60</v>
      </c>
      <c r="AC68" s="95" t="s">
        <v>60</v>
      </c>
      <c r="AD68" s="95" t="s">
        <v>60</v>
      </c>
      <c r="AE68" s="95" t="s">
        <v>60</v>
      </c>
      <c r="AF68" s="95" t="s">
        <v>60</v>
      </c>
      <c r="AG68" s="95"/>
    </row>
    <row r="69" spans="1:33">
      <c r="A69" s="92" t="s">
        <v>452</v>
      </c>
      <c r="B69" s="93" t="s">
        <v>324</v>
      </c>
      <c r="C69" s="98">
        <v>43733</v>
      </c>
      <c r="D69" s="95" t="s">
        <v>60</v>
      </c>
      <c r="E69" s="93">
        <v>71</v>
      </c>
      <c r="F69" s="96">
        <v>17736</v>
      </c>
      <c r="G69" s="93" t="s">
        <v>58</v>
      </c>
      <c r="H69" s="93" t="s">
        <v>116</v>
      </c>
      <c r="I69" s="93" t="s">
        <v>62</v>
      </c>
      <c r="J69" s="97" t="s">
        <v>324</v>
      </c>
      <c r="K69" s="93" t="s">
        <v>62</v>
      </c>
      <c r="L69" s="97" t="s">
        <v>324</v>
      </c>
      <c r="M69" s="93" t="s">
        <v>62</v>
      </c>
      <c r="N69" s="93" t="s">
        <v>324</v>
      </c>
      <c r="O69" s="93" t="s">
        <v>62</v>
      </c>
      <c r="P69" s="93" t="s">
        <v>324</v>
      </c>
      <c r="Q69" s="93" t="s">
        <v>453</v>
      </c>
      <c r="R69" s="93" t="s">
        <v>454</v>
      </c>
      <c r="S69" s="93"/>
      <c r="T69" s="93"/>
      <c r="U69" s="95" t="s">
        <v>60</v>
      </c>
      <c r="V69" s="95" t="s">
        <v>60</v>
      </c>
      <c r="W69" s="95" t="s">
        <v>62</v>
      </c>
      <c r="X69" s="95">
        <v>183.2</v>
      </c>
      <c r="Y69" s="95">
        <v>77.3</v>
      </c>
      <c r="Z69" s="95">
        <f t="shared" ref="Z69:Z100" si="2">Y69/((X69/100)^2)</f>
        <v>23.031835777349784</v>
      </c>
      <c r="AA69" s="95" t="s">
        <v>355</v>
      </c>
      <c r="AB69" s="95" t="s">
        <v>60</v>
      </c>
      <c r="AC69" s="95" t="s">
        <v>60</v>
      </c>
      <c r="AD69" s="101" t="s">
        <v>60</v>
      </c>
      <c r="AE69" s="101" t="s">
        <v>60</v>
      </c>
      <c r="AF69" s="101" t="s">
        <v>60</v>
      </c>
      <c r="AG69" s="95"/>
    </row>
    <row r="70" spans="1:33" ht="43.2">
      <c r="A70" s="92" t="s">
        <v>455</v>
      </c>
      <c r="B70" s="93" t="s">
        <v>324</v>
      </c>
      <c r="C70" s="98">
        <v>43746</v>
      </c>
      <c r="D70" s="95" t="s">
        <v>60</v>
      </c>
      <c r="E70" s="93">
        <v>65</v>
      </c>
      <c r="F70" s="96">
        <v>19896</v>
      </c>
      <c r="G70" s="93" t="s">
        <v>61</v>
      </c>
      <c r="H70" s="93" t="s">
        <v>116</v>
      </c>
      <c r="I70" s="93" t="s">
        <v>62</v>
      </c>
      <c r="J70" s="97" t="s">
        <v>324</v>
      </c>
      <c r="K70" s="93" t="s">
        <v>60</v>
      </c>
      <c r="L70" s="97" t="s">
        <v>456</v>
      </c>
      <c r="M70" s="93" t="s">
        <v>62</v>
      </c>
      <c r="N70" s="93" t="s">
        <v>324</v>
      </c>
      <c r="O70" s="93" t="s">
        <v>60</v>
      </c>
      <c r="P70" s="93" t="s">
        <v>60</v>
      </c>
      <c r="Q70" s="93" t="s">
        <v>457</v>
      </c>
      <c r="R70" s="93" t="s">
        <v>458</v>
      </c>
      <c r="S70" s="93"/>
      <c r="T70" s="93"/>
      <c r="U70" s="95" t="s">
        <v>60</v>
      </c>
      <c r="V70" s="95" t="s">
        <v>60</v>
      </c>
      <c r="W70" s="95" t="s">
        <v>60</v>
      </c>
      <c r="X70" s="95">
        <v>163.80000000000001</v>
      </c>
      <c r="Y70" s="95">
        <v>106.3</v>
      </c>
      <c r="Z70" s="95">
        <f t="shared" si="2"/>
        <v>39.619178813318001</v>
      </c>
      <c r="AA70" s="95" t="s">
        <v>325</v>
      </c>
      <c r="AB70" s="95" t="s">
        <v>60</v>
      </c>
      <c r="AC70" s="95" t="s">
        <v>60</v>
      </c>
      <c r="AD70" s="95" t="s">
        <v>60</v>
      </c>
      <c r="AE70" s="95" t="s">
        <v>60</v>
      </c>
      <c r="AF70" s="95" t="s">
        <v>60</v>
      </c>
      <c r="AG70" s="95"/>
    </row>
    <row r="71" spans="1:33" ht="43.2">
      <c r="A71" s="136" t="s">
        <v>1099</v>
      </c>
      <c r="B71" s="93" t="s">
        <v>324</v>
      </c>
      <c r="C71" s="98">
        <v>43773</v>
      </c>
      <c r="D71" s="95" t="s">
        <v>60</v>
      </c>
      <c r="E71" s="93">
        <v>47</v>
      </c>
      <c r="F71" s="96">
        <v>26567</v>
      </c>
      <c r="G71" s="93" t="s">
        <v>61</v>
      </c>
      <c r="H71" s="93" t="s">
        <v>116</v>
      </c>
      <c r="I71" s="93" t="s">
        <v>62</v>
      </c>
      <c r="J71" s="97" t="s">
        <v>324</v>
      </c>
      <c r="K71" s="93" t="s">
        <v>60</v>
      </c>
      <c r="L71" s="97" t="s">
        <v>459</v>
      </c>
      <c r="M71" s="93" t="s">
        <v>62</v>
      </c>
      <c r="N71" s="93" t="s">
        <v>324</v>
      </c>
      <c r="O71" s="93" t="s">
        <v>62</v>
      </c>
      <c r="P71" s="93" t="s">
        <v>324</v>
      </c>
      <c r="Q71" s="93"/>
      <c r="R71" s="93"/>
      <c r="S71" s="93"/>
      <c r="T71" s="93"/>
      <c r="U71" s="95" t="s">
        <v>60</v>
      </c>
      <c r="V71" s="95" t="s">
        <v>60</v>
      </c>
      <c r="W71" s="95" t="s">
        <v>60</v>
      </c>
      <c r="X71" s="95">
        <v>167.5</v>
      </c>
      <c r="Y71" s="95">
        <v>168</v>
      </c>
      <c r="Z71" s="95">
        <f t="shared" si="2"/>
        <v>59.87970594787258</v>
      </c>
      <c r="AA71" s="95" t="s">
        <v>325</v>
      </c>
      <c r="AB71" s="95" t="s">
        <v>60</v>
      </c>
      <c r="AC71" s="95"/>
      <c r="AD71" s="95" t="s">
        <v>60</v>
      </c>
      <c r="AE71" s="95" t="s">
        <v>60</v>
      </c>
      <c r="AF71" s="95"/>
      <c r="AG71" s="95"/>
    </row>
    <row r="72" spans="1:33">
      <c r="A72" s="92" t="s">
        <v>460</v>
      </c>
      <c r="B72" s="93" t="s">
        <v>324</v>
      </c>
      <c r="C72" s="98">
        <v>43739</v>
      </c>
      <c r="D72" s="95" t="s">
        <v>60</v>
      </c>
      <c r="E72" s="93">
        <v>68</v>
      </c>
      <c r="F72" s="96">
        <v>18672</v>
      </c>
      <c r="G72" s="93" t="s">
        <v>58</v>
      </c>
      <c r="H72" s="93" t="s">
        <v>116</v>
      </c>
      <c r="I72" s="93" t="s">
        <v>62</v>
      </c>
      <c r="J72" s="97" t="s">
        <v>324</v>
      </c>
      <c r="K72" s="93" t="s">
        <v>60</v>
      </c>
      <c r="L72" s="97" t="s">
        <v>461</v>
      </c>
      <c r="M72" s="93" t="s">
        <v>62</v>
      </c>
      <c r="N72" s="93" t="s">
        <v>324</v>
      </c>
      <c r="O72" s="93" t="s">
        <v>62</v>
      </c>
      <c r="P72" s="93" t="s">
        <v>324</v>
      </c>
      <c r="Q72" s="93" t="s">
        <v>454</v>
      </c>
      <c r="R72" s="93"/>
      <c r="S72" s="93"/>
      <c r="T72" s="93"/>
      <c r="U72" s="95" t="s">
        <v>60</v>
      </c>
      <c r="V72" s="95" t="s">
        <v>60</v>
      </c>
      <c r="W72" s="95" t="s">
        <v>60</v>
      </c>
      <c r="X72" s="95">
        <v>168</v>
      </c>
      <c r="Y72" s="95">
        <v>82.6</v>
      </c>
      <c r="Z72" s="95">
        <f t="shared" si="2"/>
        <v>29.265873015873019</v>
      </c>
      <c r="AA72" s="95" t="s">
        <v>355</v>
      </c>
      <c r="AB72" s="95" t="s">
        <v>60</v>
      </c>
      <c r="AC72" s="95" t="s">
        <v>60</v>
      </c>
      <c r="AD72" s="95" t="s">
        <v>60</v>
      </c>
      <c r="AE72" s="95" t="s">
        <v>60</v>
      </c>
      <c r="AF72" s="95"/>
      <c r="AG72" s="95"/>
    </row>
    <row r="73" spans="1:33" ht="28.8">
      <c r="A73" s="92" t="s">
        <v>462</v>
      </c>
      <c r="B73" s="93" t="s">
        <v>324</v>
      </c>
      <c r="C73" s="94">
        <v>43755</v>
      </c>
      <c r="D73" s="95" t="s">
        <v>60</v>
      </c>
      <c r="E73" s="93">
        <v>69</v>
      </c>
      <c r="F73" s="96">
        <v>18381</v>
      </c>
      <c r="G73" s="93" t="s">
        <v>61</v>
      </c>
      <c r="H73" s="93" t="s">
        <v>116</v>
      </c>
      <c r="I73" s="93" t="s">
        <v>62</v>
      </c>
      <c r="J73" s="97" t="s">
        <v>324</v>
      </c>
      <c r="K73" s="93" t="s">
        <v>60</v>
      </c>
      <c r="L73" s="97" t="s">
        <v>463</v>
      </c>
      <c r="M73" s="93" t="s">
        <v>62</v>
      </c>
      <c r="N73" s="93" t="s">
        <v>324</v>
      </c>
      <c r="O73" s="93" t="s">
        <v>62</v>
      </c>
      <c r="P73" s="93" t="s">
        <v>324</v>
      </c>
      <c r="Q73" s="93"/>
      <c r="R73" s="93"/>
      <c r="S73" s="93"/>
      <c r="T73" s="93"/>
      <c r="U73" s="95" t="s">
        <v>60</v>
      </c>
      <c r="V73" s="95" t="s">
        <v>60</v>
      </c>
      <c r="W73" s="95" t="s">
        <v>60</v>
      </c>
      <c r="X73" s="95">
        <v>166.3</v>
      </c>
      <c r="Y73" s="95">
        <v>89.2</v>
      </c>
      <c r="Z73" s="95">
        <f t="shared" si="2"/>
        <v>32.253760437725475</v>
      </c>
      <c r="AA73" s="95" t="s">
        <v>355</v>
      </c>
      <c r="AB73" s="95" t="s">
        <v>60</v>
      </c>
      <c r="AC73" s="95" t="s">
        <v>60</v>
      </c>
      <c r="AD73" s="95" t="s">
        <v>60</v>
      </c>
      <c r="AE73" s="95" t="s">
        <v>60</v>
      </c>
      <c r="AF73" s="95"/>
      <c r="AG73" s="95"/>
    </row>
    <row r="74" spans="1:33" ht="72">
      <c r="A74" s="92" t="s">
        <v>464</v>
      </c>
      <c r="B74" s="93" t="s">
        <v>324</v>
      </c>
      <c r="C74" s="98">
        <v>43739</v>
      </c>
      <c r="D74" s="95" t="s">
        <v>60</v>
      </c>
      <c r="E74" s="93">
        <v>70</v>
      </c>
      <c r="F74" s="96">
        <v>17960</v>
      </c>
      <c r="G74" s="93" t="s">
        <v>61</v>
      </c>
      <c r="H74" s="93" t="s">
        <v>116</v>
      </c>
      <c r="I74" s="93" t="s">
        <v>62</v>
      </c>
      <c r="J74" s="97" t="s">
        <v>324</v>
      </c>
      <c r="K74" s="93" t="s">
        <v>60</v>
      </c>
      <c r="L74" s="97" t="s">
        <v>465</v>
      </c>
      <c r="M74" s="93" t="s">
        <v>62</v>
      </c>
      <c r="N74" s="93" t="s">
        <v>324</v>
      </c>
      <c r="O74" s="93" t="s">
        <v>62</v>
      </c>
      <c r="P74" s="93" t="s">
        <v>324</v>
      </c>
      <c r="Q74" s="93"/>
      <c r="R74" s="93"/>
      <c r="S74" s="93"/>
      <c r="T74" s="93"/>
      <c r="U74" s="95" t="s">
        <v>60</v>
      </c>
      <c r="V74" s="95" t="s">
        <v>60</v>
      </c>
      <c r="W74" s="95" t="s">
        <v>60</v>
      </c>
      <c r="X74" s="95">
        <v>173.5</v>
      </c>
      <c r="Y74" s="95">
        <v>68.7</v>
      </c>
      <c r="Z74" s="95">
        <f t="shared" si="2"/>
        <v>22.822214286307503</v>
      </c>
      <c r="AA74" s="95" t="s">
        <v>325</v>
      </c>
      <c r="AB74" s="95" t="s">
        <v>60</v>
      </c>
      <c r="AC74" s="95" t="s">
        <v>60</v>
      </c>
      <c r="AD74" s="95" t="s">
        <v>60</v>
      </c>
      <c r="AE74" s="95" t="s">
        <v>60</v>
      </c>
      <c r="AF74" s="95" t="s">
        <v>60</v>
      </c>
      <c r="AG74" s="95"/>
    </row>
    <row r="75" spans="1:33" ht="43.2">
      <c r="A75" s="92" t="s">
        <v>466</v>
      </c>
      <c r="B75" s="93" t="s">
        <v>324</v>
      </c>
      <c r="C75" s="98">
        <v>43745</v>
      </c>
      <c r="D75" s="95" t="s">
        <v>60</v>
      </c>
      <c r="E75" s="93">
        <v>60</v>
      </c>
      <c r="F75" s="96">
        <v>21674</v>
      </c>
      <c r="G75" s="93" t="s">
        <v>58</v>
      </c>
      <c r="H75" s="93" t="s">
        <v>116</v>
      </c>
      <c r="I75" s="93" t="s">
        <v>62</v>
      </c>
      <c r="J75" s="97" t="s">
        <v>324</v>
      </c>
      <c r="K75" s="93" t="s">
        <v>60</v>
      </c>
      <c r="L75" s="97" t="s">
        <v>467</v>
      </c>
      <c r="M75" s="93" t="s">
        <v>62</v>
      </c>
      <c r="N75" s="93" t="s">
        <v>324</v>
      </c>
      <c r="O75" s="93" t="s">
        <v>62</v>
      </c>
      <c r="P75" s="93" t="s">
        <v>324</v>
      </c>
      <c r="Q75" s="93" t="s">
        <v>468</v>
      </c>
      <c r="R75" s="93" t="s">
        <v>362</v>
      </c>
      <c r="S75" s="93" t="s">
        <v>469</v>
      </c>
      <c r="T75" s="93"/>
      <c r="U75" s="95" t="s">
        <v>60</v>
      </c>
      <c r="V75" s="95" t="s">
        <v>60</v>
      </c>
      <c r="W75" s="95" t="s">
        <v>390</v>
      </c>
      <c r="X75" s="95">
        <v>178.1</v>
      </c>
      <c r="Y75" s="95">
        <v>88.2</v>
      </c>
      <c r="Z75" s="95">
        <f t="shared" si="2"/>
        <v>27.806142635423328</v>
      </c>
      <c r="AA75" s="95" t="s">
        <v>325</v>
      </c>
      <c r="AB75" s="95" t="s">
        <v>60</v>
      </c>
      <c r="AC75" s="95" t="s">
        <v>60</v>
      </c>
      <c r="AD75" s="95" t="s">
        <v>60</v>
      </c>
      <c r="AE75" s="95" t="s">
        <v>60</v>
      </c>
      <c r="AF75" s="95" t="s">
        <v>60</v>
      </c>
      <c r="AG75" s="95"/>
    </row>
    <row r="76" spans="1:33">
      <c r="A76" s="92" t="s">
        <v>470</v>
      </c>
      <c r="B76" s="93" t="s">
        <v>324</v>
      </c>
      <c r="C76" s="94">
        <v>43760</v>
      </c>
      <c r="D76" s="95" t="s">
        <v>60</v>
      </c>
      <c r="E76" s="93">
        <v>31</v>
      </c>
      <c r="F76" s="96">
        <v>32367</v>
      </c>
      <c r="G76" s="93" t="s">
        <v>58</v>
      </c>
      <c r="H76" s="93" t="s">
        <v>116</v>
      </c>
      <c r="I76" s="93" t="s">
        <v>62</v>
      </c>
      <c r="J76" s="97" t="s">
        <v>324</v>
      </c>
      <c r="K76" s="93" t="s">
        <v>62</v>
      </c>
      <c r="L76" s="97" t="s">
        <v>324</v>
      </c>
      <c r="M76" s="93" t="s">
        <v>62</v>
      </c>
      <c r="N76" s="93" t="s">
        <v>324</v>
      </c>
      <c r="O76" s="93" t="s">
        <v>62</v>
      </c>
      <c r="P76" s="93" t="s">
        <v>324</v>
      </c>
      <c r="Q76" s="93"/>
      <c r="R76" s="93"/>
      <c r="S76" s="93"/>
      <c r="T76" s="93"/>
      <c r="U76" s="95" t="s">
        <v>60</v>
      </c>
      <c r="V76" s="95" t="s">
        <v>60</v>
      </c>
      <c r="W76" s="95" t="s">
        <v>60</v>
      </c>
      <c r="X76" s="95">
        <v>185</v>
      </c>
      <c r="Y76" s="95">
        <v>95.5</v>
      </c>
      <c r="Z76" s="95">
        <f t="shared" si="2"/>
        <v>27.903579254930605</v>
      </c>
      <c r="AA76" s="95" t="s">
        <v>325</v>
      </c>
      <c r="AB76" s="95" t="s">
        <v>60</v>
      </c>
      <c r="AC76" s="95" t="s">
        <v>60</v>
      </c>
      <c r="AD76" s="95" t="s">
        <v>60</v>
      </c>
      <c r="AE76" s="95" t="s">
        <v>60</v>
      </c>
      <c r="AF76" s="95" t="s">
        <v>60</v>
      </c>
      <c r="AG76" s="95"/>
    </row>
    <row r="77" spans="1:33" ht="28.8">
      <c r="A77" s="92" t="s">
        <v>471</v>
      </c>
      <c r="B77" s="93" t="s">
        <v>324</v>
      </c>
      <c r="C77" s="94">
        <v>43748</v>
      </c>
      <c r="D77" s="95" t="s">
        <v>60</v>
      </c>
      <c r="E77" s="93">
        <v>67</v>
      </c>
      <c r="F77" s="96">
        <v>19270</v>
      </c>
      <c r="G77" s="93" t="s">
        <v>58</v>
      </c>
      <c r="H77" s="93" t="s">
        <v>472</v>
      </c>
      <c r="I77" s="93" t="s">
        <v>62</v>
      </c>
      <c r="J77" s="97" t="s">
        <v>324</v>
      </c>
      <c r="K77" s="93" t="s">
        <v>60</v>
      </c>
      <c r="L77" s="97" t="s">
        <v>473</v>
      </c>
      <c r="M77" s="93" t="s">
        <v>62</v>
      </c>
      <c r="N77" s="93" t="s">
        <v>324</v>
      </c>
      <c r="O77" s="93" t="s">
        <v>62</v>
      </c>
      <c r="P77" s="93" t="s">
        <v>324</v>
      </c>
      <c r="Q77" s="93" t="s">
        <v>474</v>
      </c>
      <c r="R77" s="93"/>
      <c r="S77" s="93"/>
      <c r="T77" s="93"/>
      <c r="U77" s="95" t="s">
        <v>60</v>
      </c>
      <c r="V77" s="95" t="s">
        <v>60</v>
      </c>
      <c r="W77" s="95" t="s">
        <v>60</v>
      </c>
      <c r="X77" s="95">
        <v>184.9</v>
      </c>
      <c r="Y77" s="95">
        <v>112.9</v>
      </c>
      <c r="Z77" s="95">
        <f t="shared" si="2"/>
        <v>33.023273363965906</v>
      </c>
      <c r="AA77" s="95" t="s">
        <v>355</v>
      </c>
      <c r="AB77" s="95" t="s">
        <v>60</v>
      </c>
      <c r="AC77" s="95" t="s">
        <v>60</v>
      </c>
      <c r="AD77" s="95" t="s">
        <v>60</v>
      </c>
      <c r="AE77" s="95" t="s">
        <v>60</v>
      </c>
      <c r="AF77" s="95" t="s">
        <v>60</v>
      </c>
      <c r="AG77" s="95"/>
    </row>
    <row r="78" spans="1:33">
      <c r="A78" s="92" t="s">
        <v>475</v>
      </c>
      <c r="B78" s="93" t="s">
        <v>324</v>
      </c>
      <c r="C78" s="98">
        <v>43740</v>
      </c>
      <c r="D78" s="95" t="s">
        <v>60</v>
      </c>
      <c r="E78" s="93">
        <v>64</v>
      </c>
      <c r="F78" s="96">
        <v>20206</v>
      </c>
      <c r="G78" s="93" t="s">
        <v>58</v>
      </c>
      <c r="H78" s="93" t="s">
        <v>63</v>
      </c>
      <c r="I78" s="93" t="s">
        <v>62</v>
      </c>
      <c r="J78" s="97" t="s">
        <v>324</v>
      </c>
      <c r="K78" s="93" t="s">
        <v>62</v>
      </c>
      <c r="L78" s="97" t="s">
        <v>324</v>
      </c>
      <c r="M78" s="93" t="s">
        <v>62</v>
      </c>
      <c r="N78" s="93" t="s">
        <v>324</v>
      </c>
      <c r="O78" s="93" t="s">
        <v>60</v>
      </c>
      <c r="P78" s="93" t="s">
        <v>60</v>
      </c>
      <c r="Q78" s="93" t="s">
        <v>476</v>
      </c>
      <c r="R78" s="93" t="s">
        <v>477</v>
      </c>
      <c r="S78" s="93" t="s">
        <v>348</v>
      </c>
      <c r="T78" s="93" t="s">
        <v>478</v>
      </c>
      <c r="U78" s="95" t="s">
        <v>60</v>
      </c>
      <c r="V78" s="95" t="s">
        <v>60</v>
      </c>
      <c r="W78" s="95" t="s">
        <v>60</v>
      </c>
      <c r="X78" s="95">
        <v>169.6</v>
      </c>
      <c r="Y78" s="95">
        <v>68.8</v>
      </c>
      <c r="Z78" s="95">
        <f t="shared" si="2"/>
        <v>23.918654325382697</v>
      </c>
      <c r="AA78" s="95" t="s">
        <v>325</v>
      </c>
      <c r="AB78" s="95" t="s">
        <v>60</v>
      </c>
      <c r="AC78" s="95" t="s">
        <v>60</v>
      </c>
      <c r="AD78" s="95" t="s">
        <v>60</v>
      </c>
      <c r="AE78" s="95" t="s">
        <v>60</v>
      </c>
      <c r="AF78" s="95" t="s">
        <v>60</v>
      </c>
      <c r="AG78" s="95"/>
    </row>
    <row r="79" spans="1:33" ht="28.8">
      <c r="A79" s="92" t="s">
        <v>479</v>
      </c>
      <c r="B79" s="93" t="s">
        <v>324</v>
      </c>
      <c r="C79" s="98">
        <v>43777</v>
      </c>
      <c r="D79" s="95" t="s">
        <v>60</v>
      </c>
      <c r="E79" s="93">
        <v>35</v>
      </c>
      <c r="F79" s="96">
        <v>30791</v>
      </c>
      <c r="G79" s="93" t="s">
        <v>58</v>
      </c>
      <c r="H79" s="93" t="s">
        <v>116</v>
      </c>
      <c r="I79" s="93" t="s">
        <v>60</v>
      </c>
      <c r="J79" s="97" t="s">
        <v>367</v>
      </c>
      <c r="K79" s="93" t="s">
        <v>62</v>
      </c>
      <c r="L79" s="97" t="s">
        <v>324</v>
      </c>
      <c r="M79" s="93" t="s">
        <v>62</v>
      </c>
      <c r="N79" s="93" t="s">
        <v>324</v>
      </c>
      <c r="O79" s="93" t="s">
        <v>62</v>
      </c>
      <c r="P79" s="93" t="s">
        <v>324</v>
      </c>
      <c r="Q79" s="93"/>
      <c r="R79" s="93"/>
      <c r="S79" s="93"/>
      <c r="T79" s="93"/>
      <c r="U79" s="95" t="s">
        <v>60</v>
      </c>
      <c r="V79" s="95" t="s">
        <v>60</v>
      </c>
      <c r="W79" s="95" t="s">
        <v>62</v>
      </c>
      <c r="X79" s="95">
        <v>173.7</v>
      </c>
      <c r="Y79" s="95">
        <v>77.8</v>
      </c>
      <c r="Z79" s="95">
        <f t="shared" si="2"/>
        <v>25.78576142072254</v>
      </c>
      <c r="AA79" s="95" t="s">
        <v>325</v>
      </c>
      <c r="AB79" s="95" t="s">
        <v>60</v>
      </c>
      <c r="AC79" s="95" t="s">
        <v>60</v>
      </c>
      <c r="AD79" s="95" t="s">
        <v>60</v>
      </c>
      <c r="AE79" s="95" t="s">
        <v>60</v>
      </c>
      <c r="AF79" s="95"/>
      <c r="AG79" s="95"/>
    </row>
    <row r="80" spans="1:33">
      <c r="A80" s="92" t="s">
        <v>480</v>
      </c>
      <c r="B80" s="93" t="s">
        <v>324</v>
      </c>
      <c r="C80" s="98">
        <v>43739</v>
      </c>
      <c r="D80" s="95" t="s">
        <v>60</v>
      </c>
      <c r="E80" s="93">
        <v>60</v>
      </c>
      <c r="F80" s="96">
        <v>21671</v>
      </c>
      <c r="G80" s="93" t="s">
        <v>58</v>
      </c>
      <c r="H80" s="93" t="s">
        <v>116</v>
      </c>
      <c r="I80" s="93" t="s">
        <v>62</v>
      </c>
      <c r="J80" s="97" t="s">
        <v>324</v>
      </c>
      <c r="K80" s="93" t="s">
        <v>62</v>
      </c>
      <c r="L80" s="97" t="s">
        <v>324</v>
      </c>
      <c r="M80" s="93" t="s">
        <v>62</v>
      </c>
      <c r="N80" s="93" t="s">
        <v>324</v>
      </c>
      <c r="O80" s="93" t="s">
        <v>62</v>
      </c>
      <c r="P80" s="93" t="s">
        <v>324</v>
      </c>
      <c r="Q80" s="93" t="s">
        <v>348</v>
      </c>
      <c r="R80" s="93"/>
      <c r="S80" s="93"/>
      <c r="T80" s="93"/>
      <c r="U80" s="95" t="s">
        <v>60</v>
      </c>
      <c r="V80" s="95" t="s">
        <v>60</v>
      </c>
      <c r="W80" s="95" t="s">
        <v>60</v>
      </c>
      <c r="X80" s="95">
        <v>185.5</v>
      </c>
      <c r="Y80" s="95">
        <v>104</v>
      </c>
      <c r="Z80" s="95">
        <f t="shared" si="2"/>
        <v>30.223552575177457</v>
      </c>
      <c r="AA80" s="95" t="s">
        <v>325</v>
      </c>
      <c r="AB80" s="95" t="s">
        <v>60</v>
      </c>
      <c r="AC80" s="95" t="s">
        <v>60</v>
      </c>
      <c r="AD80" s="95" t="s">
        <v>60</v>
      </c>
      <c r="AE80" s="95" t="s">
        <v>60</v>
      </c>
      <c r="AF80" s="95" t="s">
        <v>60</v>
      </c>
      <c r="AG80" s="95"/>
    </row>
    <row r="81" spans="1:33" ht="43.2">
      <c r="A81" s="92" t="s">
        <v>481</v>
      </c>
      <c r="B81" s="93" t="s">
        <v>324</v>
      </c>
      <c r="C81" s="98">
        <v>43742</v>
      </c>
      <c r="D81" s="95" t="s">
        <v>60</v>
      </c>
      <c r="E81" s="93">
        <v>78</v>
      </c>
      <c r="F81" s="96">
        <v>15035</v>
      </c>
      <c r="G81" s="93" t="s">
        <v>61</v>
      </c>
      <c r="H81" s="93" t="s">
        <v>116</v>
      </c>
      <c r="I81" s="93" t="s">
        <v>62</v>
      </c>
      <c r="J81" s="97" t="s">
        <v>324</v>
      </c>
      <c r="K81" s="93" t="s">
        <v>60</v>
      </c>
      <c r="L81" s="97" t="s">
        <v>482</v>
      </c>
      <c r="M81" s="93" t="s">
        <v>62</v>
      </c>
      <c r="N81" s="93" t="s">
        <v>324</v>
      </c>
      <c r="O81" s="93" t="s">
        <v>62</v>
      </c>
      <c r="P81" s="93" t="s">
        <v>324</v>
      </c>
      <c r="Q81" s="93" t="s">
        <v>483</v>
      </c>
      <c r="R81" s="93" t="s">
        <v>348</v>
      </c>
      <c r="S81" s="93" t="s">
        <v>484</v>
      </c>
      <c r="T81" s="93"/>
      <c r="U81" s="95" t="s">
        <v>60</v>
      </c>
      <c r="V81" s="95" t="s">
        <v>60</v>
      </c>
      <c r="W81" s="95" t="s">
        <v>60</v>
      </c>
      <c r="X81" s="95">
        <v>159</v>
      </c>
      <c r="Y81" s="95">
        <v>64.3</v>
      </c>
      <c r="Z81" s="95">
        <f t="shared" si="2"/>
        <v>25.434120485740277</v>
      </c>
      <c r="AA81" s="95" t="s">
        <v>355</v>
      </c>
      <c r="AB81" s="95" t="s">
        <v>60</v>
      </c>
      <c r="AC81" s="95" t="s">
        <v>60</v>
      </c>
      <c r="AD81" s="95" t="s">
        <v>60</v>
      </c>
      <c r="AE81" s="95" t="s">
        <v>60</v>
      </c>
      <c r="AF81" s="95" t="s">
        <v>60</v>
      </c>
      <c r="AG81" s="95"/>
    </row>
    <row r="82" spans="1:33">
      <c r="A82" s="92" t="s">
        <v>485</v>
      </c>
      <c r="B82" s="93" t="s">
        <v>324</v>
      </c>
      <c r="C82" s="98">
        <v>43806</v>
      </c>
      <c r="D82" s="95" t="s">
        <v>60</v>
      </c>
      <c r="E82" s="93">
        <v>25</v>
      </c>
      <c r="F82" s="96">
        <v>34560</v>
      </c>
      <c r="G82" s="93" t="s">
        <v>58</v>
      </c>
      <c r="H82" s="93" t="s">
        <v>116</v>
      </c>
      <c r="I82" s="93" t="s">
        <v>62</v>
      </c>
      <c r="J82" s="97" t="s">
        <v>324</v>
      </c>
      <c r="K82" s="93" t="s">
        <v>62</v>
      </c>
      <c r="L82" s="97" t="s">
        <v>324</v>
      </c>
      <c r="M82" s="93" t="s">
        <v>62</v>
      </c>
      <c r="N82" s="93" t="s">
        <v>324</v>
      </c>
      <c r="O82" s="93" t="s">
        <v>62</v>
      </c>
      <c r="P82" s="93" t="s">
        <v>324</v>
      </c>
      <c r="Q82" s="93"/>
      <c r="R82" s="93"/>
      <c r="S82" s="93"/>
      <c r="T82" s="93"/>
      <c r="U82" s="95" t="s">
        <v>60</v>
      </c>
      <c r="V82" s="95" t="s">
        <v>60</v>
      </c>
      <c r="W82" s="95" t="s">
        <v>60</v>
      </c>
      <c r="X82" s="95">
        <v>170.4</v>
      </c>
      <c r="Y82" s="95">
        <v>89.2</v>
      </c>
      <c r="Z82" s="95">
        <f t="shared" si="2"/>
        <v>30.720315634023233</v>
      </c>
      <c r="AA82" s="95" t="s">
        <v>325</v>
      </c>
      <c r="AB82" s="95" t="s">
        <v>60</v>
      </c>
      <c r="AC82" s="95" t="s">
        <v>60</v>
      </c>
      <c r="AD82" s="95" t="s">
        <v>60</v>
      </c>
      <c r="AE82" s="95" t="s">
        <v>60</v>
      </c>
      <c r="AF82" s="95"/>
      <c r="AG82" s="95"/>
    </row>
    <row r="83" spans="1:33" ht="43.2">
      <c r="A83" s="92" t="s">
        <v>486</v>
      </c>
      <c r="B83" s="93" t="s">
        <v>324</v>
      </c>
      <c r="C83" s="98">
        <v>43781</v>
      </c>
      <c r="D83" s="95" t="s">
        <v>60</v>
      </c>
      <c r="E83" s="93">
        <v>34</v>
      </c>
      <c r="F83" s="96">
        <v>31305</v>
      </c>
      <c r="G83" s="93" t="s">
        <v>58</v>
      </c>
      <c r="H83" s="93" t="s">
        <v>116</v>
      </c>
      <c r="I83" s="93" t="s">
        <v>62</v>
      </c>
      <c r="J83" s="97" t="s">
        <v>324</v>
      </c>
      <c r="K83" s="93" t="s">
        <v>60</v>
      </c>
      <c r="L83" s="97" t="s">
        <v>487</v>
      </c>
      <c r="M83" s="93" t="s">
        <v>62</v>
      </c>
      <c r="N83" s="93" t="s">
        <v>324</v>
      </c>
      <c r="O83" s="93" t="s">
        <v>62</v>
      </c>
      <c r="P83" s="93" t="s">
        <v>324</v>
      </c>
      <c r="Q83" s="93"/>
      <c r="R83" s="93"/>
      <c r="S83" s="93"/>
      <c r="T83" s="93"/>
      <c r="U83" s="95" t="s">
        <v>60</v>
      </c>
      <c r="V83" s="95" t="s">
        <v>60</v>
      </c>
      <c r="W83" s="95" t="s">
        <v>60</v>
      </c>
      <c r="X83" s="95">
        <v>167.5</v>
      </c>
      <c r="Y83" s="95">
        <v>92.7</v>
      </c>
      <c r="Z83" s="95">
        <f t="shared" si="2"/>
        <v>33.040766317665408</v>
      </c>
      <c r="AA83" s="95" t="s">
        <v>325</v>
      </c>
      <c r="AB83" s="95" t="s">
        <v>60</v>
      </c>
      <c r="AC83" s="95"/>
      <c r="AD83" s="95" t="s">
        <v>60</v>
      </c>
      <c r="AE83" s="95" t="s">
        <v>60</v>
      </c>
      <c r="AF83" s="95" t="s">
        <v>60</v>
      </c>
      <c r="AG83" s="95"/>
    </row>
    <row r="84" spans="1:33">
      <c r="A84" s="92" t="s">
        <v>488</v>
      </c>
      <c r="B84" s="93" t="s">
        <v>324</v>
      </c>
      <c r="C84" s="98">
        <v>43738</v>
      </c>
      <c r="D84" s="95" t="s">
        <v>60</v>
      </c>
      <c r="E84" s="93">
        <v>61</v>
      </c>
      <c r="F84" s="96">
        <v>21188</v>
      </c>
      <c r="G84" s="93" t="s">
        <v>61</v>
      </c>
      <c r="H84" s="93" t="s">
        <v>116</v>
      </c>
      <c r="I84" s="93" t="s">
        <v>62</v>
      </c>
      <c r="J84" s="97" t="s">
        <v>324</v>
      </c>
      <c r="K84" s="93" t="s">
        <v>62</v>
      </c>
      <c r="L84" s="97" t="s">
        <v>324</v>
      </c>
      <c r="M84" s="93" t="s">
        <v>62</v>
      </c>
      <c r="N84" s="93" t="s">
        <v>324</v>
      </c>
      <c r="O84" s="93" t="s">
        <v>62</v>
      </c>
      <c r="P84" s="93" t="s">
        <v>324</v>
      </c>
      <c r="Q84" s="93" t="s">
        <v>348</v>
      </c>
      <c r="R84" s="93"/>
      <c r="S84" s="93"/>
      <c r="T84" s="93"/>
      <c r="U84" s="95" t="s">
        <v>60</v>
      </c>
      <c r="V84" s="95" t="s">
        <v>60</v>
      </c>
      <c r="W84" s="95" t="s">
        <v>60</v>
      </c>
      <c r="X84" s="95">
        <v>159.9</v>
      </c>
      <c r="Y84" s="95">
        <v>58.7</v>
      </c>
      <c r="Z84" s="95">
        <f t="shared" si="2"/>
        <v>22.958376502512319</v>
      </c>
      <c r="AA84" s="95" t="s">
        <v>325</v>
      </c>
      <c r="AB84" s="95" t="s">
        <v>60</v>
      </c>
      <c r="AC84" s="95" t="s">
        <v>60</v>
      </c>
      <c r="AD84" s="95" t="s">
        <v>60</v>
      </c>
      <c r="AE84" s="95" t="s">
        <v>60</v>
      </c>
      <c r="AF84" s="95" t="s">
        <v>60</v>
      </c>
      <c r="AG84" s="95"/>
    </row>
    <row r="85" spans="1:33" ht="28.8">
      <c r="A85" s="136" t="s">
        <v>1100</v>
      </c>
      <c r="B85" s="93" t="s">
        <v>324</v>
      </c>
      <c r="C85" s="98">
        <v>43773</v>
      </c>
      <c r="D85" s="95" t="s">
        <v>60</v>
      </c>
      <c r="E85" s="93">
        <v>38</v>
      </c>
      <c r="F85" s="96">
        <v>29668</v>
      </c>
      <c r="G85" s="93" t="s">
        <v>61</v>
      </c>
      <c r="H85" s="93" t="s">
        <v>116</v>
      </c>
      <c r="I85" s="93" t="s">
        <v>62</v>
      </c>
      <c r="J85" s="97" t="s">
        <v>324</v>
      </c>
      <c r="K85" s="93" t="s">
        <v>60</v>
      </c>
      <c r="L85" s="97" t="s">
        <v>489</v>
      </c>
      <c r="M85" s="93" t="s">
        <v>62</v>
      </c>
      <c r="N85" s="93" t="s">
        <v>324</v>
      </c>
      <c r="O85" s="93" t="s">
        <v>62</v>
      </c>
      <c r="P85" s="93" t="s">
        <v>324</v>
      </c>
      <c r="Q85" s="93"/>
      <c r="R85" s="93"/>
      <c r="S85" s="93"/>
      <c r="T85" s="93"/>
      <c r="U85" s="95" t="s">
        <v>60</v>
      </c>
      <c r="V85" s="95" t="s">
        <v>60</v>
      </c>
      <c r="W85" s="95" t="s">
        <v>60</v>
      </c>
      <c r="X85" s="95">
        <v>161</v>
      </c>
      <c r="Y85" s="95">
        <v>63.3</v>
      </c>
      <c r="Z85" s="95">
        <f t="shared" si="2"/>
        <v>24.420354153003352</v>
      </c>
      <c r="AA85" s="95" t="s">
        <v>325</v>
      </c>
      <c r="AB85" s="95" t="s">
        <v>60</v>
      </c>
      <c r="AC85" s="95"/>
      <c r="AD85" s="95" t="s">
        <v>60</v>
      </c>
      <c r="AE85" s="95" t="s">
        <v>60</v>
      </c>
      <c r="AF85" s="95"/>
      <c r="AG85" s="95"/>
    </row>
    <row r="86" spans="1:33">
      <c r="A86" s="92" t="s">
        <v>490</v>
      </c>
      <c r="B86" s="93" t="s">
        <v>324</v>
      </c>
      <c r="C86" s="98">
        <v>43810</v>
      </c>
      <c r="D86" s="95" t="s">
        <v>60</v>
      </c>
      <c r="E86" s="93">
        <v>53</v>
      </c>
      <c r="F86" s="96">
        <v>24173</v>
      </c>
      <c r="G86" s="93" t="s">
        <v>61</v>
      </c>
      <c r="H86" s="93" t="s">
        <v>116</v>
      </c>
      <c r="I86" s="93" t="s">
        <v>62</v>
      </c>
      <c r="J86" s="97" t="s">
        <v>324</v>
      </c>
      <c r="K86" s="93" t="s">
        <v>62</v>
      </c>
      <c r="L86" s="97" t="s">
        <v>324</v>
      </c>
      <c r="M86" s="93" t="s">
        <v>62</v>
      </c>
      <c r="N86" s="93" t="s">
        <v>324</v>
      </c>
      <c r="O86" s="93" t="s">
        <v>62</v>
      </c>
      <c r="P86" s="93" t="s">
        <v>324</v>
      </c>
      <c r="Q86" s="93"/>
      <c r="R86" s="93"/>
      <c r="S86" s="93"/>
      <c r="T86" s="93"/>
      <c r="U86" s="95" t="s">
        <v>60</v>
      </c>
      <c r="V86" s="95" t="s">
        <v>60</v>
      </c>
      <c r="W86" s="95" t="s">
        <v>390</v>
      </c>
      <c r="X86" s="95">
        <v>165</v>
      </c>
      <c r="Y86" s="95">
        <v>87.1</v>
      </c>
      <c r="Z86" s="95">
        <f t="shared" si="2"/>
        <v>31.99265381083563</v>
      </c>
      <c r="AA86" s="95" t="s">
        <v>325</v>
      </c>
      <c r="AB86" s="95" t="s">
        <v>60</v>
      </c>
      <c r="AC86" s="95" t="s">
        <v>60</v>
      </c>
      <c r="AD86" s="95" t="s">
        <v>60</v>
      </c>
      <c r="AE86" s="95" t="s">
        <v>60</v>
      </c>
      <c r="AF86" s="95"/>
      <c r="AG86" s="95"/>
    </row>
    <row r="87" spans="1:33">
      <c r="A87" s="92" t="s">
        <v>491</v>
      </c>
      <c r="B87" s="93" t="s">
        <v>324</v>
      </c>
      <c r="C87" s="98">
        <v>43776</v>
      </c>
      <c r="D87" s="95" t="s">
        <v>60</v>
      </c>
      <c r="E87" s="93">
        <v>40</v>
      </c>
      <c r="F87" s="96">
        <v>29035</v>
      </c>
      <c r="G87" s="93" t="s">
        <v>58</v>
      </c>
      <c r="H87" s="93" t="s">
        <v>116</v>
      </c>
      <c r="I87" s="93" t="s">
        <v>60</v>
      </c>
      <c r="J87" s="97" t="s">
        <v>324</v>
      </c>
      <c r="K87" s="93" t="s">
        <v>60</v>
      </c>
      <c r="L87" s="97" t="s">
        <v>492</v>
      </c>
      <c r="M87" s="93" t="s">
        <v>493</v>
      </c>
      <c r="N87" s="93" t="s">
        <v>494</v>
      </c>
      <c r="O87" s="93" t="s">
        <v>60</v>
      </c>
      <c r="P87" s="93" t="s">
        <v>495</v>
      </c>
      <c r="Q87" s="93"/>
      <c r="R87" s="93"/>
      <c r="S87" s="93"/>
      <c r="T87" s="93"/>
      <c r="U87" s="95" t="s">
        <v>60</v>
      </c>
      <c r="V87" s="95" t="s">
        <v>60</v>
      </c>
      <c r="W87" s="95" t="s">
        <v>60</v>
      </c>
      <c r="X87" s="95">
        <v>168</v>
      </c>
      <c r="Y87" s="95">
        <v>89.5</v>
      </c>
      <c r="Z87" s="95">
        <f t="shared" si="2"/>
        <v>31.710600907029484</v>
      </c>
      <c r="AA87" s="95" t="s">
        <v>325</v>
      </c>
      <c r="AB87" s="95" t="s">
        <v>60</v>
      </c>
      <c r="AC87" s="95" t="s">
        <v>60</v>
      </c>
      <c r="AD87" s="95" t="s">
        <v>60</v>
      </c>
      <c r="AE87" s="95" t="s">
        <v>60</v>
      </c>
      <c r="AF87" s="95" t="s">
        <v>60</v>
      </c>
      <c r="AG87" s="95"/>
    </row>
    <row r="88" spans="1:33" ht="43.2">
      <c r="A88" s="92" t="s">
        <v>496</v>
      </c>
      <c r="B88" s="93" t="s">
        <v>324</v>
      </c>
      <c r="C88" s="98">
        <v>43787</v>
      </c>
      <c r="D88" s="95" t="s">
        <v>60</v>
      </c>
      <c r="E88" s="93">
        <v>44</v>
      </c>
      <c r="F88" s="96">
        <v>27562</v>
      </c>
      <c r="G88" s="93" t="s">
        <v>61</v>
      </c>
      <c r="H88" s="93" t="s">
        <v>116</v>
      </c>
      <c r="I88" s="93" t="s">
        <v>62</v>
      </c>
      <c r="J88" s="97" t="s">
        <v>324</v>
      </c>
      <c r="K88" s="93" t="s">
        <v>60</v>
      </c>
      <c r="L88" s="97" t="s">
        <v>497</v>
      </c>
      <c r="M88" s="93" t="s">
        <v>62</v>
      </c>
      <c r="N88" s="93" t="s">
        <v>324</v>
      </c>
      <c r="O88" s="93" t="s">
        <v>62</v>
      </c>
      <c r="P88" s="93" t="s">
        <v>324</v>
      </c>
      <c r="Q88" s="93"/>
      <c r="R88" s="93"/>
      <c r="S88" s="93"/>
      <c r="T88" s="93"/>
      <c r="U88" s="95" t="s">
        <v>60</v>
      </c>
      <c r="V88" s="95" t="s">
        <v>60</v>
      </c>
      <c r="W88" s="95" t="s">
        <v>60</v>
      </c>
      <c r="X88" s="95">
        <v>163.5</v>
      </c>
      <c r="Y88" s="95">
        <v>122.2</v>
      </c>
      <c r="Z88" s="95">
        <f t="shared" si="2"/>
        <v>45.712575634299398</v>
      </c>
      <c r="AA88" s="95" t="s">
        <v>325</v>
      </c>
      <c r="AB88" s="95" t="s">
        <v>60</v>
      </c>
      <c r="AC88" s="95" t="s">
        <v>60</v>
      </c>
      <c r="AD88" s="95" t="s">
        <v>60</v>
      </c>
      <c r="AE88" s="95" t="s">
        <v>60</v>
      </c>
      <c r="AF88" s="95" t="s">
        <v>60</v>
      </c>
      <c r="AG88" s="95"/>
    </row>
    <row r="89" spans="1:33" ht="28.8">
      <c r="A89" s="92" t="s">
        <v>498</v>
      </c>
      <c r="B89" s="93" t="s">
        <v>324</v>
      </c>
      <c r="C89" s="98">
        <v>43802</v>
      </c>
      <c r="D89" s="95" t="s">
        <v>60</v>
      </c>
      <c r="E89" s="93">
        <v>28</v>
      </c>
      <c r="F89" s="96">
        <v>33371</v>
      </c>
      <c r="G89" s="93" t="s">
        <v>61</v>
      </c>
      <c r="H89" s="93" t="s">
        <v>116</v>
      </c>
      <c r="I89" s="93" t="s">
        <v>62</v>
      </c>
      <c r="J89" s="97" t="s">
        <v>324</v>
      </c>
      <c r="K89" s="93" t="s">
        <v>60</v>
      </c>
      <c r="L89" s="97" t="s">
        <v>499</v>
      </c>
      <c r="M89" s="93" t="s">
        <v>62</v>
      </c>
      <c r="N89" s="93" t="s">
        <v>324</v>
      </c>
      <c r="O89" s="93" t="s">
        <v>62</v>
      </c>
      <c r="P89" s="93" t="s">
        <v>324</v>
      </c>
      <c r="Q89" s="93" t="s">
        <v>410</v>
      </c>
      <c r="R89" s="93"/>
      <c r="S89" s="93"/>
      <c r="T89" s="93"/>
      <c r="U89" s="95" t="s">
        <v>60</v>
      </c>
      <c r="V89" s="95" t="s">
        <v>60</v>
      </c>
      <c r="W89" s="95" t="s">
        <v>60</v>
      </c>
      <c r="X89" s="95">
        <v>171.5</v>
      </c>
      <c r="Y89" s="95">
        <v>64.900000000000006</v>
      </c>
      <c r="Z89" s="95">
        <f t="shared" si="2"/>
        <v>22.06563591700737</v>
      </c>
      <c r="AA89" s="95" t="s">
        <v>325</v>
      </c>
      <c r="AB89" s="95" t="s">
        <v>60</v>
      </c>
      <c r="AC89" s="95" t="s">
        <v>60</v>
      </c>
      <c r="AD89" s="95" t="s">
        <v>60</v>
      </c>
      <c r="AE89" s="95" t="s">
        <v>60</v>
      </c>
      <c r="AF89" s="95" t="s">
        <v>60</v>
      </c>
      <c r="AG89" s="95"/>
    </row>
    <row r="90" spans="1:33" ht="43.2">
      <c r="A90" s="92" t="s">
        <v>500</v>
      </c>
      <c r="B90" s="93" t="s">
        <v>324</v>
      </c>
      <c r="C90" s="98">
        <v>43805</v>
      </c>
      <c r="D90" s="95" t="s">
        <v>60</v>
      </c>
      <c r="E90" s="93">
        <v>31</v>
      </c>
      <c r="F90" s="96">
        <v>32325</v>
      </c>
      <c r="G90" s="93" t="s">
        <v>58</v>
      </c>
      <c r="H90" s="93" t="s">
        <v>116</v>
      </c>
      <c r="I90" s="93" t="s">
        <v>62</v>
      </c>
      <c r="J90" s="97" t="s">
        <v>324</v>
      </c>
      <c r="K90" s="93" t="s">
        <v>60</v>
      </c>
      <c r="L90" s="97" t="s">
        <v>501</v>
      </c>
      <c r="M90" s="93" t="s">
        <v>62</v>
      </c>
      <c r="N90" s="93" t="s">
        <v>324</v>
      </c>
      <c r="O90" s="93" t="s">
        <v>62</v>
      </c>
      <c r="P90" s="93" t="s">
        <v>324</v>
      </c>
      <c r="Q90" s="93"/>
      <c r="R90" s="93"/>
      <c r="S90" s="93"/>
      <c r="T90" s="93"/>
      <c r="U90" s="95" t="s">
        <v>60</v>
      </c>
      <c r="V90" s="95" t="s">
        <v>60</v>
      </c>
      <c r="W90" s="95" t="s">
        <v>60</v>
      </c>
      <c r="X90" s="95">
        <v>178</v>
      </c>
      <c r="Y90" s="95">
        <v>87.4</v>
      </c>
      <c r="Z90" s="95">
        <f t="shared" si="2"/>
        <v>27.584900896351471</v>
      </c>
      <c r="AA90" s="95" t="s">
        <v>325</v>
      </c>
      <c r="AB90" s="95" t="s">
        <v>60</v>
      </c>
      <c r="AC90" s="95" t="s">
        <v>60</v>
      </c>
      <c r="AD90" s="95" t="s">
        <v>60</v>
      </c>
      <c r="AE90" s="95" t="s">
        <v>60</v>
      </c>
      <c r="AF90" s="95"/>
      <c r="AG90" s="95"/>
    </row>
    <row r="91" spans="1:33">
      <c r="A91" s="92" t="s">
        <v>502</v>
      </c>
      <c r="B91" s="93" t="s">
        <v>324</v>
      </c>
      <c r="C91" s="94">
        <v>43757</v>
      </c>
      <c r="D91" s="95" t="s">
        <v>60</v>
      </c>
      <c r="E91" s="93">
        <v>61</v>
      </c>
      <c r="F91" s="96">
        <v>21432</v>
      </c>
      <c r="G91" s="93" t="s">
        <v>61</v>
      </c>
      <c r="H91" s="93" t="s">
        <v>116</v>
      </c>
      <c r="I91" s="93" t="s">
        <v>62</v>
      </c>
      <c r="J91" s="97" t="s">
        <v>324</v>
      </c>
      <c r="K91" s="93" t="s">
        <v>62</v>
      </c>
      <c r="L91" s="97" t="s">
        <v>324</v>
      </c>
      <c r="M91" s="93" t="s">
        <v>62</v>
      </c>
      <c r="N91" s="93" t="s">
        <v>324</v>
      </c>
      <c r="O91" s="93" t="s">
        <v>62</v>
      </c>
      <c r="P91" s="93" t="s">
        <v>324</v>
      </c>
      <c r="Q91" s="93"/>
      <c r="R91" s="93"/>
      <c r="S91" s="93"/>
      <c r="T91" s="93"/>
      <c r="U91" s="95" t="s">
        <v>60</v>
      </c>
      <c r="V91" s="95" t="s">
        <v>60</v>
      </c>
      <c r="W91" s="95" t="s">
        <v>60</v>
      </c>
      <c r="X91" s="95">
        <v>157.5</v>
      </c>
      <c r="Y91" s="95">
        <v>111.1</v>
      </c>
      <c r="Z91" s="95">
        <f t="shared" si="2"/>
        <v>44.787100025195265</v>
      </c>
      <c r="AA91" s="95" t="s">
        <v>325</v>
      </c>
      <c r="AB91" s="95" t="s">
        <v>60</v>
      </c>
      <c r="AC91" s="95" t="s">
        <v>60</v>
      </c>
      <c r="AD91" s="95" t="s">
        <v>60</v>
      </c>
      <c r="AE91" s="95" t="s">
        <v>60</v>
      </c>
      <c r="AF91" s="95" t="s">
        <v>60</v>
      </c>
      <c r="AG91" s="95"/>
    </row>
    <row r="92" spans="1:33">
      <c r="A92" s="92" t="s">
        <v>503</v>
      </c>
      <c r="B92" s="93" t="s">
        <v>324</v>
      </c>
      <c r="C92" s="98">
        <v>43802</v>
      </c>
      <c r="D92" s="95" t="s">
        <v>60</v>
      </c>
      <c r="E92" s="93">
        <v>35</v>
      </c>
      <c r="F92" s="96">
        <v>30940</v>
      </c>
      <c r="G92" s="93" t="s">
        <v>58</v>
      </c>
      <c r="H92" s="93" t="s">
        <v>116</v>
      </c>
      <c r="I92" s="93" t="s">
        <v>62</v>
      </c>
      <c r="J92" s="97" t="s">
        <v>324</v>
      </c>
      <c r="K92" s="93" t="s">
        <v>62</v>
      </c>
      <c r="L92" s="97" t="s">
        <v>324</v>
      </c>
      <c r="M92" s="93" t="s">
        <v>62</v>
      </c>
      <c r="N92" s="93" t="s">
        <v>324</v>
      </c>
      <c r="O92" s="93" t="s">
        <v>62</v>
      </c>
      <c r="P92" s="93" t="s">
        <v>324</v>
      </c>
      <c r="Q92" s="93"/>
      <c r="R92" s="93"/>
      <c r="S92" s="93"/>
      <c r="T92" s="93"/>
      <c r="U92" s="95" t="s">
        <v>60</v>
      </c>
      <c r="V92" s="95" t="s">
        <v>60</v>
      </c>
      <c r="W92" s="95" t="s">
        <v>60</v>
      </c>
      <c r="X92" s="95">
        <v>181.3</v>
      </c>
      <c r="Y92" s="95">
        <v>83.2</v>
      </c>
      <c r="Z92" s="95">
        <f t="shared" si="2"/>
        <v>25.312073220039494</v>
      </c>
      <c r="AA92" s="95" t="s">
        <v>325</v>
      </c>
      <c r="AB92" s="95" t="s">
        <v>60</v>
      </c>
      <c r="AC92" s="95" t="s">
        <v>60</v>
      </c>
      <c r="AD92" s="95" t="s">
        <v>60</v>
      </c>
      <c r="AE92" s="95" t="s">
        <v>60</v>
      </c>
      <c r="AF92" s="95" t="s">
        <v>60</v>
      </c>
      <c r="AG92" s="95"/>
    </row>
    <row r="93" spans="1:33">
      <c r="A93" s="92" t="s">
        <v>504</v>
      </c>
      <c r="B93" s="93" t="s">
        <v>324</v>
      </c>
      <c r="C93" s="98">
        <v>43775</v>
      </c>
      <c r="D93" s="95" t="s">
        <v>60</v>
      </c>
      <c r="E93" s="93">
        <v>51</v>
      </c>
      <c r="F93" s="96">
        <v>24871</v>
      </c>
      <c r="G93" s="93" t="s">
        <v>61</v>
      </c>
      <c r="H93" s="93" t="s">
        <v>116</v>
      </c>
      <c r="I93" s="93" t="s">
        <v>60</v>
      </c>
      <c r="J93" s="97" t="s">
        <v>505</v>
      </c>
      <c r="K93" s="93" t="s">
        <v>60</v>
      </c>
      <c r="L93" s="97" t="s">
        <v>506</v>
      </c>
      <c r="M93" s="93" t="s">
        <v>62</v>
      </c>
      <c r="N93" s="93" t="s">
        <v>324</v>
      </c>
      <c r="O93" s="93" t="s">
        <v>62</v>
      </c>
      <c r="P93" s="93" t="s">
        <v>324</v>
      </c>
      <c r="Q93" s="93"/>
      <c r="R93" s="93"/>
      <c r="S93" s="93"/>
      <c r="T93" s="93"/>
      <c r="U93" s="95" t="s">
        <v>60</v>
      </c>
      <c r="V93" s="95" t="s">
        <v>60</v>
      </c>
      <c r="W93" s="95" t="s">
        <v>60</v>
      </c>
      <c r="X93" s="95">
        <v>171.9</v>
      </c>
      <c r="Y93" s="95">
        <v>99.1</v>
      </c>
      <c r="Z93" s="95">
        <f t="shared" si="2"/>
        <v>33.536821636563047</v>
      </c>
      <c r="AA93" s="95" t="s">
        <v>325</v>
      </c>
      <c r="AB93" s="95" t="s">
        <v>60</v>
      </c>
      <c r="AC93" s="95" t="s">
        <v>60</v>
      </c>
      <c r="AD93" s="95"/>
      <c r="AE93" s="95" t="s">
        <v>60</v>
      </c>
      <c r="AF93" s="95"/>
      <c r="AG93" s="95"/>
    </row>
    <row r="94" spans="1:33">
      <c r="A94" s="92" t="s">
        <v>507</v>
      </c>
      <c r="B94" s="93" t="s">
        <v>324</v>
      </c>
      <c r="C94" s="98">
        <v>43787</v>
      </c>
      <c r="D94" s="95" t="s">
        <v>60</v>
      </c>
      <c r="E94" s="93">
        <v>27</v>
      </c>
      <c r="F94" s="96">
        <v>33782</v>
      </c>
      <c r="G94" s="93" t="s">
        <v>61</v>
      </c>
      <c r="H94" s="93" t="s">
        <v>116</v>
      </c>
      <c r="I94" s="93" t="s">
        <v>62</v>
      </c>
      <c r="J94" s="97" t="s">
        <v>324</v>
      </c>
      <c r="K94" s="93" t="s">
        <v>62</v>
      </c>
      <c r="L94" s="97" t="s">
        <v>324</v>
      </c>
      <c r="M94" s="93" t="s">
        <v>62</v>
      </c>
      <c r="N94" s="93" t="s">
        <v>324</v>
      </c>
      <c r="O94" s="93" t="s">
        <v>62</v>
      </c>
      <c r="P94" s="93" t="s">
        <v>324</v>
      </c>
      <c r="Q94" s="93" t="s">
        <v>508</v>
      </c>
      <c r="R94" s="93" t="s">
        <v>509</v>
      </c>
      <c r="S94" s="93"/>
      <c r="T94" s="93"/>
      <c r="U94" s="95" t="s">
        <v>60</v>
      </c>
      <c r="V94" s="95" t="s">
        <v>60</v>
      </c>
      <c r="W94" s="95" t="s">
        <v>60</v>
      </c>
      <c r="X94" s="95">
        <v>154.9</v>
      </c>
      <c r="Y94" s="95">
        <v>59.5</v>
      </c>
      <c r="Z94" s="95">
        <f t="shared" si="2"/>
        <v>24.79785579817629</v>
      </c>
      <c r="AA94" s="95" t="s">
        <v>325</v>
      </c>
      <c r="AB94" s="95" t="s">
        <v>60</v>
      </c>
      <c r="AC94" s="95" t="s">
        <v>60</v>
      </c>
      <c r="AD94" s="95" t="s">
        <v>60</v>
      </c>
      <c r="AE94" s="95" t="s">
        <v>60</v>
      </c>
      <c r="AF94" s="95" t="s">
        <v>60</v>
      </c>
      <c r="AG94" s="95"/>
    </row>
    <row r="95" spans="1:33">
      <c r="A95" s="92" t="s">
        <v>510</v>
      </c>
      <c r="B95" s="93" t="s">
        <v>324</v>
      </c>
      <c r="C95" s="98">
        <v>43858</v>
      </c>
      <c r="D95" s="95" t="s">
        <v>60</v>
      </c>
      <c r="E95" s="93">
        <v>47</v>
      </c>
      <c r="F95" s="96">
        <v>26638</v>
      </c>
      <c r="G95" s="93" t="s">
        <v>58</v>
      </c>
      <c r="H95" s="93" t="s">
        <v>117</v>
      </c>
      <c r="I95" s="100" t="s">
        <v>60</v>
      </c>
      <c r="J95" s="102" t="s">
        <v>511</v>
      </c>
      <c r="K95" s="93" t="s">
        <v>60</v>
      </c>
      <c r="L95" s="97" t="s">
        <v>512</v>
      </c>
      <c r="M95" s="93" t="s">
        <v>62</v>
      </c>
      <c r="N95" s="93" t="s">
        <v>324</v>
      </c>
      <c r="O95" s="93" t="s">
        <v>62</v>
      </c>
      <c r="P95" s="93" t="s">
        <v>62</v>
      </c>
      <c r="Q95" s="93"/>
      <c r="R95" s="93"/>
      <c r="S95" s="93"/>
      <c r="T95" s="93"/>
      <c r="U95" s="95" t="s">
        <v>60</v>
      </c>
      <c r="V95" s="95" t="s">
        <v>60</v>
      </c>
      <c r="W95" s="95" t="s">
        <v>60</v>
      </c>
      <c r="X95" s="95">
        <v>175.1</v>
      </c>
      <c r="Y95" s="95">
        <v>114</v>
      </c>
      <c r="Z95" s="95">
        <f t="shared" si="2"/>
        <v>37.181983958909349</v>
      </c>
      <c r="AA95" s="95" t="s">
        <v>325</v>
      </c>
      <c r="AB95" s="95" t="s">
        <v>60</v>
      </c>
      <c r="AC95" s="95"/>
      <c r="AD95" s="95" t="s">
        <v>60</v>
      </c>
      <c r="AE95" s="95" t="s">
        <v>60</v>
      </c>
      <c r="AF95" s="95"/>
      <c r="AG95" s="95"/>
    </row>
    <row r="96" spans="1:33">
      <c r="A96" s="92" t="s">
        <v>513</v>
      </c>
      <c r="B96" s="93" t="s">
        <v>324</v>
      </c>
      <c r="C96" s="103">
        <v>43804</v>
      </c>
      <c r="D96" s="104" t="s">
        <v>60</v>
      </c>
      <c r="E96" s="93">
        <v>20</v>
      </c>
      <c r="F96" s="96">
        <v>36206</v>
      </c>
      <c r="G96" s="93" t="s">
        <v>61</v>
      </c>
      <c r="H96" s="93" t="s">
        <v>116</v>
      </c>
      <c r="I96" s="93" t="s">
        <v>62</v>
      </c>
      <c r="J96" s="97" t="s">
        <v>324</v>
      </c>
      <c r="K96" s="93" t="s">
        <v>62</v>
      </c>
      <c r="L96" s="97" t="s">
        <v>324</v>
      </c>
      <c r="M96" s="93" t="s">
        <v>62</v>
      </c>
      <c r="N96" s="93" t="s">
        <v>324</v>
      </c>
      <c r="O96" s="93" t="s">
        <v>62</v>
      </c>
      <c r="P96" s="93" t="s">
        <v>324</v>
      </c>
      <c r="Q96" s="93"/>
      <c r="R96" s="93"/>
      <c r="S96" s="93"/>
      <c r="T96" s="93"/>
      <c r="U96" s="104" t="s">
        <v>60</v>
      </c>
      <c r="V96" s="104" t="s">
        <v>60</v>
      </c>
      <c r="W96" s="104" t="s">
        <v>62</v>
      </c>
      <c r="X96" s="104">
        <v>163.1</v>
      </c>
      <c r="Y96" s="104">
        <v>75.8</v>
      </c>
      <c r="Z96" s="104">
        <f t="shared" si="2"/>
        <v>28.494515933434101</v>
      </c>
      <c r="AA96" s="104" t="s">
        <v>325</v>
      </c>
      <c r="AB96" s="104" t="s">
        <v>60</v>
      </c>
      <c r="AC96" s="104" t="s">
        <v>60</v>
      </c>
      <c r="AD96" s="104" t="s">
        <v>60</v>
      </c>
      <c r="AE96" s="104" t="s">
        <v>60</v>
      </c>
      <c r="AF96" s="104"/>
      <c r="AG96" s="104"/>
    </row>
    <row r="97" spans="1:33">
      <c r="A97" s="92" t="s">
        <v>514</v>
      </c>
      <c r="B97" s="93" t="s">
        <v>324</v>
      </c>
      <c r="C97" s="98">
        <v>43847</v>
      </c>
      <c r="D97" s="95" t="s">
        <v>60</v>
      </c>
      <c r="E97" s="93">
        <v>26</v>
      </c>
      <c r="F97" s="96">
        <v>34285</v>
      </c>
      <c r="G97" s="93" t="s">
        <v>61</v>
      </c>
      <c r="H97" s="93" t="s">
        <v>116</v>
      </c>
      <c r="I97" s="93" t="s">
        <v>62</v>
      </c>
      <c r="J97" s="97" t="s">
        <v>324</v>
      </c>
      <c r="K97" s="93" t="s">
        <v>62</v>
      </c>
      <c r="L97" s="97" t="s">
        <v>324</v>
      </c>
      <c r="M97" s="93" t="s">
        <v>62</v>
      </c>
      <c r="N97" s="93" t="s">
        <v>324</v>
      </c>
      <c r="O97" s="93" t="s">
        <v>62</v>
      </c>
      <c r="P97" s="93" t="s">
        <v>62</v>
      </c>
      <c r="Q97" s="93"/>
      <c r="R97" s="93"/>
      <c r="S97" s="93"/>
      <c r="T97" s="93"/>
      <c r="U97" s="95" t="s">
        <v>60</v>
      </c>
      <c r="V97" s="95" t="s">
        <v>60</v>
      </c>
      <c r="W97" s="95" t="s">
        <v>60</v>
      </c>
      <c r="X97" s="95">
        <v>166</v>
      </c>
      <c r="Y97" s="95">
        <v>75</v>
      </c>
      <c r="Z97" s="95">
        <f t="shared" si="2"/>
        <v>27.217302946726669</v>
      </c>
      <c r="AA97" s="95" t="s">
        <v>325</v>
      </c>
      <c r="AB97" s="95" t="s">
        <v>60</v>
      </c>
      <c r="AC97" s="95" t="s">
        <v>60</v>
      </c>
      <c r="AD97" s="95" t="s">
        <v>60</v>
      </c>
      <c r="AE97" s="95" t="s">
        <v>60</v>
      </c>
      <c r="AF97" s="95"/>
      <c r="AG97" s="95"/>
    </row>
    <row r="98" spans="1:33">
      <c r="A98" s="92" t="s">
        <v>515</v>
      </c>
      <c r="B98" s="93" t="s">
        <v>324</v>
      </c>
      <c r="C98" s="98">
        <v>43738</v>
      </c>
      <c r="D98" s="95" t="s">
        <v>60</v>
      </c>
      <c r="E98" s="93">
        <v>32</v>
      </c>
      <c r="F98" s="96">
        <v>31713</v>
      </c>
      <c r="G98" s="93" t="s">
        <v>61</v>
      </c>
      <c r="H98" s="93" t="s">
        <v>117</v>
      </c>
      <c r="I98" s="93" t="s">
        <v>62</v>
      </c>
      <c r="J98" s="97" t="s">
        <v>324</v>
      </c>
      <c r="K98" s="93" t="s">
        <v>62</v>
      </c>
      <c r="L98" s="97" t="s">
        <v>324</v>
      </c>
      <c r="M98" s="93" t="s">
        <v>62</v>
      </c>
      <c r="N98" s="93" t="s">
        <v>324</v>
      </c>
      <c r="O98" s="93" t="s">
        <v>62</v>
      </c>
      <c r="P98" s="93" t="s">
        <v>324</v>
      </c>
      <c r="Q98" s="93"/>
      <c r="R98" s="93"/>
      <c r="S98" s="93"/>
      <c r="T98" s="93"/>
      <c r="U98" s="95" t="s">
        <v>60</v>
      </c>
      <c r="V98" s="95" t="s">
        <v>60</v>
      </c>
      <c r="W98" s="95" t="s">
        <v>390</v>
      </c>
      <c r="X98" s="95">
        <v>168</v>
      </c>
      <c r="Y98" s="95">
        <v>69</v>
      </c>
      <c r="Z98" s="95">
        <f t="shared" si="2"/>
        <v>24.447278911564631</v>
      </c>
      <c r="AA98" s="95" t="s">
        <v>325</v>
      </c>
      <c r="AB98" s="95" t="s">
        <v>60</v>
      </c>
      <c r="AC98" s="95"/>
      <c r="AD98" s="95" t="s">
        <v>60</v>
      </c>
      <c r="AE98" s="95" t="s">
        <v>60</v>
      </c>
      <c r="AF98" s="95" t="s">
        <v>60</v>
      </c>
      <c r="AG98" s="95"/>
    </row>
    <row r="99" spans="1:33">
      <c r="A99" s="92" t="s">
        <v>516</v>
      </c>
      <c r="B99" s="93" t="s">
        <v>324</v>
      </c>
      <c r="C99" s="98">
        <v>43783</v>
      </c>
      <c r="D99" s="95" t="s">
        <v>60</v>
      </c>
      <c r="E99" s="93">
        <v>48</v>
      </c>
      <c r="F99" s="96">
        <v>25941</v>
      </c>
      <c r="G99" s="93" t="s">
        <v>61</v>
      </c>
      <c r="H99" s="93" t="s">
        <v>116</v>
      </c>
      <c r="I99" s="93" t="s">
        <v>62</v>
      </c>
      <c r="J99" s="97" t="s">
        <v>324</v>
      </c>
      <c r="K99" s="93" t="s">
        <v>62</v>
      </c>
      <c r="L99" s="97" t="s">
        <v>324</v>
      </c>
      <c r="M99" s="93" t="s">
        <v>62</v>
      </c>
      <c r="N99" s="93" t="s">
        <v>324</v>
      </c>
      <c r="O99" s="93" t="s">
        <v>62</v>
      </c>
      <c r="P99" s="93" t="s">
        <v>324</v>
      </c>
      <c r="Q99" s="93"/>
      <c r="R99" s="93"/>
      <c r="S99" s="93"/>
      <c r="T99" s="93"/>
      <c r="U99" s="95" t="s">
        <v>60</v>
      </c>
      <c r="V99" s="95" t="s">
        <v>60</v>
      </c>
      <c r="W99" s="95" t="s">
        <v>60</v>
      </c>
      <c r="X99" s="95">
        <v>156.5</v>
      </c>
      <c r="Y99" s="95">
        <v>64.599999999999994</v>
      </c>
      <c r="Z99" s="95">
        <f t="shared" si="2"/>
        <v>26.375690269370924</v>
      </c>
      <c r="AA99" s="95" t="s">
        <v>325</v>
      </c>
      <c r="AB99" s="95" t="s">
        <v>60</v>
      </c>
      <c r="AC99" s="95" t="s">
        <v>60</v>
      </c>
      <c r="AD99" s="95" t="s">
        <v>60</v>
      </c>
      <c r="AE99" s="95" t="s">
        <v>60</v>
      </c>
      <c r="AF99" s="95" t="s">
        <v>60</v>
      </c>
      <c r="AG99" s="95"/>
    </row>
    <row r="100" spans="1:33">
      <c r="A100" s="92" t="s">
        <v>517</v>
      </c>
      <c r="B100" s="93" t="s">
        <v>324</v>
      </c>
      <c r="C100" s="94">
        <v>43754</v>
      </c>
      <c r="D100" s="95" t="s">
        <v>60</v>
      </c>
      <c r="E100" s="93">
        <v>63</v>
      </c>
      <c r="F100" s="96">
        <v>20705</v>
      </c>
      <c r="G100" s="93" t="s">
        <v>61</v>
      </c>
      <c r="H100" s="93" t="s">
        <v>116</v>
      </c>
      <c r="I100" s="93" t="s">
        <v>62</v>
      </c>
      <c r="J100" s="97" t="s">
        <v>324</v>
      </c>
      <c r="K100" s="93" t="s">
        <v>62</v>
      </c>
      <c r="L100" s="97" t="s">
        <v>324</v>
      </c>
      <c r="M100" s="93" t="s">
        <v>62</v>
      </c>
      <c r="N100" s="93" t="s">
        <v>324</v>
      </c>
      <c r="O100" s="93" t="s">
        <v>62</v>
      </c>
      <c r="P100" s="93" t="s">
        <v>324</v>
      </c>
      <c r="Q100" s="93"/>
      <c r="R100" s="93"/>
      <c r="S100" s="93"/>
      <c r="T100" s="93"/>
      <c r="U100" s="95" t="s">
        <v>60</v>
      </c>
      <c r="V100" s="95" t="s">
        <v>60</v>
      </c>
      <c r="W100" s="95" t="s">
        <v>60</v>
      </c>
      <c r="X100" s="95">
        <v>166.4</v>
      </c>
      <c r="Y100" s="95">
        <v>69.3</v>
      </c>
      <c r="Z100" s="95">
        <f t="shared" si="2"/>
        <v>25.028025610207095</v>
      </c>
      <c r="AA100" s="95" t="s">
        <v>325</v>
      </c>
      <c r="AB100" s="95" t="s">
        <v>60</v>
      </c>
      <c r="AC100" s="95"/>
      <c r="AD100" s="95" t="s">
        <v>60</v>
      </c>
      <c r="AE100" s="95" t="s">
        <v>60</v>
      </c>
      <c r="AF100" s="95"/>
      <c r="AG100" s="95"/>
    </row>
    <row r="101" spans="1:33">
      <c r="A101" s="92" t="s">
        <v>518</v>
      </c>
      <c r="B101" s="93" t="s">
        <v>324</v>
      </c>
      <c r="C101" s="98">
        <v>43837</v>
      </c>
      <c r="D101" s="95" t="s">
        <v>60</v>
      </c>
      <c r="E101" s="93">
        <v>42</v>
      </c>
      <c r="F101" s="96">
        <v>28210</v>
      </c>
      <c r="G101" s="93" t="s">
        <v>61</v>
      </c>
      <c r="H101" s="93" t="s">
        <v>116</v>
      </c>
      <c r="I101" s="93" t="s">
        <v>62</v>
      </c>
      <c r="J101" s="97" t="s">
        <v>324</v>
      </c>
      <c r="K101" s="93" t="s">
        <v>60</v>
      </c>
      <c r="L101" s="97" t="s">
        <v>519</v>
      </c>
      <c r="M101" s="93" t="s">
        <v>62</v>
      </c>
      <c r="N101" s="93" t="s">
        <v>324</v>
      </c>
      <c r="O101" s="93" t="s">
        <v>62</v>
      </c>
      <c r="P101" s="93" t="s">
        <v>62</v>
      </c>
      <c r="Q101" s="93" t="s">
        <v>369</v>
      </c>
      <c r="R101" s="93"/>
      <c r="S101" s="93"/>
      <c r="T101" s="93"/>
      <c r="U101" s="95" t="s">
        <v>60</v>
      </c>
      <c r="V101" s="95" t="s">
        <v>60</v>
      </c>
      <c r="W101" s="95" t="s">
        <v>60</v>
      </c>
      <c r="X101" s="95">
        <v>161</v>
      </c>
      <c r="Y101" s="95">
        <v>88.4</v>
      </c>
      <c r="Z101" s="95">
        <f t="shared" ref="Z101:Z132" si="3">Y101/((X101/100)^2)</f>
        <v>34.103622545426489</v>
      </c>
      <c r="AA101" s="95" t="s">
        <v>325</v>
      </c>
      <c r="AB101" s="95" t="s">
        <v>60</v>
      </c>
      <c r="AC101" s="95" t="s">
        <v>60</v>
      </c>
      <c r="AD101" s="95" t="s">
        <v>60</v>
      </c>
      <c r="AE101" s="95" t="s">
        <v>60</v>
      </c>
      <c r="AF101" s="95"/>
      <c r="AG101" s="95"/>
    </row>
    <row r="102" spans="1:33">
      <c r="A102" s="92" t="s">
        <v>520</v>
      </c>
      <c r="B102" s="93" t="s">
        <v>324</v>
      </c>
      <c r="C102" s="98">
        <v>43813</v>
      </c>
      <c r="D102" s="95" t="s">
        <v>60</v>
      </c>
      <c r="E102" s="93">
        <v>45</v>
      </c>
      <c r="F102" s="96">
        <v>27033</v>
      </c>
      <c r="G102" s="93" t="s">
        <v>61</v>
      </c>
      <c r="H102" s="93" t="s">
        <v>117</v>
      </c>
      <c r="I102" s="93" t="s">
        <v>62</v>
      </c>
      <c r="J102" s="97" t="s">
        <v>324</v>
      </c>
      <c r="K102" s="93" t="s">
        <v>62</v>
      </c>
      <c r="L102" s="97" t="s">
        <v>324</v>
      </c>
      <c r="M102" s="93" t="s">
        <v>62</v>
      </c>
      <c r="N102" s="93" t="s">
        <v>324</v>
      </c>
      <c r="O102" s="93" t="s">
        <v>60</v>
      </c>
      <c r="P102" s="93" t="s">
        <v>62</v>
      </c>
      <c r="Q102" s="93" t="s">
        <v>425</v>
      </c>
      <c r="R102" s="93" t="s">
        <v>363</v>
      </c>
      <c r="S102" s="93"/>
      <c r="T102" s="93"/>
      <c r="U102" s="95" t="s">
        <v>60</v>
      </c>
      <c r="V102" s="95" t="s">
        <v>60</v>
      </c>
      <c r="W102" s="95" t="s">
        <v>62</v>
      </c>
      <c r="X102" s="95">
        <v>174.1</v>
      </c>
      <c r="Y102" s="95">
        <v>175</v>
      </c>
      <c r="Z102" s="95">
        <f t="shared" si="3"/>
        <v>57.735177647842477</v>
      </c>
      <c r="AA102" s="95" t="s">
        <v>325</v>
      </c>
      <c r="AB102" s="95" t="s">
        <v>60</v>
      </c>
      <c r="AC102" s="95"/>
      <c r="AD102" s="95" t="s">
        <v>60</v>
      </c>
      <c r="AE102" s="95" t="s">
        <v>60</v>
      </c>
      <c r="AF102" s="95"/>
      <c r="AG102" s="95"/>
    </row>
    <row r="103" spans="1:33">
      <c r="A103" s="105" t="s">
        <v>521</v>
      </c>
      <c r="B103" s="106" t="s">
        <v>324</v>
      </c>
      <c r="C103" s="98">
        <v>43805</v>
      </c>
      <c r="D103" s="95" t="s">
        <v>60</v>
      </c>
      <c r="E103" s="106">
        <v>27</v>
      </c>
      <c r="F103" s="107">
        <v>33665</v>
      </c>
      <c r="G103" s="106" t="s">
        <v>58</v>
      </c>
      <c r="H103" s="106" t="s">
        <v>522</v>
      </c>
      <c r="I103" s="106" t="s">
        <v>62</v>
      </c>
      <c r="J103" s="108" t="s">
        <v>324</v>
      </c>
      <c r="K103" s="106" t="s">
        <v>62</v>
      </c>
      <c r="L103" s="108" t="s">
        <v>324</v>
      </c>
      <c r="M103" s="106" t="s">
        <v>62</v>
      </c>
      <c r="N103" s="106" t="s">
        <v>324</v>
      </c>
      <c r="O103" s="106" t="s">
        <v>62</v>
      </c>
      <c r="P103" s="106" t="s">
        <v>324</v>
      </c>
      <c r="Q103" s="106"/>
      <c r="R103" s="106"/>
      <c r="S103" s="106"/>
      <c r="T103" s="106"/>
      <c r="U103" s="95" t="s">
        <v>60</v>
      </c>
      <c r="V103" s="95" t="s">
        <v>60</v>
      </c>
      <c r="W103" s="95" t="s">
        <v>60</v>
      </c>
      <c r="X103" s="95">
        <v>171</v>
      </c>
      <c r="Y103" s="95">
        <v>74</v>
      </c>
      <c r="Z103" s="95">
        <f t="shared" si="3"/>
        <v>25.306932047467601</v>
      </c>
      <c r="AA103" s="95" t="s">
        <v>325</v>
      </c>
      <c r="AB103" s="95" t="s">
        <v>60</v>
      </c>
      <c r="AC103" s="95"/>
      <c r="AD103" s="95" t="s">
        <v>60</v>
      </c>
      <c r="AE103" s="95" t="s">
        <v>60</v>
      </c>
      <c r="AF103" s="95"/>
      <c r="AG103" s="95"/>
    </row>
    <row r="104" spans="1:33">
      <c r="A104" s="92" t="s">
        <v>523</v>
      </c>
      <c r="B104" s="93" t="s">
        <v>324</v>
      </c>
      <c r="C104" s="98">
        <v>43745</v>
      </c>
      <c r="D104" s="95" t="s">
        <v>60</v>
      </c>
      <c r="E104" s="93">
        <v>25</v>
      </c>
      <c r="F104" s="96">
        <v>34255</v>
      </c>
      <c r="G104" s="93" t="s">
        <v>58</v>
      </c>
      <c r="H104" s="93" t="s">
        <v>116</v>
      </c>
      <c r="I104" s="93" t="s">
        <v>62</v>
      </c>
      <c r="J104" s="97" t="s">
        <v>324</v>
      </c>
      <c r="K104" s="93" t="s">
        <v>62</v>
      </c>
      <c r="L104" s="97" t="s">
        <v>324</v>
      </c>
      <c r="M104" s="93" t="s">
        <v>62</v>
      </c>
      <c r="N104" s="93" t="s">
        <v>324</v>
      </c>
      <c r="O104" s="93" t="s">
        <v>62</v>
      </c>
      <c r="P104" s="93" t="s">
        <v>324</v>
      </c>
      <c r="Q104" s="93"/>
      <c r="R104" s="93"/>
      <c r="S104" s="93"/>
      <c r="T104" s="93"/>
      <c r="U104" s="95" t="s">
        <v>60</v>
      </c>
      <c r="V104" s="95" t="s">
        <v>60</v>
      </c>
      <c r="W104" s="95" t="s">
        <v>60</v>
      </c>
      <c r="X104" s="95">
        <v>188.6</v>
      </c>
      <c r="Y104" s="95">
        <v>80.3</v>
      </c>
      <c r="Z104" s="95">
        <f t="shared" si="3"/>
        <v>22.57522921026619</v>
      </c>
      <c r="AA104" s="95" t="s">
        <v>325</v>
      </c>
      <c r="AB104" s="95" t="s">
        <v>60</v>
      </c>
      <c r="AC104" s="95" t="s">
        <v>60</v>
      </c>
      <c r="AD104" s="95"/>
      <c r="AE104" s="95"/>
      <c r="AF104" s="95" t="s">
        <v>60</v>
      </c>
      <c r="AG104" s="95"/>
    </row>
    <row r="105" spans="1:33">
      <c r="A105" s="135" t="s">
        <v>1101</v>
      </c>
      <c r="B105" s="109" t="s">
        <v>324</v>
      </c>
      <c r="C105" s="98">
        <v>43861</v>
      </c>
      <c r="D105" s="95" t="s">
        <v>60</v>
      </c>
      <c r="E105" s="109">
        <v>42</v>
      </c>
      <c r="F105" s="110">
        <v>28235</v>
      </c>
      <c r="G105" s="109" t="s">
        <v>61</v>
      </c>
      <c r="H105" s="109" t="s">
        <v>116</v>
      </c>
      <c r="I105" s="109" t="s">
        <v>60</v>
      </c>
      <c r="J105" s="111" t="s">
        <v>524</v>
      </c>
      <c r="K105" s="109" t="s">
        <v>324</v>
      </c>
      <c r="L105" s="111" t="s">
        <v>324</v>
      </c>
      <c r="M105" s="109" t="s">
        <v>62</v>
      </c>
      <c r="N105" s="109" t="s">
        <v>324</v>
      </c>
      <c r="O105" s="109" t="s">
        <v>62</v>
      </c>
      <c r="P105" s="109" t="s">
        <v>62</v>
      </c>
      <c r="Q105" s="109" t="s">
        <v>363</v>
      </c>
      <c r="R105" s="109"/>
      <c r="S105" s="109"/>
      <c r="T105" s="109"/>
      <c r="U105" s="95" t="s">
        <v>60</v>
      </c>
      <c r="V105" s="95" t="s">
        <v>60</v>
      </c>
      <c r="W105" s="95" t="s">
        <v>62</v>
      </c>
      <c r="X105" s="95">
        <v>158.4</v>
      </c>
      <c r="Y105" s="95">
        <v>53.2</v>
      </c>
      <c r="Z105" s="95">
        <f t="shared" si="3"/>
        <v>21.2031935516784</v>
      </c>
      <c r="AA105" s="95" t="s">
        <v>325</v>
      </c>
      <c r="AB105" s="95" t="s">
        <v>60</v>
      </c>
      <c r="AC105" s="95"/>
      <c r="AD105" s="95" t="s">
        <v>60</v>
      </c>
      <c r="AE105" s="95" t="s">
        <v>60</v>
      </c>
      <c r="AF105" s="95"/>
      <c r="AG105" s="95"/>
    </row>
    <row r="106" spans="1:33">
      <c r="A106" s="112" t="s">
        <v>525</v>
      </c>
      <c r="B106" s="113" t="s">
        <v>526</v>
      </c>
      <c r="C106" s="98">
        <v>43789</v>
      </c>
      <c r="D106" s="95" t="s">
        <v>60</v>
      </c>
      <c r="E106" s="113">
        <v>32</v>
      </c>
      <c r="F106" s="114">
        <v>31760</v>
      </c>
      <c r="G106" s="113" t="s">
        <v>61</v>
      </c>
      <c r="H106" s="113" t="s">
        <v>116</v>
      </c>
      <c r="I106" s="113" t="s">
        <v>62</v>
      </c>
      <c r="J106" s="115" t="s">
        <v>324</v>
      </c>
      <c r="K106" s="113" t="s">
        <v>62</v>
      </c>
      <c r="L106" s="115" t="s">
        <v>324</v>
      </c>
      <c r="M106" s="113" t="s">
        <v>62</v>
      </c>
      <c r="N106" s="113" t="s">
        <v>324</v>
      </c>
      <c r="O106" s="113" t="s">
        <v>62</v>
      </c>
      <c r="P106" s="113" t="s">
        <v>324</v>
      </c>
      <c r="Q106" s="113"/>
      <c r="R106" s="113"/>
      <c r="S106" s="113"/>
      <c r="T106" s="113"/>
      <c r="U106" s="95" t="s">
        <v>60</v>
      </c>
      <c r="V106" s="95" t="s">
        <v>60</v>
      </c>
      <c r="W106" s="95" t="s">
        <v>60</v>
      </c>
      <c r="X106" s="95">
        <v>175</v>
      </c>
      <c r="Y106" s="95">
        <v>79.099999999999994</v>
      </c>
      <c r="Z106" s="95">
        <f t="shared" si="3"/>
        <v>25.828571428571426</v>
      </c>
      <c r="AA106" s="95" t="s">
        <v>325</v>
      </c>
      <c r="AB106" s="95" t="s">
        <v>60</v>
      </c>
      <c r="AC106" s="95" t="s">
        <v>60</v>
      </c>
      <c r="AD106" s="95" t="s">
        <v>60</v>
      </c>
      <c r="AE106" s="95" t="s">
        <v>60</v>
      </c>
      <c r="AF106" s="95" t="s">
        <v>60</v>
      </c>
      <c r="AG106" s="95"/>
    </row>
    <row r="107" spans="1:33">
      <c r="A107" s="116" t="s">
        <v>527</v>
      </c>
      <c r="B107" s="116" t="s">
        <v>324</v>
      </c>
      <c r="C107" s="94">
        <v>43760</v>
      </c>
      <c r="D107" s="95" t="s">
        <v>60</v>
      </c>
      <c r="E107" s="116">
        <v>32</v>
      </c>
      <c r="F107" s="117">
        <v>31789</v>
      </c>
      <c r="G107" s="116" t="s">
        <v>61</v>
      </c>
      <c r="H107" s="116" t="s">
        <v>63</v>
      </c>
      <c r="I107" s="116" t="s">
        <v>62</v>
      </c>
      <c r="J107" s="118" t="s">
        <v>324</v>
      </c>
      <c r="K107" s="116" t="s">
        <v>62</v>
      </c>
      <c r="L107" s="118" t="s">
        <v>324</v>
      </c>
      <c r="M107" s="116" t="s">
        <v>62</v>
      </c>
      <c r="N107" s="116" t="s">
        <v>324</v>
      </c>
      <c r="O107" s="116" t="s">
        <v>62</v>
      </c>
      <c r="P107" s="116" t="s">
        <v>324</v>
      </c>
      <c r="Q107" s="116"/>
      <c r="R107" s="116"/>
      <c r="S107" s="116"/>
      <c r="T107" s="116"/>
      <c r="U107" s="95" t="s">
        <v>60</v>
      </c>
      <c r="V107" s="95" t="s">
        <v>60</v>
      </c>
      <c r="W107" s="95" t="s">
        <v>60</v>
      </c>
      <c r="X107" s="95">
        <v>168.1</v>
      </c>
      <c r="Y107" s="95">
        <v>62.1</v>
      </c>
      <c r="Z107" s="95">
        <f t="shared" si="3"/>
        <v>21.976380875806555</v>
      </c>
      <c r="AA107" s="95" t="s">
        <v>325</v>
      </c>
      <c r="AB107" s="95" t="s">
        <v>60</v>
      </c>
      <c r="AC107" s="95" t="s">
        <v>60</v>
      </c>
      <c r="AD107" s="95" t="s">
        <v>60</v>
      </c>
      <c r="AE107" s="95" t="s">
        <v>60</v>
      </c>
      <c r="AF107" s="95" t="s">
        <v>60</v>
      </c>
      <c r="AG107" s="95"/>
    </row>
    <row r="108" spans="1:33">
      <c r="A108" s="116" t="s">
        <v>528</v>
      </c>
      <c r="B108" s="116" t="s">
        <v>324</v>
      </c>
      <c r="C108" s="98">
        <v>43768</v>
      </c>
      <c r="D108" s="95" t="s">
        <v>60</v>
      </c>
      <c r="E108" s="116">
        <v>25</v>
      </c>
      <c r="F108" s="117">
        <v>34315</v>
      </c>
      <c r="G108" s="116" t="s">
        <v>61</v>
      </c>
      <c r="H108" s="116" t="s">
        <v>116</v>
      </c>
      <c r="I108" s="116" t="s">
        <v>62</v>
      </c>
      <c r="J108" s="118" t="s">
        <v>324</v>
      </c>
      <c r="K108" s="116" t="s">
        <v>62</v>
      </c>
      <c r="L108" s="118" t="s">
        <v>324</v>
      </c>
      <c r="M108" s="116" t="s">
        <v>62</v>
      </c>
      <c r="N108" s="116" t="s">
        <v>324</v>
      </c>
      <c r="O108" s="116" t="s">
        <v>62</v>
      </c>
      <c r="P108" s="116" t="s">
        <v>324</v>
      </c>
      <c r="Q108" s="116"/>
      <c r="R108" s="116"/>
      <c r="S108" s="116"/>
      <c r="T108" s="116"/>
      <c r="U108" s="95" t="s">
        <v>60</v>
      </c>
      <c r="V108" s="95" t="s">
        <v>60</v>
      </c>
      <c r="W108" s="95" t="s">
        <v>60</v>
      </c>
      <c r="X108" s="95">
        <v>161.30000000000001</v>
      </c>
      <c r="Y108" s="95">
        <v>73.5</v>
      </c>
      <c r="Z108" s="95">
        <f t="shared" si="3"/>
        <v>28.250009897112303</v>
      </c>
      <c r="AA108" s="95" t="s">
        <v>325</v>
      </c>
      <c r="AB108" s="95" t="s">
        <v>60</v>
      </c>
      <c r="AC108" s="95" t="s">
        <v>60</v>
      </c>
      <c r="AD108" s="95" t="s">
        <v>60</v>
      </c>
      <c r="AE108" s="95" t="s">
        <v>60</v>
      </c>
      <c r="AF108" s="95" t="s">
        <v>60</v>
      </c>
      <c r="AG108" s="95"/>
    </row>
    <row r="109" spans="1:33">
      <c r="A109" s="116" t="s">
        <v>529</v>
      </c>
      <c r="B109" s="116" t="s">
        <v>324</v>
      </c>
      <c r="C109" s="119">
        <v>43761</v>
      </c>
      <c r="D109" s="120" t="s">
        <v>60</v>
      </c>
      <c r="E109" s="116">
        <v>19</v>
      </c>
      <c r="F109" s="117">
        <v>36555</v>
      </c>
      <c r="G109" s="116" t="s">
        <v>61</v>
      </c>
      <c r="H109" s="116" t="s">
        <v>116</v>
      </c>
      <c r="I109" s="116" t="s">
        <v>62</v>
      </c>
      <c r="J109" s="118" t="s">
        <v>324</v>
      </c>
      <c r="K109" s="116" t="s">
        <v>62</v>
      </c>
      <c r="L109" s="118" t="s">
        <v>324</v>
      </c>
      <c r="M109" s="116" t="s">
        <v>62</v>
      </c>
      <c r="N109" s="116" t="s">
        <v>324</v>
      </c>
      <c r="O109" s="116" t="s">
        <v>62</v>
      </c>
      <c r="P109" s="116" t="s">
        <v>324</v>
      </c>
      <c r="Q109" s="116"/>
      <c r="R109" s="116"/>
      <c r="S109" s="116"/>
      <c r="T109" s="116"/>
      <c r="U109" s="120" t="s">
        <v>60</v>
      </c>
      <c r="V109" s="120" t="s">
        <v>60</v>
      </c>
      <c r="W109" s="120" t="s">
        <v>60</v>
      </c>
      <c r="X109" s="120">
        <v>169.4</v>
      </c>
      <c r="Y109" s="120">
        <v>53.2</v>
      </c>
      <c r="Z109" s="120">
        <f t="shared" si="3"/>
        <v>18.538936645623348</v>
      </c>
      <c r="AA109" s="120" t="s">
        <v>325</v>
      </c>
      <c r="AB109" s="120" t="s">
        <v>60</v>
      </c>
      <c r="AC109" s="120" t="s">
        <v>62</v>
      </c>
      <c r="AD109" s="120" t="s">
        <v>60</v>
      </c>
      <c r="AE109" s="120" t="s">
        <v>62</v>
      </c>
      <c r="AF109" s="120" t="s">
        <v>62</v>
      </c>
      <c r="AG109" s="120" t="s">
        <v>530</v>
      </c>
    </row>
    <row r="110" spans="1:33">
      <c r="A110" s="116" t="s">
        <v>531</v>
      </c>
      <c r="B110" s="116" t="s">
        <v>532</v>
      </c>
      <c r="C110" s="98">
        <v>43741</v>
      </c>
      <c r="D110" s="95" t="s">
        <v>60</v>
      </c>
      <c r="E110" s="116">
        <v>21</v>
      </c>
      <c r="F110" s="117">
        <v>35778</v>
      </c>
      <c r="G110" s="116" t="s">
        <v>58</v>
      </c>
      <c r="H110" s="116" t="s">
        <v>117</v>
      </c>
      <c r="I110" s="116" t="s">
        <v>62</v>
      </c>
      <c r="J110" s="118" t="s">
        <v>324</v>
      </c>
      <c r="K110" s="116" t="s">
        <v>62</v>
      </c>
      <c r="L110" s="118" t="s">
        <v>324</v>
      </c>
      <c r="M110" s="116" t="s">
        <v>62</v>
      </c>
      <c r="N110" s="116" t="s">
        <v>324</v>
      </c>
      <c r="O110" s="116" t="s">
        <v>62</v>
      </c>
      <c r="P110" s="116" t="s">
        <v>324</v>
      </c>
      <c r="Q110" s="116"/>
      <c r="R110" s="116"/>
      <c r="S110" s="116"/>
      <c r="T110" s="116"/>
      <c r="U110" s="95" t="s">
        <v>60</v>
      </c>
      <c r="V110" s="95" t="s">
        <v>62</v>
      </c>
      <c r="W110" s="95" t="s">
        <v>62</v>
      </c>
      <c r="X110" s="95">
        <v>180</v>
      </c>
      <c r="Y110" s="95">
        <v>126.6</v>
      </c>
      <c r="Z110" s="95">
        <f t="shared" si="3"/>
        <v>39.074074074074069</v>
      </c>
      <c r="AA110" s="95" t="s">
        <v>325</v>
      </c>
      <c r="AB110" s="95" t="s">
        <v>60</v>
      </c>
      <c r="AC110" s="95" t="s">
        <v>60</v>
      </c>
      <c r="AD110" s="95" t="s">
        <v>60</v>
      </c>
      <c r="AE110" s="95" t="s">
        <v>60</v>
      </c>
      <c r="AF110" s="95" t="s">
        <v>60</v>
      </c>
      <c r="AG110" s="95"/>
    </row>
    <row r="111" spans="1:33">
      <c r="A111" s="116" t="s">
        <v>533</v>
      </c>
      <c r="B111" s="116" t="s">
        <v>324</v>
      </c>
      <c r="C111" s="98">
        <v>43732</v>
      </c>
      <c r="D111" s="95" t="s">
        <v>60</v>
      </c>
      <c r="E111" s="116">
        <v>67</v>
      </c>
      <c r="F111" s="117">
        <v>19244</v>
      </c>
      <c r="G111" s="116" t="s">
        <v>61</v>
      </c>
      <c r="H111" s="116" t="s">
        <v>116</v>
      </c>
      <c r="I111" s="116" t="s">
        <v>62</v>
      </c>
      <c r="J111" s="118" t="s">
        <v>324</v>
      </c>
      <c r="K111" s="116" t="s">
        <v>62</v>
      </c>
      <c r="L111" s="118" t="s">
        <v>324</v>
      </c>
      <c r="M111" s="116" t="s">
        <v>62</v>
      </c>
      <c r="N111" s="116" t="s">
        <v>324</v>
      </c>
      <c r="O111" s="116" t="s">
        <v>62</v>
      </c>
      <c r="P111" s="116" t="s">
        <v>324</v>
      </c>
      <c r="Q111" s="116" t="s">
        <v>348</v>
      </c>
      <c r="R111" s="116" t="s">
        <v>445</v>
      </c>
      <c r="S111" s="116"/>
      <c r="T111" s="116"/>
      <c r="U111" s="95" t="s">
        <v>60</v>
      </c>
      <c r="V111" s="95" t="s">
        <v>60</v>
      </c>
      <c r="W111" s="95" t="s">
        <v>60</v>
      </c>
      <c r="X111" s="95">
        <v>154</v>
      </c>
      <c r="Y111" s="95">
        <v>77.900000000000006</v>
      </c>
      <c r="Z111" s="95">
        <f t="shared" si="3"/>
        <v>32.847023106763373</v>
      </c>
      <c r="AA111" s="95" t="s">
        <v>355</v>
      </c>
      <c r="AB111" s="95" t="s">
        <v>60</v>
      </c>
      <c r="AC111" s="101" t="s">
        <v>60</v>
      </c>
      <c r="AD111" s="101" t="s">
        <v>60</v>
      </c>
      <c r="AE111" s="101" t="s">
        <v>60</v>
      </c>
      <c r="AF111" s="101" t="s">
        <v>60</v>
      </c>
      <c r="AG111" s="95"/>
    </row>
    <row r="112" spans="1:33" ht="57.6">
      <c r="A112" s="116" t="s">
        <v>534</v>
      </c>
      <c r="B112" s="116" t="s">
        <v>324</v>
      </c>
      <c r="C112" s="98">
        <v>43741</v>
      </c>
      <c r="D112" s="95" t="s">
        <v>535</v>
      </c>
      <c r="E112" s="116">
        <v>73</v>
      </c>
      <c r="F112" s="117">
        <v>17066</v>
      </c>
      <c r="G112" s="116" t="s">
        <v>61</v>
      </c>
      <c r="H112" s="116" t="s">
        <v>116</v>
      </c>
      <c r="I112" s="116" t="s">
        <v>62</v>
      </c>
      <c r="J112" s="118" t="s">
        <v>324</v>
      </c>
      <c r="K112" s="116" t="s">
        <v>60</v>
      </c>
      <c r="L112" s="118" t="s">
        <v>536</v>
      </c>
      <c r="M112" s="116" t="s">
        <v>62</v>
      </c>
      <c r="N112" s="116" t="s">
        <v>324</v>
      </c>
      <c r="O112" s="116" t="s">
        <v>62</v>
      </c>
      <c r="P112" s="116" t="s">
        <v>324</v>
      </c>
      <c r="Q112" s="116"/>
      <c r="R112" s="116"/>
      <c r="S112" s="116"/>
      <c r="T112" s="116"/>
      <c r="U112" s="95" t="s">
        <v>60</v>
      </c>
      <c r="V112" s="95" t="s">
        <v>62</v>
      </c>
      <c r="W112" s="95" t="s">
        <v>62</v>
      </c>
      <c r="X112" s="95">
        <v>172.5</v>
      </c>
      <c r="Y112" s="95">
        <v>87.9</v>
      </c>
      <c r="Z112" s="95">
        <f t="shared" si="3"/>
        <v>29.540012602394452</v>
      </c>
      <c r="AA112" s="95" t="s">
        <v>355</v>
      </c>
      <c r="AB112" s="95" t="s">
        <v>60</v>
      </c>
      <c r="AC112" s="95" t="s">
        <v>60</v>
      </c>
      <c r="AD112" s="99" t="s">
        <v>60</v>
      </c>
      <c r="AE112" s="99" t="s">
        <v>60</v>
      </c>
      <c r="AF112" s="99" t="s">
        <v>60</v>
      </c>
      <c r="AG112" s="95"/>
    </row>
    <row r="113" spans="1:33">
      <c r="A113" s="116" t="s">
        <v>537</v>
      </c>
      <c r="B113" s="116" t="s">
        <v>324</v>
      </c>
      <c r="C113" s="94">
        <v>43759</v>
      </c>
      <c r="D113" s="95" t="s">
        <v>60</v>
      </c>
      <c r="E113" s="116">
        <v>65</v>
      </c>
      <c r="F113" s="117">
        <v>19944</v>
      </c>
      <c r="G113" s="116" t="s">
        <v>58</v>
      </c>
      <c r="H113" s="116" t="s">
        <v>116</v>
      </c>
      <c r="I113" s="116" t="s">
        <v>62</v>
      </c>
      <c r="J113" s="118" t="s">
        <v>324</v>
      </c>
      <c r="K113" s="116" t="s">
        <v>62</v>
      </c>
      <c r="L113" s="118" t="s">
        <v>324</v>
      </c>
      <c r="M113" s="116" t="s">
        <v>62</v>
      </c>
      <c r="N113" s="116" t="s">
        <v>324</v>
      </c>
      <c r="O113" s="116" t="s">
        <v>62</v>
      </c>
      <c r="P113" s="116" t="s">
        <v>324</v>
      </c>
      <c r="Q113" s="116" t="s">
        <v>457</v>
      </c>
      <c r="R113" s="116" t="s">
        <v>538</v>
      </c>
      <c r="S113" s="116"/>
      <c r="T113" s="116"/>
      <c r="U113" s="95" t="s">
        <v>62</v>
      </c>
      <c r="V113" s="95" t="s">
        <v>62</v>
      </c>
      <c r="W113" s="95" t="s">
        <v>62</v>
      </c>
      <c r="X113" s="95">
        <v>189.5</v>
      </c>
      <c r="Y113" s="95">
        <v>103.5</v>
      </c>
      <c r="Z113" s="95">
        <f t="shared" si="3"/>
        <v>28.821854484443854</v>
      </c>
      <c r="AA113" s="95" t="s">
        <v>325</v>
      </c>
      <c r="AB113" s="95" t="s">
        <v>60</v>
      </c>
      <c r="AC113" s="95" t="s">
        <v>60</v>
      </c>
      <c r="AD113" s="95" t="s">
        <v>60</v>
      </c>
      <c r="AE113" s="95" t="s">
        <v>60</v>
      </c>
      <c r="AF113" s="95" t="s">
        <v>60</v>
      </c>
      <c r="AG113" s="95"/>
    </row>
    <row r="114" spans="1:33" ht="72">
      <c r="A114" s="116" t="s">
        <v>539</v>
      </c>
      <c r="B114" s="116" t="s">
        <v>324</v>
      </c>
      <c r="C114" s="94">
        <v>43763</v>
      </c>
      <c r="D114" s="95" t="s">
        <v>60</v>
      </c>
      <c r="E114" s="116">
        <v>76</v>
      </c>
      <c r="F114" s="117">
        <v>15700</v>
      </c>
      <c r="G114" s="116" t="s">
        <v>58</v>
      </c>
      <c r="H114" s="116" t="s">
        <v>116</v>
      </c>
      <c r="I114" s="116" t="s">
        <v>62</v>
      </c>
      <c r="J114" s="118" t="s">
        <v>324</v>
      </c>
      <c r="K114" s="116" t="s">
        <v>60</v>
      </c>
      <c r="L114" s="118" t="s">
        <v>540</v>
      </c>
      <c r="M114" s="116" t="s">
        <v>62</v>
      </c>
      <c r="N114" s="116" t="s">
        <v>324</v>
      </c>
      <c r="O114" s="116" t="s">
        <v>62</v>
      </c>
      <c r="P114" s="116" t="s">
        <v>324</v>
      </c>
      <c r="Q114" s="116"/>
      <c r="R114" s="116"/>
      <c r="S114" s="116"/>
      <c r="T114" s="116"/>
      <c r="U114" s="95" t="s">
        <v>60</v>
      </c>
      <c r="V114" s="95" t="s">
        <v>60</v>
      </c>
      <c r="W114" s="95" t="s">
        <v>60</v>
      </c>
      <c r="X114" s="95">
        <v>178.1</v>
      </c>
      <c r="Y114" s="95">
        <v>83.7</v>
      </c>
      <c r="Z114" s="95">
        <f t="shared" si="3"/>
        <v>26.387461888718057</v>
      </c>
      <c r="AA114" s="95" t="s">
        <v>325</v>
      </c>
      <c r="AB114" s="95" t="s">
        <v>60</v>
      </c>
      <c r="AC114" s="95" t="s">
        <v>60</v>
      </c>
      <c r="AD114" s="95" t="s">
        <v>60</v>
      </c>
      <c r="AE114" s="95" t="s">
        <v>60</v>
      </c>
      <c r="AF114" s="95" t="s">
        <v>60</v>
      </c>
      <c r="AG114" s="95"/>
    </row>
    <row r="115" spans="1:33" ht="57.6">
      <c r="A115" s="116" t="s">
        <v>541</v>
      </c>
      <c r="B115" s="116" t="s">
        <v>324</v>
      </c>
      <c r="C115" s="98">
        <v>43745</v>
      </c>
      <c r="D115" s="95" t="s">
        <v>60</v>
      </c>
      <c r="E115" s="116">
        <v>55</v>
      </c>
      <c r="F115" s="117">
        <v>23444</v>
      </c>
      <c r="G115" s="116" t="s">
        <v>58</v>
      </c>
      <c r="H115" s="116" t="s">
        <v>123</v>
      </c>
      <c r="I115" s="116" t="s">
        <v>60</v>
      </c>
      <c r="J115" s="118" t="s">
        <v>542</v>
      </c>
      <c r="K115" s="116" t="s">
        <v>60</v>
      </c>
      <c r="L115" s="118" t="s">
        <v>543</v>
      </c>
      <c r="M115" s="116" t="s">
        <v>62</v>
      </c>
      <c r="N115" s="116" t="s">
        <v>324</v>
      </c>
      <c r="O115" s="116" t="s">
        <v>62</v>
      </c>
      <c r="P115" s="116" t="s">
        <v>324</v>
      </c>
      <c r="Q115" s="116"/>
      <c r="R115" s="116"/>
      <c r="S115" s="116"/>
      <c r="T115" s="116"/>
      <c r="U115" s="95" t="s">
        <v>60</v>
      </c>
      <c r="V115" s="95" t="s">
        <v>62</v>
      </c>
      <c r="W115" s="95" t="s">
        <v>62</v>
      </c>
      <c r="X115" s="95">
        <v>176</v>
      </c>
      <c r="Y115" s="95">
        <v>90.9</v>
      </c>
      <c r="Z115" s="95">
        <f t="shared" si="3"/>
        <v>29.345299586776861</v>
      </c>
      <c r="AA115" s="95" t="s">
        <v>325</v>
      </c>
      <c r="AB115" s="95" t="s">
        <v>60</v>
      </c>
      <c r="AC115" s="95" t="s">
        <v>60</v>
      </c>
      <c r="AD115" s="95" t="s">
        <v>60</v>
      </c>
      <c r="AE115" s="95" t="s">
        <v>60</v>
      </c>
      <c r="AF115" s="95"/>
      <c r="AG115" s="95"/>
    </row>
    <row r="116" spans="1:33">
      <c r="A116" s="116" t="s">
        <v>544</v>
      </c>
      <c r="B116" s="116" t="s">
        <v>324</v>
      </c>
      <c r="C116" s="98">
        <v>43733</v>
      </c>
      <c r="D116" s="95" t="s">
        <v>60</v>
      </c>
      <c r="E116" s="116">
        <v>72</v>
      </c>
      <c r="F116" s="117">
        <v>17212</v>
      </c>
      <c r="G116" s="116" t="s">
        <v>58</v>
      </c>
      <c r="H116" s="116" t="s">
        <v>116</v>
      </c>
      <c r="I116" s="116" t="s">
        <v>62</v>
      </c>
      <c r="J116" s="118" t="s">
        <v>324</v>
      </c>
      <c r="K116" s="116" t="s">
        <v>62</v>
      </c>
      <c r="L116" s="118" t="s">
        <v>324</v>
      </c>
      <c r="M116" s="116" t="s">
        <v>62</v>
      </c>
      <c r="N116" s="116" t="s">
        <v>324</v>
      </c>
      <c r="O116" s="116" t="s">
        <v>62</v>
      </c>
      <c r="P116" s="116" t="s">
        <v>324</v>
      </c>
      <c r="Q116" s="116" t="s">
        <v>545</v>
      </c>
      <c r="R116" s="116"/>
      <c r="S116" s="116"/>
      <c r="T116" s="116"/>
      <c r="U116" s="95" t="s">
        <v>60</v>
      </c>
      <c r="V116" s="95" t="s">
        <v>60</v>
      </c>
      <c r="W116" s="95" t="s">
        <v>60</v>
      </c>
      <c r="X116" s="95">
        <v>183.9</v>
      </c>
      <c r="Y116" s="95">
        <v>99.2</v>
      </c>
      <c r="Z116" s="95">
        <f t="shared" si="3"/>
        <v>29.33244153248997</v>
      </c>
      <c r="AA116" s="95" t="s">
        <v>355</v>
      </c>
      <c r="AB116" s="95" t="s">
        <v>60</v>
      </c>
      <c r="AC116" s="95" t="s">
        <v>60</v>
      </c>
      <c r="AD116" s="95" t="s">
        <v>60</v>
      </c>
      <c r="AE116" s="95" t="s">
        <v>60</v>
      </c>
      <c r="AF116" s="95" t="s">
        <v>60</v>
      </c>
      <c r="AG116" s="95"/>
    </row>
    <row r="117" spans="1:33" ht="57.6">
      <c r="A117" s="116" t="s">
        <v>546</v>
      </c>
      <c r="B117" s="116" t="s">
        <v>324</v>
      </c>
      <c r="C117" s="98">
        <v>43733</v>
      </c>
      <c r="D117" s="95" t="s">
        <v>60</v>
      </c>
      <c r="E117" s="116">
        <v>72</v>
      </c>
      <c r="F117" s="117">
        <v>17278</v>
      </c>
      <c r="G117" s="116" t="s">
        <v>61</v>
      </c>
      <c r="H117" s="116" t="s">
        <v>116</v>
      </c>
      <c r="I117" s="116" t="s">
        <v>62</v>
      </c>
      <c r="J117" s="118" t="s">
        <v>324</v>
      </c>
      <c r="K117" s="116" t="s">
        <v>60</v>
      </c>
      <c r="L117" s="118" t="s">
        <v>547</v>
      </c>
      <c r="M117" s="116" t="s">
        <v>62</v>
      </c>
      <c r="N117" s="116" t="s">
        <v>324</v>
      </c>
      <c r="O117" s="116" t="s">
        <v>60</v>
      </c>
      <c r="P117" s="116" t="s">
        <v>62</v>
      </c>
      <c r="Q117" s="116" t="s">
        <v>362</v>
      </c>
      <c r="R117" s="116"/>
      <c r="S117" s="116"/>
      <c r="T117" s="116"/>
      <c r="U117" s="95" t="s">
        <v>60</v>
      </c>
      <c r="V117" s="95" t="s">
        <v>60</v>
      </c>
      <c r="W117" s="95" t="s">
        <v>60</v>
      </c>
      <c r="X117" s="95">
        <v>156.9</v>
      </c>
      <c r="Y117" s="95">
        <v>69.099999999999994</v>
      </c>
      <c r="Z117" s="95">
        <f t="shared" si="3"/>
        <v>28.069337356469617</v>
      </c>
      <c r="AA117" s="95" t="s">
        <v>355</v>
      </c>
      <c r="AB117" s="95" t="s">
        <v>60</v>
      </c>
      <c r="AC117" s="95" t="s">
        <v>60</v>
      </c>
      <c r="AD117" s="101" t="s">
        <v>60</v>
      </c>
      <c r="AE117" s="101" t="s">
        <v>60</v>
      </c>
      <c r="AF117" s="101" t="s">
        <v>60</v>
      </c>
      <c r="AG117" s="95"/>
    </row>
    <row r="118" spans="1:33">
      <c r="A118" s="116" t="s">
        <v>548</v>
      </c>
      <c r="B118" s="116" t="s">
        <v>324</v>
      </c>
      <c r="C118" s="98">
        <v>43740</v>
      </c>
      <c r="D118" s="95" t="s">
        <v>60</v>
      </c>
      <c r="E118" s="116">
        <v>75</v>
      </c>
      <c r="F118" s="117">
        <v>16131</v>
      </c>
      <c r="G118" s="116" t="s">
        <v>61</v>
      </c>
      <c r="H118" s="116" t="s">
        <v>116</v>
      </c>
      <c r="I118" s="116" t="s">
        <v>62</v>
      </c>
      <c r="J118" s="118" t="s">
        <v>324</v>
      </c>
      <c r="K118" s="116" t="s">
        <v>62</v>
      </c>
      <c r="L118" s="118" t="s">
        <v>324</v>
      </c>
      <c r="M118" s="116" t="s">
        <v>62</v>
      </c>
      <c r="N118" s="116" t="s">
        <v>324</v>
      </c>
      <c r="O118" s="116" t="s">
        <v>62</v>
      </c>
      <c r="P118" s="116" t="s">
        <v>324</v>
      </c>
      <c r="Q118" s="116" t="s">
        <v>348</v>
      </c>
      <c r="R118" s="116" t="s">
        <v>545</v>
      </c>
      <c r="S118" s="116"/>
      <c r="T118" s="116"/>
      <c r="U118" s="95" t="s">
        <v>60</v>
      </c>
      <c r="V118" s="95" t="s">
        <v>60</v>
      </c>
      <c r="W118" s="95" t="s">
        <v>60</v>
      </c>
      <c r="X118" s="95">
        <v>166.7</v>
      </c>
      <c r="Y118" s="95">
        <v>116.5</v>
      </c>
      <c r="Z118" s="95">
        <f t="shared" si="3"/>
        <v>41.923229031458263</v>
      </c>
      <c r="AA118" s="95" t="s">
        <v>355</v>
      </c>
      <c r="AB118" s="95" t="s">
        <v>60</v>
      </c>
      <c r="AC118" s="95" t="s">
        <v>60</v>
      </c>
      <c r="AD118" s="95" t="s">
        <v>60</v>
      </c>
      <c r="AE118" s="95" t="s">
        <v>60</v>
      </c>
      <c r="AF118" s="95" t="s">
        <v>60</v>
      </c>
      <c r="AG118" s="95"/>
    </row>
    <row r="119" spans="1:33">
      <c r="A119" s="116" t="s">
        <v>549</v>
      </c>
      <c r="B119" s="116" t="s">
        <v>324</v>
      </c>
      <c r="C119" s="98">
        <v>43734</v>
      </c>
      <c r="D119" s="95" t="s">
        <v>60</v>
      </c>
      <c r="E119" s="116">
        <v>68</v>
      </c>
      <c r="F119" s="117">
        <v>18780</v>
      </c>
      <c r="G119" s="116" t="s">
        <v>61</v>
      </c>
      <c r="H119" s="116" t="s">
        <v>116</v>
      </c>
      <c r="I119" s="116" t="s">
        <v>62</v>
      </c>
      <c r="J119" s="118" t="s">
        <v>324</v>
      </c>
      <c r="K119" s="116" t="s">
        <v>62</v>
      </c>
      <c r="L119" s="118" t="s">
        <v>324</v>
      </c>
      <c r="M119" s="116" t="s">
        <v>62</v>
      </c>
      <c r="N119" s="116" t="s">
        <v>324</v>
      </c>
      <c r="O119" s="116" t="s">
        <v>60</v>
      </c>
      <c r="P119" s="116" t="s">
        <v>550</v>
      </c>
      <c r="Q119" s="116" t="s">
        <v>445</v>
      </c>
      <c r="R119" s="116"/>
      <c r="S119" s="116"/>
      <c r="T119" s="116"/>
      <c r="U119" s="95" t="s">
        <v>60</v>
      </c>
      <c r="V119" s="95" t="s">
        <v>60</v>
      </c>
      <c r="W119" s="95" t="s">
        <v>60</v>
      </c>
      <c r="X119" s="95">
        <v>165.3</v>
      </c>
      <c r="Y119" s="95">
        <v>83</v>
      </c>
      <c r="Z119" s="95">
        <f t="shared" si="3"/>
        <v>30.376125975284079</v>
      </c>
      <c r="AA119" s="95" t="s">
        <v>355</v>
      </c>
      <c r="AB119" s="95" t="s">
        <v>60</v>
      </c>
      <c r="AC119" s="95" t="s">
        <v>60</v>
      </c>
      <c r="AD119" s="95" t="s">
        <v>60</v>
      </c>
      <c r="AE119" s="95" t="s">
        <v>60</v>
      </c>
      <c r="AF119" s="95" t="s">
        <v>60</v>
      </c>
      <c r="AG119" s="95"/>
    </row>
    <row r="120" spans="1:33" ht="28.8">
      <c r="A120" s="116" t="s">
        <v>551</v>
      </c>
      <c r="B120" s="116" t="s">
        <v>324</v>
      </c>
      <c r="C120" s="98">
        <v>43738</v>
      </c>
      <c r="D120" s="95" t="s">
        <v>60</v>
      </c>
      <c r="E120" s="116">
        <v>50</v>
      </c>
      <c r="F120" s="117">
        <v>25250</v>
      </c>
      <c r="G120" s="116" t="s">
        <v>58</v>
      </c>
      <c r="H120" s="116" t="s">
        <v>117</v>
      </c>
      <c r="I120" s="116" t="s">
        <v>60</v>
      </c>
      <c r="J120" s="118" t="s">
        <v>552</v>
      </c>
      <c r="K120" s="116" t="s">
        <v>60</v>
      </c>
      <c r="L120" s="118" t="s">
        <v>553</v>
      </c>
      <c r="M120" s="116" t="s">
        <v>62</v>
      </c>
      <c r="N120" s="116" t="s">
        <v>324</v>
      </c>
      <c r="O120" s="116" t="s">
        <v>62</v>
      </c>
      <c r="P120" s="116" t="s">
        <v>324</v>
      </c>
      <c r="Q120" s="116"/>
      <c r="R120" s="116"/>
      <c r="S120" s="116"/>
      <c r="T120" s="116"/>
      <c r="U120" s="95" t="s">
        <v>60</v>
      </c>
      <c r="V120" s="95" t="s">
        <v>390</v>
      </c>
      <c r="W120" s="95" t="s">
        <v>390</v>
      </c>
      <c r="X120" s="95">
        <v>170.5</v>
      </c>
      <c r="Y120" s="95">
        <v>75.599999999999994</v>
      </c>
      <c r="Z120" s="95">
        <f t="shared" si="3"/>
        <v>26.005968300926199</v>
      </c>
      <c r="AA120" s="95" t="s">
        <v>325</v>
      </c>
      <c r="AB120" s="95" t="s">
        <v>60</v>
      </c>
      <c r="AC120" s="95"/>
      <c r="AD120" s="95" t="s">
        <v>60</v>
      </c>
      <c r="AE120" s="95" t="s">
        <v>60</v>
      </c>
      <c r="AF120" s="95"/>
      <c r="AG120" s="95"/>
    </row>
    <row r="121" spans="1:33">
      <c r="A121" s="116" t="s">
        <v>554</v>
      </c>
      <c r="B121" s="116" t="s">
        <v>324</v>
      </c>
      <c r="C121" s="98">
        <v>43740</v>
      </c>
      <c r="D121" s="95" t="s">
        <v>60</v>
      </c>
      <c r="E121" s="116">
        <v>64</v>
      </c>
      <c r="F121" s="117">
        <v>20148</v>
      </c>
      <c r="G121" s="116" t="s">
        <v>58</v>
      </c>
      <c r="H121" s="116" t="s">
        <v>116</v>
      </c>
      <c r="I121" s="116" t="s">
        <v>62</v>
      </c>
      <c r="J121" s="118" t="s">
        <v>324</v>
      </c>
      <c r="K121" s="116" t="s">
        <v>62</v>
      </c>
      <c r="L121" s="118" t="s">
        <v>324</v>
      </c>
      <c r="M121" s="116" t="s">
        <v>62</v>
      </c>
      <c r="N121" s="116" t="s">
        <v>324</v>
      </c>
      <c r="O121" s="116" t="s">
        <v>62</v>
      </c>
      <c r="P121" s="116" t="s">
        <v>324</v>
      </c>
      <c r="Q121" s="116"/>
      <c r="R121" s="116"/>
      <c r="S121" s="116"/>
      <c r="T121" s="116"/>
      <c r="U121" s="95" t="s">
        <v>60</v>
      </c>
      <c r="V121" s="95" t="s">
        <v>60</v>
      </c>
      <c r="W121" s="95" t="s">
        <v>62</v>
      </c>
      <c r="X121" s="95">
        <v>175.3</v>
      </c>
      <c r="Y121" s="95">
        <v>64.7</v>
      </c>
      <c r="Z121" s="95">
        <f t="shared" si="3"/>
        <v>21.054282626572196</v>
      </c>
      <c r="AA121" s="95" t="s">
        <v>325</v>
      </c>
      <c r="AB121" s="95" t="s">
        <v>60</v>
      </c>
      <c r="AC121" s="95" t="s">
        <v>60</v>
      </c>
      <c r="AD121" s="95" t="s">
        <v>60</v>
      </c>
      <c r="AE121" s="95" t="s">
        <v>60</v>
      </c>
      <c r="AF121" s="95" t="s">
        <v>60</v>
      </c>
      <c r="AG121" s="95"/>
    </row>
    <row r="122" spans="1:33" ht="43.2">
      <c r="A122" s="116" t="s">
        <v>555</v>
      </c>
      <c r="B122" s="116" t="s">
        <v>324</v>
      </c>
      <c r="C122" s="98">
        <v>43736</v>
      </c>
      <c r="D122" s="95" t="s">
        <v>60</v>
      </c>
      <c r="E122" s="116">
        <v>40</v>
      </c>
      <c r="F122" s="117">
        <v>29090</v>
      </c>
      <c r="G122" s="116" t="s">
        <v>61</v>
      </c>
      <c r="H122" s="116" t="s">
        <v>116</v>
      </c>
      <c r="I122" s="116" t="s">
        <v>62</v>
      </c>
      <c r="J122" s="118" t="s">
        <v>324</v>
      </c>
      <c r="K122" s="116" t="s">
        <v>60</v>
      </c>
      <c r="L122" s="118" t="s">
        <v>556</v>
      </c>
      <c r="M122" s="116" t="s">
        <v>62</v>
      </c>
      <c r="N122" s="116" t="s">
        <v>324</v>
      </c>
      <c r="O122" s="116" t="s">
        <v>62</v>
      </c>
      <c r="P122" s="116" t="s">
        <v>324</v>
      </c>
      <c r="Q122" s="116" t="s">
        <v>369</v>
      </c>
      <c r="R122" s="116"/>
      <c r="S122" s="116"/>
      <c r="T122" s="116"/>
      <c r="U122" s="95" t="s">
        <v>60</v>
      </c>
      <c r="V122" s="95" t="s">
        <v>60</v>
      </c>
      <c r="W122" s="95" t="s">
        <v>60</v>
      </c>
      <c r="X122" s="95">
        <v>168.7</v>
      </c>
      <c r="Y122" s="95">
        <v>78</v>
      </c>
      <c r="Z122" s="95">
        <f t="shared" si="3"/>
        <v>27.407185390986346</v>
      </c>
      <c r="AA122" s="95" t="s">
        <v>325</v>
      </c>
      <c r="AB122" s="95" t="s">
        <v>60</v>
      </c>
      <c r="AC122" s="95" t="s">
        <v>60</v>
      </c>
      <c r="AD122" s="95" t="s">
        <v>60</v>
      </c>
      <c r="AE122" s="95" t="s">
        <v>60</v>
      </c>
      <c r="AF122" s="95" t="s">
        <v>60</v>
      </c>
      <c r="AG122" s="95"/>
    </row>
    <row r="123" spans="1:33">
      <c r="A123" s="116" t="s">
        <v>557</v>
      </c>
      <c r="B123" s="116" t="s">
        <v>324</v>
      </c>
      <c r="C123" s="94">
        <v>43756</v>
      </c>
      <c r="D123" s="95" t="s">
        <v>60</v>
      </c>
      <c r="E123" s="116">
        <v>43</v>
      </c>
      <c r="F123" s="117">
        <v>27927</v>
      </c>
      <c r="G123" s="116" t="s">
        <v>61</v>
      </c>
      <c r="H123" s="116" t="s">
        <v>116</v>
      </c>
      <c r="I123" s="116" t="s">
        <v>62</v>
      </c>
      <c r="J123" s="118" t="s">
        <v>324</v>
      </c>
      <c r="K123" s="116" t="s">
        <v>62</v>
      </c>
      <c r="L123" s="118" t="s">
        <v>324</v>
      </c>
      <c r="M123" s="116" t="s">
        <v>62</v>
      </c>
      <c r="N123" s="116" t="s">
        <v>324</v>
      </c>
      <c r="O123" s="116" t="s">
        <v>62</v>
      </c>
      <c r="P123" s="116" t="s">
        <v>324</v>
      </c>
      <c r="Q123" s="116"/>
      <c r="R123" s="116"/>
      <c r="S123" s="116"/>
      <c r="T123" s="116"/>
      <c r="U123" s="95" t="s">
        <v>60</v>
      </c>
      <c r="V123" s="95" t="s">
        <v>60</v>
      </c>
      <c r="W123" s="95" t="s">
        <v>62</v>
      </c>
      <c r="X123" s="95">
        <v>163.1</v>
      </c>
      <c r="Y123" s="95">
        <v>59.2</v>
      </c>
      <c r="Z123" s="95">
        <f t="shared" si="3"/>
        <v>22.254292127431388</v>
      </c>
      <c r="AA123" s="95" t="s">
        <v>325</v>
      </c>
      <c r="AB123" s="95" t="s">
        <v>60</v>
      </c>
      <c r="AC123" s="95" t="s">
        <v>60</v>
      </c>
      <c r="AD123" s="95" t="s">
        <v>60</v>
      </c>
      <c r="AE123" s="101" t="s">
        <v>60</v>
      </c>
      <c r="AF123" s="101" t="s">
        <v>60</v>
      </c>
      <c r="AG123" s="95"/>
    </row>
    <row r="124" spans="1:33">
      <c r="A124" s="116" t="s">
        <v>558</v>
      </c>
      <c r="B124" s="116" t="s">
        <v>559</v>
      </c>
      <c r="C124" s="98">
        <v>43739</v>
      </c>
      <c r="D124" s="95" t="s">
        <v>60</v>
      </c>
      <c r="E124" s="116">
        <v>28</v>
      </c>
      <c r="F124" s="117">
        <v>33493</v>
      </c>
      <c r="G124" s="116" t="s">
        <v>61</v>
      </c>
      <c r="H124" s="116" t="s">
        <v>116</v>
      </c>
      <c r="I124" s="116" t="s">
        <v>62</v>
      </c>
      <c r="J124" s="118" t="s">
        <v>324</v>
      </c>
      <c r="K124" s="116" t="s">
        <v>62</v>
      </c>
      <c r="L124" s="118" t="s">
        <v>324</v>
      </c>
      <c r="M124" s="116" t="s">
        <v>62</v>
      </c>
      <c r="N124" s="116" t="s">
        <v>324</v>
      </c>
      <c r="O124" s="116" t="s">
        <v>62</v>
      </c>
      <c r="P124" s="116" t="s">
        <v>324</v>
      </c>
      <c r="Q124" s="116"/>
      <c r="R124" s="116"/>
      <c r="S124" s="116"/>
      <c r="T124" s="116"/>
      <c r="U124" s="95" t="s">
        <v>60</v>
      </c>
      <c r="V124" s="95" t="s">
        <v>62</v>
      </c>
      <c r="W124" s="95" t="s">
        <v>62</v>
      </c>
      <c r="X124" s="95">
        <v>165.2</v>
      </c>
      <c r="Y124" s="95">
        <v>62.4</v>
      </c>
      <c r="Z124" s="95">
        <f t="shared" si="3"/>
        <v>22.864647151592614</v>
      </c>
      <c r="AA124" s="95" t="s">
        <v>325</v>
      </c>
      <c r="AB124" s="95" t="s">
        <v>60</v>
      </c>
      <c r="AC124" s="95" t="s">
        <v>60</v>
      </c>
      <c r="AD124" s="95" t="s">
        <v>60</v>
      </c>
      <c r="AE124" s="95" t="s">
        <v>60</v>
      </c>
      <c r="AF124" s="95" t="s">
        <v>60</v>
      </c>
      <c r="AG124" s="95"/>
    </row>
    <row r="125" spans="1:33">
      <c r="A125" s="116" t="s">
        <v>560</v>
      </c>
      <c r="B125" s="116" t="s">
        <v>561</v>
      </c>
      <c r="C125" s="98">
        <v>43741</v>
      </c>
      <c r="D125" s="95" t="s">
        <v>60</v>
      </c>
      <c r="E125" s="116">
        <v>23</v>
      </c>
      <c r="F125" s="117">
        <v>35048</v>
      </c>
      <c r="G125" s="116" t="s">
        <v>61</v>
      </c>
      <c r="H125" s="116" t="s">
        <v>472</v>
      </c>
      <c r="I125" s="116" t="s">
        <v>62</v>
      </c>
      <c r="J125" s="118" t="s">
        <v>324</v>
      </c>
      <c r="K125" s="116" t="s">
        <v>62</v>
      </c>
      <c r="L125" s="118" t="s">
        <v>324</v>
      </c>
      <c r="M125" s="116" t="s">
        <v>62</v>
      </c>
      <c r="N125" s="116" t="s">
        <v>324</v>
      </c>
      <c r="O125" s="116" t="s">
        <v>62</v>
      </c>
      <c r="P125" s="116" t="s">
        <v>324</v>
      </c>
      <c r="Q125" s="116"/>
      <c r="R125" s="116"/>
      <c r="S125" s="116"/>
      <c r="T125" s="116"/>
      <c r="U125" s="95" t="s">
        <v>60</v>
      </c>
      <c r="V125" s="95" t="s">
        <v>60</v>
      </c>
      <c r="W125" s="95" t="s">
        <v>60</v>
      </c>
      <c r="X125" s="95">
        <v>160.30000000000001</v>
      </c>
      <c r="Y125" s="95">
        <v>52.8</v>
      </c>
      <c r="Z125" s="95">
        <f t="shared" si="3"/>
        <v>20.54787323674535</v>
      </c>
      <c r="AA125" s="95" t="s">
        <v>325</v>
      </c>
      <c r="AB125" s="95" t="s">
        <v>60</v>
      </c>
      <c r="AC125" s="95" t="s">
        <v>60</v>
      </c>
      <c r="AD125" s="99" t="s">
        <v>60</v>
      </c>
      <c r="AE125" s="99" t="s">
        <v>60</v>
      </c>
      <c r="AF125" s="99" t="s">
        <v>60</v>
      </c>
      <c r="AG125" s="95"/>
    </row>
    <row r="126" spans="1:33">
      <c r="A126" s="116" t="s">
        <v>562</v>
      </c>
      <c r="B126" s="116" t="s">
        <v>324</v>
      </c>
      <c r="C126" s="98">
        <v>43742</v>
      </c>
      <c r="D126" s="95" t="s">
        <v>60</v>
      </c>
      <c r="E126" s="116">
        <v>65</v>
      </c>
      <c r="F126" s="117">
        <v>19659</v>
      </c>
      <c r="G126" s="116" t="s">
        <v>61</v>
      </c>
      <c r="H126" s="116" t="s">
        <v>116</v>
      </c>
      <c r="I126" s="116" t="s">
        <v>62</v>
      </c>
      <c r="J126" s="118" t="s">
        <v>324</v>
      </c>
      <c r="K126" s="116" t="s">
        <v>62</v>
      </c>
      <c r="L126" s="118" t="s">
        <v>324</v>
      </c>
      <c r="M126" s="116" t="s">
        <v>62</v>
      </c>
      <c r="N126" s="116" t="s">
        <v>324</v>
      </c>
      <c r="O126" s="116" t="s">
        <v>62</v>
      </c>
      <c r="P126" s="116" t="s">
        <v>324</v>
      </c>
      <c r="Q126" s="116"/>
      <c r="R126" s="116"/>
      <c r="S126" s="116"/>
      <c r="T126" s="116"/>
      <c r="U126" s="95" t="s">
        <v>60</v>
      </c>
      <c r="V126" s="95" t="s">
        <v>60</v>
      </c>
      <c r="W126" s="95" t="s">
        <v>60</v>
      </c>
      <c r="X126" s="95">
        <v>159.30000000000001</v>
      </c>
      <c r="Y126" s="95">
        <v>61.1</v>
      </c>
      <c r="Z126" s="95">
        <f t="shared" si="3"/>
        <v>24.077403927808767</v>
      </c>
      <c r="AA126" s="95" t="s">
        <v>355</v>
      </c>
      <c r="AB126" s="95" t="s">
        <v>60</v>
      </c>
      <c r="AC126" s="95" t="s">
        <v>60</v>
      </c>
      <c r="AD126" s="95" t="s">
        <v>60</v>
      </c>
      <c r="AE126" s="95" t="s">
        <v>60</v>
      </c>
      <c r="AF126" s="95" t="s">
        <v>60</v>
      </c>
      <c r="AG126" s="95"/>
    </row>
    <row r="127" spans="1:33" ht="28.8">
      <c r="A127" s="116" t="s">
        <v>563</v>
      </c>
      <c r="B127" s="116" t="s">
        <v>324</v>
      </c>
      <c r="C127" s="98">
        <v>43740</v>
      </c>
      <c r="D127" s="95" t="s">
        <v>60</v>
      </c>
      <c r="E127" s="116">
        <v>72</v>
      </c>
      <c r="F127" s="117">
        <v>17267</v>
      </c>
      <c r="G127" s="116" t="s">
        <v>58</v>
      </c>
      <c r="H127" s="116" t="s">
        <v>116</v>
      </c>
      <c r="I127" s="116" t="s">
        <v>62</v>
      </c>
      <c r="J127" s="118" t="s">
        <v>324</v>
      </c>
      <c r="K127" s="116" t="s">
        <v>60</v>
      </c>
      <c r="L127" s="118" t="s">
        <v>564</v>
      </c>
      <c r="M127" s="116" t="s">
        <v>62</v>
      </c>
      <c r="N127" s="116" t="s">
        <v>324</v>
      </c>
      <c r="O127" s="116" t="s">
        <v>60</v>
      </c>
      <c r="P127" s="116" t="s">
        <v>60</v>
      </c>
      <c r="Q127" s="116" t="s">
        <v>476</v>
      </c>
      <c r="R127" s="116" t="s">
        <v>454</v>
      </c>
      <c r="S127" s="116" t="s">
        <v>565</v>
      </c>
      <c r="T127" s="116" t="s">
        <v>402</v>
      </c>
      <c r="U127" s="95" t="s">
        <v>60</v>
      </c>
      <c r="V127" s="95" t="s">
        <v>60</v>
      </c>
      <c r="W127" s="95" t="s">
        <v>60</v>
      </c>
      <c r="X127" s="95">
        <v>180.7</v>
      </c>
      <c r="Y127" s="95">
        <v>110.9</v>
      </c>
      <c r="Z127" s="95">
        <f t="shared" si="3"/>
        <v>33.963719152811933</v>
      </c>
      <c r="AA127" s="95" t="s">
        <v>355</v>
      </c>
      <c r="AB127" s="95" t="s">
        <v>60</v>
      </c>
      <c r="AC127" s="95"/>
      <c r="AD127" s="95" t="s">
        <v>60</v>
      </c>
      <c r="AE127" s="95" t="s">
        <v>60</v>
      </c>
      <c r="AF127" s="95"/>
      <c r="AG127" s="95"/>
    </row>
    <row r="128" spans="1:33" ht="57.6">
      <c r="A128" s="116" t="s">
        <v>566</v>
      </c>
      <c r="B128" s="116" t="s">
        <v>324</v>
      </c>
      <c r="C128" s="98">
        <v>43740</v>
      </c>
      <c r="D128" s="95" t="s">
        <v>60</v>
      </c>
      <c r="E128" s="116">
        <v>72</v>
      </c>
      <c r="F128" s="117">
        <v>17193</v>
      </c>
      <c r="G128" s="116" t="s">
        <v>61</v>
      </c>
      <c r="H128" s="116" t="s">
        <v>116</v>
      </c>
      <c r="I128" s="116" t="s">
        <v>62</v>
      </c>
      <c r="J128" s="118" t="s">
        <v>324</v>
      </c>
      <c r="K128" s="116" t="s">
        <v>60</v>
      </c>
      <c r="L128" s="118" t="s">
        <v>567</v>
      </c>
      <c r="M128" s="116" t="s">
        <v>62</v>
      </c>
      <c r="N128" s="116" t="s">
        <v>324</v>
      </c>
      <c r="O128" s="116" t="s">
        <v>62</v>
      </c>
      <c r="P128" s="116" t="s">
        <v>324</v>
      </c>
      <c r="Q128" s="116" t="s">
        <v>483</v>
      </c>
      <c r="R128" s="116" t="s">
        <v>568</v>
      </c>
      <c r="S128" s="116" t="s">
        <v>348</v>
      </c>
      <c r="T128" s="116" t="s">
        <v>569</v>
      </c>
      <c r="U128" s="95" t="s">
        <v>60</v>
      </c>
      <c r="V128" s="95" t="s">
        <v>60</v>
      </c>
      <c r="W128" s="95" t="s">
        <v>60</v>
      </c>
      <c r="X128" s="95">
        <v>156</v>
      </c>
      <c r="Y128" s="95">
        <v>80.8</v>
      </c>
      <c r="Z128" s="95">
        <f t="shared" si="3"/>
        <v>33.201840894148582</v>
      </c>
      <c r="AA128" s="95" t="s">
        <v>355</v>
      </c>
      <c r="AB128" s="95" t="s">
        <v>60</v>
      </c>
      <c r="AC128" s="95"/>
      <c r="AD128" s="95" t="s">
        <v>60</v>
      </c>
      <c r="AE128" s="95" t="s">
        <v>60</v>
      </c>
      <c r="AF128" s="95"/>
      <c r="AG128" s="95"/>
    </row>
    <row r="129" spans="1:33" ht="43.2">
      <c r="A129" s="116" t="s">
        <v>570</v>
      </c>
      <c r="B129" s="116" t="s">
        <v>324</v>
      </c>
      <c r="C129" s="98">
        <v>43740</v>
      </c>
      <c r="D129" s="95" t="s">
        <v>60</v>
      </c>
      <c r="E129" s="116">
        <v>70</v>
      </c>
      <c r="F129" s="117">
        <v>18115</v>
      </c>
      <c r="G129" s="116" t="s">
        <v>58</v>
      </c>
      <c r="H129" s="116" t="s">
        <v>116</v>
      </c>
      <c r="I129" s="116" t="s">
        <v>62</v>
      </c>
      <c r="J129" s="118" t="s">
        <v>324</v>
      </c>
      <c r="K129" s="116" t="s">
        <v>60</v>
      </c>
      <c r="L129" s="118" t="s">
        <v>571</v>
      </c>
      <c r="M129" s="116" t="s">
        <v>62</v>
      </c>
      <c r="N129" s="116" t="s">
        <v>324</v>
      </c>
      <c r="O129" s="116" t="s">
        <v>60</v>
      </c>
      <c r="P129" s="116" t="s">
        <v>62</v>
      </c>
      <c r="Q129" s="116" t="s">
        <v>348</v>
      </c>
      <c r="R129" s="116"/>
      <c r="S129" s="116"/>
      <c r="T129" s="116"/>
      <c r="U129" s="95" t="s">
        <v>60</v>
      </c>
      <c r="V129" s="95" t="s">
        <v>60</v>
      </c>
      <c r="W129" s="95" t="s">
        <v>60</v>
      </c>
      <c r="X129" s="95">
        <v>171</v>
      </c>
      <c r="Y129" s="95">
        <v>105.9</v>
      </c>
      <c r="Z129" s="95">
        <f t="shared" si="3"/>
        <v>36.216271673335392</v>
      </c>
      <c r="AA129" s="95" t="s">
        <v>325</v>
      </c>
      <c r="AB129" s="95" t="s">
        <v>60</v>
      </c>
      <c r="AC129" s="95"/>
      <c r="AD129" s="95" t="s">
        <v>60</v>
      </c>
      <c r="AE129" s="95" t="s">
        <v>60</v>
      </c>
      <c r="AF129" s="95"/>
      <c r="AG129" s="95"/>
    </row>
    <row r="130" spans="1:33">
      <c r="A130" s="116" t="s">
        <v>572</v>
      </c>
      <c r="B130" s="116" t="s">
        <v>324</v>
      </c>
      <c r="C130" s="98">
        <v>43741</v>
      </c>
      <c r="D130" s="95" t="s">
        <v>60</v>
      </c>
      <c r="E130" s="116">
        <v>71</v>
      </c>
      <c r="F130" s="117">
        <v>17716</v>
      </c>
      <c r="G130" s="116" t="s">
        <v>58</v>
      </c>
      <c r="H130" s="116" t="s">
        <v>123</v>
      </c>
      <c r="I130" s="116" t="s">
        <v>62</v>
      </c>
      <c r="J130" s="118" t="s">
        <v>324</v>
      </c>
      <c r="K130" s="116" t="s">
        <v>62</v>
      </c>
      <c r="L130" s="118" t="s">
        <v>324</v>
      </c>
      <c r="M130" s="116" t="s">
        <v>62</v>
      </c>
      <c r="N130" s="116" t="s">
        <v>324</v>
      </c>
      <c r="O130" s="116" t="s">
        <v>62</v>
      </c>
      <c r="P130" s="116" t="s">
        <v>324</v>
      </c>
      <c r="Q130" s="116" t="s">
        <v>573</v>
      </c>
      <c r="R130" s="116"/>
      <c r="S130" s="116"/>
      <c r="T130" s="116"/>
      <c r="U130" s="95" t="s">
        <v>60</v>
      </c>
      <c r="V130" s="95" t="s">
        <v>60</v>
      </c>
      <c r="W130" s="95" t="s">
        <v>60</v>
      </c>
      <c r="X130" s="95">
        <v>171.5</v>
      </c>
      <c r="Y130" s="95">
        <v>81.2</v>
      </c>
      <c r="Z130" s="95">
        <f t="shared" si="3"/>
        <v>27.607544475516153</v>
      </c>
      <c r="AA130" s="95" t="s">
        <v>325</v>
      </c>
      <c r="AB130" s="95" t="s">
        <v>60</v>
      </c>
      <c r="AC130" s="95" t="s">
        <v>60</v>
      </c>
      <c r="AD130" s="99" t="s">
        <v>60</v>
      </c>
      <c r="AE130" s="99" t="s">
        <v>60</v>
      </c>
      <c r="AF130" s="99" t="s">
        <v>60</v>
      </c>
      <c r="AG130" s="95"/>
    </row>
    <row r="131" spans="1:33" ht="43.2">
      <c r="A131" s="116" t="s">
        <v>574</v>
      </c>
      <c r="B131" s="116" t="s">
        <v>324</v>
      </c>
      <c r="C131" s="94">
        <v>43752</v>
      </c>
      <c r="D131" s="95" t="s">
        <v>60</v>
      </c>
      <c r="E131" s="116">
        <v>60</v>
      </c>
      <c r="F131" s="117">
        <v>21574</v>
      </c>
      <c r="G131" s="116" t="s">
        <v>61</v>
      </c>
      <c r="H131" s="116" t="s">
        <v>117</v>
      </c>
      <c r="I131" s="116" t="s">
        <v>60</v>
      </c>
      <c r="J131" s="118" t="s">
        <v>575</v>
      </c>
      <c r="K131" s="116" t="s">
        <v>60</v>
      </c>
      <c r="L131" s="118" t="s">
        <v>575</v>
      </c>
      <c r="M131" s="116" t="s">
        <v>62</v>
      </c>
      <c r="N131" s="116" t="s">
        <v>324</v>
      </c>
      <c r="O131" s="116" t="s">
        <v>60</v>
      </c>
      <c r="P131" s="116" t="s">
        <v>576</v>
      </c>
      <c r="Q131" s="116" t="s">
        <v>424</v>
      </c>
      <c r="R131" s="116" t="s">
        <v>348</v>
      </c>
      <c r="S131" s="116"/>
      <c r="T131" s="116"/>
      <c r="U131" s="95" t="s">
        <v>60</v>
      </c>
      <c r="V131" s="95" t="s">
        <v>60</v>
      </c>
      <c r="W131" s="95" t="s">
        <v>60</v>
      </c>
      <c r="X131" s="95">
        <v>154.6</v>
      </c>
      <c r="Y131" s="95">
        <v>77.099999999999994</v>
      </c>
      <c r="Z131" s="95">
        <f t="shared" si="3"/>
        <v>32.257848573039972</v>
      </c>
      <c r="AA131" s="95" t="s">
        <v>325</v>
      </c>
      <c r="AB131" s="95" t="s">
        <v>60</v>
      </c>
      <c r="AC131" s="95"/>
      <c r="AD131" s="95" t="s">
        <v>60</v>
      </c>
      <c r="AE131" s="95" t="s">
        <v>60</v>
      </c>
      <c r="AF131" s="95"/>
      <c r="AG131" s="95"/>
    </row>
    <row r="132" spans="1:33">
      <c r="A132" s="116" t="s">
        <v>577</v>
      </c>
      <c r="B132" s="116" t="s">
        <v>324</v>
      </c>
      <c r="C132" s="98">
        <v>43746</v>
      </c>
      <c r="D132" s="95" t="s">
        <v>60</v>
      </c>
      <c r="E132" s="116">
        <v>70</v>
      </c>
      <c r="F132" s="117">
        <v>18040</v>
      </c>
      <c r="G132" s="116" t="s">
        <v>61</v>
      </c>
      <c r="H132" s="116" t="s">
        <v>116</v>
      </c>
      <c r="I132" s="116" t="s">
        <v>62</v>
      </c>
      <c r="J132" s="118" t="s">
        <v>324</v>
      </c>
      <c r="K132" s="116" t="s">
        <v>62</v>
      </c>
      <c r="L132" s="118" t="s">
        <v>324</v>
      </c>
      <c r="M132" s="116" t="s">
        <v>62</v>
      </c>
      <c r="N132" s="116" t="s">
        <v>324</v>
      </c>
      <c r="O132" s="116" t="s">
        <v>62</v>
      </c>
      <c r="P132" s="116" t="s">
        <v>324</v>
      </c>
      <c r="Q132" s="116" t="s">
        <v>578</v>
      </c>
      <c r="R132" s="116"/>
      <c r="S132" s="116"/>
      <c r="T132" s="116"/>
      <c r="U132" s="95" t="s">
        <v>60</v>
      </c>
      <c r="V132" s="95" t="s">
        <v>60</v>
      </c>
      <c r="W132" s="95" t="s">
        <v>60</v>
      </c>
      <c r="X132" s="95">
        <v>162.69999999999999</v>
      </c>
      <c r="Y132" s="95">
        <v>54.3</v>
      </c>
      <c r="Z132" s="95">
        <f t="shared" si="3"/>
        <v>20.512789516491267</v>
      </c>
      <c r="AA132" s="95" t="s">
        <v>355</v>
      </c>
      <c r="AB132" s="95" t="s">
        <v>60</v>
      </c>
      <c r="AC132" s="95"/>
      <c r="AD132" s="95" t="s">
        <v>60</v>
      </c>
      <c r="AE132" s="95" t="s">
        <v>60</v>
      </c>
      <c r="AF132" s="95"/>
      <c r="AG132" s="95"/>
    </row>
    <row r="133" spans="1:33" ht="43.2">
      <c r="A133" s="116" t="s">
        <v>579</v>
      </c>
      <c r="B133" s="116" t="s">
        <v>324</v>
      </c>
      <c r="C133" s="98">
        <v>43746</v>
      </c>
      <c r="D133" s="95" t="s">
        <v>60</v>
      </c>
      <c r="E133" s="116">
        <v>40</v>
      </c>
      <c r="F133" s="117">
        <v>28856</v>
      </c>
      <c r="G133" s="116" t="s">
        <v>58</v>
      </c>
      <c r="H133" s="116" t="s">
        <v>116</v>
      </c>
      <c r="I133" s="116" t="s">
        <v>62</v>
      </c>
      <c r="J133" s="118" t="s">
        <v>324</v>
      </c>
      <c r="K133" s="116" t="s">
        <v>60</v>
      </c>
      <c r="L133" s="118" t="s">
        <v>580</v>
      </c>
      <c r="M133" s="116" t="s">
        <v>62</v>
      </c>
      <c r="N133" s="116" t="s">
        <v>324</v>
      </c>
      <c r="O133" s="116" t="s">
        <v>62</v>
      </c>
      <c r="P133" s="116" t="s">
        <v>324</v>
      </c>
      <c r="Q133" s="116" t="s">
        <v>348</v>
      </c>
      <c r="R133" s="116" t="s">
        <v>581</v>
      </c>
      <c r="S133" s="116"/>
      <c r="T133" s="116"/>
      <c r="U133" s="95" t="s">
        <v>60</v>
      </c>
      <c r="V133" s="95" t="s">
        <v>60</v>
      </c>
      <c r="W133" s="95" t="s">
        <v>60</v>
      </c>
      <c r="X133" s="95">
        <v>175</v>
      </c>
      <c r="Y133" s="95">
        <v>89.2</v>
      </c>
      <c r="Z133" s="95">
        <f t="shared" ref="Z133:Z164" si="4">Y133/((X133/100)^2)</f>
        <v>29.126530612244899</v>
      </c>
      <c r="AA133" s="95" t="s">
        <v>582</v>
      </c>
      <c r="AB133" s="95" t="s">
        <v>60</v>
      </c>
      <c r="AC133" s="95" t="s">
        <v>60</v>
      </c>
      <c r="AD133" s="95" t="s">
        <v>60</v>
      </c>
      <c r="AE133" s="95" t="s">
        <v>60</v>
      </c>
      <c r="AF133" s="95" t="s">
        <v>60</v>
      </c>
      <c r="AG133" s="95"/>
    </row>
    <row r="134" spans="1:33" ht="57.6">
      <c r="A134" s="116" t="s">
        <v>583</v>
      </c>
      <c r="B134" s="116" t="s">
        <v>324</v>
      </c>
      <c r="C134" s="98">
        <v>43740</v>
      </c>
      <c r="D134" s="95" t="s">
        <v>60</v>
      </c>
      <c r="E134" s="116">
        <v>77</v>
      </c>
      <c r="F134" s="117">
        <v>15595</v>
      </c>
      <c r="G134" s="116" t="s">
        <v>61</v>
      </c>
      <c r="H134" s="116" t="s">
        <v>116</v>
      </c>
      <c r="I134" s="116" t="s">
        <v>62</v>
      </c>
      <c r="J134" s="118" t="s">
        <v>324</v>
      </c>
      <c r="K134" s="116" t="s">
        <v>60</v>
      </c>
      <c r="L134" s="118" t="s">
        <v>584</v>
      </c>
      <c r="M134" s="116" t="s">
        <v>62</v>
      </c>
      <c r="N134" s="116" t="s">
        <v>324</v>
      </c>
      <c r="O134" s="116" t="s">
        <v>62</v>
      </c>
      <c r="P134" s="116" t="s">
        <v>324</v>
      </c>
      <c r="Q134" s="116" t="s">
        <v>348</v>
      </c>
      <c r="R134" s="116"/>
      <c r="S134" s="116"/>
      <c r="T134" s="116"/>
      <c r="U134" s="95" t="s">
        <v>60</v>
      </c>
      <c r="V134" s="95" t="s">
        <v>60</v>
      </c>
      <c r="W134" s="95" t="s">
        <v>60</v>
      </c>
      <c r="X134" s="95">
        <v>169</v>
      </c>
      <c r="Y134" s="95">
        <v>65.5</v>
      </c>
      <c r="Z134" s="95">
        <f t="shared" si="4"/>
        <v>22.93337068029831</v>
      </c>
      <c r="AA134" s="95" t="s">
        <v>355</v>
      </c>
      <c r="AB134" s="95" t="s">
        <v>60</v>
      </c>
      <c r="AC134" s="95" t="s">
        <v>60</v>
      </c>
      <c r="AD134" s="95" t="s">
        <v>60</v>
      </c>
      <c r="AE134" s="95" t="s">
        <v>60</v>
      </c>
      <c r="AF134" s="95" t="s">
        <v>60</v>
      </c>
      <c r="AG134" s="95"/>
    </row>
    <row r="135" spans="1:33" ht="43.2">
      <c r="A135" s="116" t="s">
        <v>585</v>
      </c>
      <c r="B135" s="116" t="s">
        <v>324</v>
      </c>
      <c r="C135" s="94">
        <v>43748</v>
      </c>
      <c r="D135" s="95" t="s">
        <v>60</v>
      </c>
      <c r="E135" s="116">
        <v>70</v>
      </c>
      <c r="F135" s="117">
        <v>17821</v>
      </c>
      <c r="G135" s="116" t="s">
        <v>58</v>
      </c>
      <c r="H135" s="116" t="s">
        <v>116</v>
      </c>
      <c r="I135" s="116" t="s">
        <v>62</v>
      </c>
      <c r="J135" s="118" t="s">
        <v>324</v>
      </c>
      <c r="K135" s="116" t="s">
        <v>60</v>
      </c>
      <c r="L135" s="118" t="s">
        <v>586</v>
      </c>
      <c r="M135" s="116" t="s">
        <v>62</v>
      </c>
      <c r="N135" s="116" t="s">
        <v>324</v>
      </c>
      <c r="O135" s="116" t="s">
        <v>60</v>
      </c>
      <c r="P135" s="116" t="s">
        <v>62</v>
      </c>
      <c r="Q135" s="116" t="s">
        <v>587</v>
      </c>
      <c r="R135" s="116" t="s">
        <v>588</v>
      </c>
      <c r="S135" s="116"/>
      <c r="T135" s="116"/>
      <c r="U135" s="95" t="s">
        <v>60</v>
      </c>
      <c r="V135" s="95" t="s">
        <v>60</v>
      </c>
      <c r="W135" s="95" t="s">
        <v>60</v>
      </c>
      <c r="X135" s="95">
        <v>198</v>
      </c>
      <c r="Y135" s="95">
        <v>117</v>
      </c>
      <c r="Z135" s="95">
        <f t="shared" si="4"/>
        <v>29.843893480257119</v>
      </c>
      <c r="AA135" s="95" t="s">
        <v>355</v>
      </c>
      <c r="AB135" s="95" t="s">
        <v>60</v>
      </c>
      <c r="AC135" s="95"/>
      <c r="AD135" s="95" t="s">
        <v>60</v>
      </c>
      <c r="AE135" s="95" t="s">
        <v>60</v>
      </c>
      <c r="AF135" s="95"/>
      <c r="AG135" s="95"/>
    </row>
    <row r="136" spans="1:33">
      <c r="A136" s="116" t="s">
        <v>589</v>
      </c>
      <c r="B136" s="116" t="s">
        <v>324</v>
      </c>
      <c r="C136" s="98">
        <v>43746</v>
      </c>
      <c r="D136" s="95" t="s">
        <v>60</v>
      </c>
      <c r="E136" s="116">
        <v>64</v>
      </c>
      <c r="F136" s="117">
        <v>20059</v>
      </c>
      <c r="G136" s="116" t="s">
        <v>61</v>
      </c>
      <c r="H136" s="116" t="s">
        <v>116</v>
      </c>
      <c r="I136" s="116" t="s">
        <v>62</v>
      </c>
      <c r="J136" s="118" t="s">
        <v>324</v>
      </c>
      <c r="K136" s="116" t="s">
        <v>62</v>
      </c>
      <c r="L136" s="118" t="s">
        <v>324</v>
      </c>
      <c r="M136" s="116" t="s">
        <v>62</v>
      </c>
      <c r="N136" s="116" t="s">
        <v>324</v>
      </c>
      <c r="O136" s="116" t="s">
        <v>60</v>
      </c>
      <c r="P136" s="116" t="s">
        <v>60</v>
      </c>
      <c r="Q136" s="116" t="s">
        <v>348</v>
      </c>
      <c r="R136" s="116" t="s">
        <v>362</v>
      </c>
      <c r="S136" s="116" t="s">
        <v>445</v>
      </c>
      <c r="T136" s="116" t="s">
        <v>590</v>
      </c>
      <c r="U136" s="95" t="s">
        <v>62</v>
      </c>
      <c r="V136" s="95" t="s">
        <v>62</v>
      </c>
      <c r="W136" s="95" t="s">
        <v>62</v>
      </c>
      <c r="X136" s="95">
        <v>160.19999999999999</v>
      </c>
      <c r="Y136" s="95">
        <v>70.8</v>
      </c>
      <c r="Z136" s="95">
        <f t="shared" si="4"/>
        <v>27.587238797944522</v>
      </c>
      <c r="AA136" s="95" t="s">
        <v>325</v>
      </c>
      <c r="AB136" s="95" t="s">
        <v>60</v>
      </c>
      <c r="AC136" s="95" t="s">
        <v>60</v>
      </c>
      <c r="AD136" s="95" t="s">
        <v>60</v>
      </c>
      <c r="AE136" s="95" t="s">
        <v>60</v>
      </c>
      <c r="AF136" s="95" t="s">
        <v>60</v>
      </c>
      <c r="AG136" s="95"/>
    </row>
    <row r="137" spans="1:33">
      <c r="A137" s="116" t="s">
        <v>591</v>
      </c>
      <c r="B137" s="116" t="s">
        <v>324</v>
      </c>
      <c r="C137" s="98">
        <v>43746</v>
      </c>
      <c r="D137" s="95" t="s">
        <v>60</v>
      </c>
      <c r="E137" s="116">
        <v>69</v>
      </c>
      <c r="F137" s="117">
        <v>18315</v>
      </c>
      <c r="G137" s="116" t="s">
        <v>61</v>
      </c>
      <c r="H137" s="116" t="s">
        <v>116</v>
      </c>
      <c r="I137" s="116" t="s">
        <v>62</v>
      </c>
      <c r="J137" s="118" t="s">
        <v>324</v>
      </c>
      <c r="K137" s="116" t="s">
        <v>62</v>
      </c>
      <c r="L137" s="118" t="s">
        <v>324</v>
      </c>
      <c r="M137" s="116" t="s">
        <v>62</v>
      </c>
      <c r="N137" s="116" t="s">
        <v>324</v>
      </c>
      <c r="O137" s="116" t="s">
        <v>62</v>
      </c>
      <c r="P137" s="116" t="s">
        <v>324</v>
      </c>
      <c r="Q137" s="116" t="s">
        <v>362</v>
      </c>
      <c r="R137" s="116"/>
      <c r="S137" s="116"/>
      <c r="T137" s="116"/>
      <c r="U137" s="95" t="s">
        <v>60</v>
      </c>
      <c r="V137" s="95" t="s">
        <v>60</v>
      </c>
      <c r="W137" s="95" t="s">
        <v>60</v>
      </c>
      <c r="X137" s="95">
        <v>168.2</v>
      </c>
      <c r="Y137" s="95">
        <v>65.5</v>
      </c>
      <c r="Z137" s="95">
        <f t="shared" si="4"/>
        <v>23.1520428231495</v>
      </c>
      <c r="AA137" s="95" t="s">
        <v>355</v>
      </c>
      <c r="AB137" s="95" t="s">
        <v>60</v>
      </c>
      <c r="AC137" s="95" t="s">
        <v>60</v>
      </c>
      <c r="AD137" s="95" t="s">
        <v>60</v>
      </c>
      <c r="AE137" s="95" t="s">
        <v>60</v>
      </c>
      <c r="AF137" s="95" t="s">
        <v>60</v>
      </c>
      <c r="AG137" s="95"/>
    </row>
    <row r="138" spans="1:33">
      <c r="A138" s="116" t="s">
        <v>592</v>
      </c>
      <c r="B138" s="116" t="s">
        <v>324</v>
      </c>
      <c r="C138" s="94">
        <v>43752</v>
      </c>
      <c r="D138" s="95" t="s">
        <v>60</v>
      </c>
      <c r="E138" s="116">
        <v>66</v>
      </c>
      <c r="F138" s="117">
        <v>19464</v>
      </c>
      <c r="G138" s="116" t="s">
        <v>61</v>
      </c>
      <c r="H138" s="116" t="s">
        <v>116</v>
      </c>
      <c r="I138" s="116" t="s">
        <v>62</v>
      </c>
      <c r="J138" s="118" t="s">
        <v>324</v>
      </c>
      <c r="K138" s="116" t="s">
        <v>62</v>
      </c>
      <c r="L138" s="118" t="s">
        <v>324</v>
      </c>
      <c r="M138" s="116" t="s">
        <v>62</v>
      </c>
      <c r="N138" s="116" t="s">
        <v>324</v>
      </c>
      <c r="O138" s="116" t="s">
        <v>62</v>
      </c>
      <c r="P138" s="116" t="s">
        <v>324</v>
      </c>
      <c r="Q138" s="116" t="s">
        <v>593</v>
      </c>
      <c r="R138" s="116"/>
      <c r="S138" s="116"/>
      <c r="T138" s="116"/>
      <c r="U138" s="95" t="s">
        <v>60</v>
      </c>
      <c r="V138" s="95" t="s">
        <v>60</v>
      </c>
      <c r="W138" s="95" t="s">
        <v>60</v>
      </c>
      <c r="X138" s="95">
        <v>163.5</v>
      </c>
      <c r="Y138" s="95">
        <v>57.9</v>
      </c>
      <c r="Z138" s="95">
        <f t="shared" si="4"/>
        <v>21.659231826726145</v>
      </c>
      <c r="AA138" s="95" t="s">
        <v>355</v>
      </c>
      <c r="AB138" s="95" t="s">
        <v>60</v>
      </c>
      <c r="AC138" s="95"/>
      <c r="AD138" s="95" t="s">
        <v>60</v>
      </c>
      <c r="AE138" s="95" t="s">
        <v>60</v>
      </c>
      <c r="AF138" s="95" t="s">
        <v>60</v>
      </c>
      <c r="AG138" s="95"/>
    </row>
    <row r="139" spans="1:33">
      <c r="A139" s="116" t="s">
        <v>594</v>
      </c>
      <c r="B139" s="116" t="s">
        <v>324</v>
      </c>
      <c r="C139" s="94">
        <v>43752</v>
      </c>
      <c r="D139" s="95" t="s">
        <v>60</v>
      </c>
      <c r="E139" s="116">
        <v>67</v>
      </c>
      <c r="F139" s="117">
        <v>19264</v>
      </c>
      <c r="G139" s="116" t="s">
        <v>58</v>
      </c>
      <c r="H139" s="116" t="s">
        <v>116</v>
      </c>
      <c r="I139" s="116" t="s">
        <v>62</v>
      </c>
      <c r="J139" s="118" t="s">
        <v>324</v>
      </c>
      <c r="K139" s="116" t="s">
        <v>62</v>
      </c>
      <c r="L139" s="118" t="s">
        <v>324</v>
      </c>
      <c r="M139" s="116" t="s">
        <v>62</v>
      </c>
      <c r="N139" s="116" t="s">
        <v>324</v>
      </c>
      <c r="O139" s="116" t="s">
        <v>595</v>
      </c>
      <c r="P139" s="116" t="s">
        <v>62</v>
      </c>
      <c r="Q139" s="116" t="s">
        <v>362</v>
      </c>
      <c r="R139" s="116"/>
      <c r="S139" s="116"/>
      <c r="T139" s="116"/>
      <c r="U139" s="95" t="s">
        <v>60</v>
      </c>
      <c r="V139" s="95" t="s">
        <v>60</v>
      </c>
      <c r="W139" s="95" t="s">
        <v>60</v>
      </c>
      <c r="X139" s="95">
        <v>182</v>
      </c>
      <c r="Y139" s="95">
        <v>69.8</v>
      </c>
      <c r="Z139" s="95">
        <f t="shared" si="4"/>
        <v>21.072334259147443</v>
      </c>
      <c r="AA139" s="95" t="s">
        <v>355</v>
      </c>
      <c r="AB139" s="95" t="s">
        <v>60</v>
      </c>
      <c r="AC139" s="95"/>
      <c r="AD139" s="95" t="s">
        <v>60</v>
      </c>
      <c r="AE139" s="95" t="s">
        <v>60</v>
      </c>
      <c r="AF139" s="95" t="s">
        <v>60</v>
      </c>
      <c r="AG139" s="95"/>
    </row>
    <row r="140" spans="1:33" ht="28.8">
      <c r="A140" s="116" t="s">
        <v>596</v>
      </c>
      <c r="B140" s="116" t="s">
        <v>324</v>
      </c>
      <c r="C140" s="94">
        <v>43749</v>
      </c>
      <c r="D140" s="95" t="s">
        <v>60</v>
      </c>
      <c r="E140" s="116">
        <v>56</v>
      </c>
      <c r="F140" s="117">
        <v>23013</v>
      </c>
      <c r="G140" s="116" t="s">
        <v>61</v>
      </c>
      <c r="H140" s="116" t="s">
        <v>116</v>
      </c>
      <c r="I140" s="116" t="s">
        <v>62</v>
      </c>
      <c r="J140" s="118" t="s">
        <v>324</v>
      </c>
      <c r="K140" s="116" t="s">
        <v>62</v>
      </c>
      <c r="L140" s="118" t="s">
        <v>597</v>
      </c>
      <c r="M140" s="116" t="s">
        <v>62</v>
      </c>
      <c r="N140" s="116" t="s">
        <v>324</v>
      </c>
      <c r="O140" s="116" t="s">
        <v>62</v>
      </c>
      <c r="P140" s="116" t="s">
        <v>324</v>
      </c>
      <c r="Q140" s="116" t="s">
        <v>545</v>
      </c>
      <c r="R140" s="116" t="s">
        <v>483</v>
      </c>
      <c r="S140" s="116"/>
      <c r="T140" s="116"/>
      <c r="U140" s="95" t="s">
        <v>60</v>
      </c>
      <c r="V140" s="95" t="s">
        <v>60</v>
      </c>
      <c r="W140" s="95" t="s">
        <v>60</v>
      </c>
      <c r="X140" s="95">
        <v>171.2</v>
      </c>
      <c r="Y140" s="95">
        <v>82</v>
      </c>
      <c r="Z140" s="95">
        <f t="shared" si="4"/>
        <v>27.977334265001311</v>
      </c>
      <c r="AA140" s="95" t="s">
        <v>325</v>
      </c>
      <c r="AB140" s="95" t="s">
        <v>60</v>
      </c>
      <c r="AC140" s="95" t="s">
        <v>60</v>
      </c>
      <c r="AD140" s="95" t="s">
        <v>60</v>
      </c>
      <c r="AE140" s="95" t="s">
        <v>60</v>
      </c>
      <c r="AF140" s="95" t="s">
        <v>60</v>
      </c>
      <c r="AG140" s="95"/>
    </row>
    <row r="141" spans="1:33">
      <c r="A141" s="116" t="s">
        <v>598</v>
      </c>
      <c r="B141" s="116" t="s">
        <v>324</v>
      </c>
      <c r="C141" s="94">
        <v>43749</v>
      </c>
      <c r="D141" s="95" t="s">
        <v>60</v>
      </c>
      <c r="E141" s="116">
        <v>80</v>
      </c>
      <c r="F141" s="117">
        <v>14321</v>
      </c>
      <c r="G141" s="116" t="s">
        <v>61</v>
      </c>
      <c r="H141" s="116" t="s">
        <v>116</v>
      </c>
      <c r="I141" s="116" t="s">
        <v>62</v>
      </c>
      <c r="J141" s="118" t="s">
        <v>324</v>
      </c>
      <c r="K141" s="116" t="s">
        <v>62</v>
      </c>
      <c r="L141" s="118" t="s">
        <v>324</v>
      </c>
      <c r="M141" s="116" t="s">
        <v>62</v>
      </c>
      <c r="N141" s="116" t="s">
        <v>324</v>
      </c>
      <c r="O141" s="116" t="s">
        <v>60</v>
      </c>
      <c r="P141" s="116" t="s">
        <v>62</v>
      </c>
      <c r="Q141" s="116" t="s">
        <v>402</v>
      </c>
      <c r="R141" s="116" t="s">
        <v>457</v>
      </c>
      <c r="S141" s="116"/>
      <c r="T141" s="116"/>
      <c r="U141" s="95" t="s">
        <v>62</v>
      </c>
      <c r="V141" s="95" t="s">
        <v>60</v>
      </c>
      <c r="W141" s="95" t="s">
        <v>60</v>
      </c>
      <c r="X141" s="95">
        <v>156.80000000000001</v>
      </c>
      <c r="Y141" s="95">
        <v>77.099999999999994</v>
      </c>
      <c r="Z141" s="95">
        <f t="shared" si="4"/>
        <v>31.35900406080799</v>
      </c>
      <c r="AA141" s="95" t="s">
        <v>355</v>
      </c>
      <c r="AB141" s="95" t="s">
        <v>60</v>
      </c>
      <c r="AC141" s="95" t="s">
        <v>60</v>
      </c>
      <c r="AD141" s="95" t="s">
        <v>60</v>
      </c>
      <c r="AE141" s="95" t="s">
        <v>60</v>
      </c>
      <c r="AF141" s="95" t="s">
        <v>60</v>
      </c>
      <c r="AG141" s="95"/>
    </row>
    <row r="142" spans="1:33">
      <c r="A142" s="116" t="s">
        <v>599</v>
      </c>
      <c r="B142" s="116" t="s">
        <v>324</v>
      </c>
      <c r="C142" s="94">
        <v>43752</v>
      </c>
      <c r="D142" s="95" t="s">
        <v>60</v>
      </c>
      <c r="E142" s="116">
        <v>67</v>
      </c>
      <c r="F142" s="117">
        <v>19191</v>
      </c>
      <c r="G142" s="116" t="s">
        <v>61</v>
      </c>
      <c r="H142" s="116" t="s">
        <v>116</v>
      </c>
      <c r="I142" s="116"/>
      <c r="J142" s="118" t="s">
        <v>324</v>
      </c>
      <c r="K142" s="116" t="s">
        <v>62</v>
      </c>
      <c r="L142" s="118" t="s">
        <v>324</v>
      </c>
      <c r="M142" s="116" t="s">
        <v>62</v>
      </c>
      <c r="N142" s="116" t="s">
        <v>324</v>
      </c>
      <c r="O142" s="116" t="s">
        <v>60</v>
      </c>
      <c r="P142" s="116" t="s">
        <v>60</v>
      </c>
      <c r="Q142" s="116" t="s">
        <v>483</v>
      </c>
      <c r="R142" s="116" t="s">
        <v>348</v>
      </c>
      <c r="S142" s="116" t="s">
        <v>424</v>
      </c>
      <c r="T142" s="116" t="s">
        <v>600</v>
      </c>
      <c r="U142" s="95" t="s">
        <v>60</v>
      </c>
      <c r="V142" s="95" t="s">
        <v>60</v>
      </c>
      <c r="W142" s="95" t="s">
        <v>60</v>
      </c>
      <c r="X142" s="95">
        <v>165</v>
      </c>
      <c r="Y142" s="95">
        <v>113.7</v>
      </c>
      <c r="Z142" s="95">
        <f t="shared" si="4"/>
        <v>41.763085399449039</v>
      </c>
      <c r="AA142" s="95" t="s">
        <v>355</v>
      </c>
      <c r="AB142" s="95" t="s">
        <v>60</v>
      </c>
      <c r="AC142" s="95"/>
      <c r="AD142" s="95" t="s">
        <v>60</v>
      </c>
      <c r="AE142" s="95" t="s">
        <v>60</v>
      </c>
      <c r="AF142" s="95" t="s">
        <v>60</v>
      </c>
      <c r="AG142" s="95"/>
    </row>
    <row r="143" spans="1:33" ht="57.6">
      <c r="A143" s="116" t="s">
        <v>1102</v>
      </c>
      <c r="B143" s="116" t="s">
        <v>324</v>
      </c>
      <c r="C143" s="94">
        <v>43753</v>
      </c>
      <c r="D143" s="95" t="s">
        <v>60</v>
      </c>
      <c r="E143" s="116">
        <v>39</v>
      </c>
      <c r="F143" s="117">
        <v>29211</v>
      </c>
      <c r="G143" s="116" t="s">
        <v>61</v>
      </c>
      <c r="H143" s="116" t="s">
        <v>116</v>
      </c>
      <c r="I143" s="116" t="s">
        <v>62</v>
      </c>
      <c r="J143" s="118" t="s">
        <v>324</v>
      </c>
      <c r="K143" s="116" t="s">
        <v>60</v>
      </c>
      <c r="L143" s="118" t="s">
        <v>601</v>
      </c>
      <c r="M143" s="116" t="s">
        <v>62</v>
      </c>
      <c r="N143" s="116" t="s">
        <v>324</v>
      </c>
      <c r="O143" s="116" t="s">
        <v>62</v>
      </c>
      <c r="P143" s="116" t="s">
        <v>324</v>
      </c>
      <c r="Q143" s="116"/>
      <c r="R143" s="116"/>
      <c r="S143" s="116"/>
      <c r="T143" s="116"/>
      <c r="U143" s="95" t="s">
        <v>60</v>
      </c>
      <c r="V143" s="95" t="s">
        <v>60</v>
      </c>
      <c r="W143" s="95" t="s">
        <v>60</v>
      </c>
      <c r="X143" s="95">
        <v>164.5</v>
      </c>
      <c r="Y143" s="95">
        <v>74.8</v>
      </c>
      <c r="Z143" s="95">
        <f t="shared" si="4"/>
        <v>27.642021045629658</v>
      </c>
      <c r="AA143" s="95" t="s">
        <v>325</v>
      </c>
      <c r="AB143" s="95" t="s">
        <v>60</v>
      </c>
      <c r="AC143" s="95" t="s">
        <v>60</v>
      </c>
      <c r="AD143" s="95" t="s">
        <v>60</v>
      </c>
      <c r="AE143" s="95" t="s">
        <v>60</v>
      </c>
      <c r="AF143" s="95" t="s">
        <v>60</v>
      </c>
      <c r="AG143" s="95"/>
    </row>
    <row r="144" spans="1:33" ht="43.2">
      <c r="A144" s="116" t="s">
        <v>602</v>
      </c>
      <c r="B144" s="116" t="s">
        <v>324</v>
      </c>
      <c r="C144" s="119">
        <v>43756</v>
      </c>
      <c r="D144" s="120" t="s">
        <v>60</v>
      </c>
      <c r="E144" s="116">
        <v>26</v>
      </c>
      <c r="F144" s="117">
        <v>34233</v>
      </c>
      <c r="G144" s="116" t="s">
        <v>61</v>
      </c>
      <c r="H144" s="116" t="s">
        <v>116</v>
      </c>
      <c r="I144" s="116" t="s">
        <v>62</v>
      </c>
      <c r="J144" s="118" t="s">
        <v>324</v>
      </c>
      <c r="K144" s="116" t="s">
        <v>60</v>
      </c>
      <c r="L144" s="118" t="s">
        <v>603</v>
      </c>
      <c r="M144" s="116" t="s">
        <v>62</v>
      </c>
      <c r="N144" s="116" t="s">
        <v>324</v>
      </c>
      <c r="O144" s="116" t="s">
        <v>62</v>
      </c>
      <c r="P144" s="116" t="s">
        <v>324</v>
      </c>
      <c r="Q144" s="116"/>
      <c r="R144" s="116"/>
      <c r="S144" s="116"/>
      <c r="T144" s="116"/>
      <c r="U144" s="120" t="s">
        <v>60</v>
      </c>
      <c r="V144" s="120" t="s">
        <v>62</v>
      </c>
      <c r="W144" s="120" t="s">
        <v>62</v>
      </c>
      <c r="X144" s="120">
        <v>158.4</v>
      </c>
      <c r="Y144" s="120">
        <v>62.7</v>
      </c>
      <c r="Z144" s="120">
        <f t="shared" si="4"/>
        <v>24.989478114478114</v>
      </c>
      <c r="AA144" s="120" t="s">
        <v>325</v>
      </c>
      <c r="AB144" s="120" t="s">
        <v>60</v>
      </c>
      <c r="AC144" s="120" t="s">
        <v>60</v>
      </c>
      <c r="AD144" s="120" t="s">
        <v>60</v>
      </c>
      <c r="AE144" s="121" t="s">
        <v>62</v>
      </c>
      <c r="AF144" s="121" t="s">
        <v>62</v>
      </c>
      <c r="AG144" s="121" t="s">
        <v>604</v>
      </c>
    </row>
    <row r="145" spans="1:33">
      <c r="A145" s="116" t="s">
        <v>605</v>
      </c>
      <c r="B145" s="116" t="s">
        <v>324</v>
      </c>
      <c r="C145" s="98">
        <v>43741</v>
      </c>
      <c r="D145" s="95" t="s">
        <v>60</v>
      </c>
      <c r="E145" s="116">
        <v>72</v>
      </c>
      <c r="F145" s="117">
        <v>17311</v>
      </c>
      <c r="G145" s="116" t="s">
        <v>58</v>
      </c>
      <c r="H145" s="116" t="s">
        <v>116</v>
      </c>
      <c r="I145" s="116" t="s">
        <v>62</v>
      </c>
      <c r="J145" s="118" t="s">
        <v>324</v>
      </c>
      <c r="K145" s="116" t="s">
        <v>62</v>
      </c>
      <c r="L145" s="118" t="s">
        <v>324</v>
      </c>
      <c r="M145" s="116" t="s">
        <v>62</v>
      </c>
      <c r="N145" s="116" t="s">
        <v>324</v>
      </c>
      <c r="O145" s="116" t="s">
        <v>62</v>
      </c>
      <c r="P145" s="116" t="s">
        <v>324</v>
      </c>
      <c r="Q145" s="116" t="s">
        <v>369</v>
      </c>
      <c r="R145" s="116"/>
      <c r="S145" s="116"/>
      <c r="T145" s="116"/>
      <c r="U145" s="95" t="s">
        <v>60</v>
      </c>
      <c r="V145" s="95" t="s">
        <v>60</v>
      </c>
      <c r="W145" s="95" t="s">
        <v>60</v>
      </c>
      <c r="X145" s="95">
        <v>178.5</v>
      </c>
      <c r="Y145" s="95">
        <v>60.8</v>
      </c>
      <c r="Z145" s="95">
        <f t="shared" si="4"/>
        <v>19.082142660985962</v>
      </c>
      <c r="AA145" s="95" t="s">
        <v>355</v>
      </c>
      <c r="AB145" s="95" t="s">
        <v>60</v>
      </c>
      <c r="AC145" s="95"/>
      <c r="AD145" s="95" t="s">
        <v>60</v>
      </c>
      <c r="AE145" s="99" t="s">
        <v>60</v>
      </c>
      <c r="AF145" s="95"/>
      <c r="AG145" s="95"/>
    </row>
    <row r="146" spans="1:33">
      <c r="A146" s="116" t="s">
        <v>606</v>
      </c>
      <c r="B146" s="116" t="s">
        <v>324</v>
      </c>
      <c r="C146" s="98">
        <v>43746</v>
      </c>
      <c r="D146" s="95" t="s">
        <v>60</v>
      </c>
      <c r="E146" s="116">
        <v>47</v>
      </c>
      <c r="F146" s="117">
        <v>26290</v>
      </c>
      <c r="G146" s="116" t="s">
        <v>61</v>
      </c>
      <c r="H146" s="116" t="s">
        <v>116</v>
      </c>
      <c r="I146" s="116" t="s">
        <v>62</v>
      </c>
      <c r="J146" s="118" t="s">
        <v>324</v>
      </c>
      <c r="K146" s="116" t="s">
        <v>62</v>
      </c>
      <c r="L146" s="118" t="s">
        <v>324</v>
      </c>
      <c r="M146" s="116" t="s">
        <v>62</v>
      </c>
      <c r="N146" s="116" t="s">
        <v>324</v>
      </c>
      <c r="O146" s="116" t="s">
        <v>62</v>
      </c>
      <c r="P146" s="116" t="s">
        <v>324</v>
      </c>
      <c r="Q146" s="116"/>
      <c r="R146" s="116"/>
      <c r="S146" s="116"/>
      <c r="T146" s="116"/>
      <c r="U146" s="95" t="s">
        <v>60</v>
      </c>
      <c r="V146" s="95" t="s">
        <v>60</v>
      </c>
      <c r="W146" s="95" t="s">
        <v>60</v>
      </c>
      <c r="X146" s="95">
        <v>162</v>
      </c>
      <c r="Y146" s="95">
        <v>59.3</v>
      </c>
      <c r="Z146" s="95">
        <f t="shared" si="4"/>
        <v>22.595640908398103</v>
      </c>
      <c r="AA146" s="95" t="s">
        <v>582</v>
      </c>
      <c r="AB146" s="95" t="s">
        <v>60</v>
      </c>
      <c r="AC146" s="95" t="s">
        <v>60</v>
      </c>
      <c r="AD146" s="95"/>
      <c r="AE146" s="95" t="s">
        <v>60</v>
      </c>
      <c r="AF146" s="95"/>
      <c r="AG146" s="95"/>
    </row>
    <row r="147" spans="1:33">
      <c r="A147" s="116" t="s">
        <v>607</v>
      </c>
      <c r="B147" s="116" t="s">
        <v>324</v>
      </c>
      <c r="C147" s="94">
        <v>43748</v>
      </c>
      <c r="D147" s="95" t="s">
        <v>60</v>
      </c>
      <c r="E147" s="116">
        <v>65</v>
      </c>
      <c r="F147" s="117">
        <v>19644</v>
      </c>
      <c r="G147" s="116" t="s">
        <v>61</v>
      </c>
      <c r="H147" s="116" t="s">
        <v>124</v>
      </c>
      <c r="I147" s="116" t="s">
        <v>62</v>
      </c>
      <c r="J147" s="118" t="s">
        <v>324</v>
      </c>
      <c r="K147" s="116" t="s">
        <v>62</v>
      </c>
      <c r="L147" s="118" t="s">
        <v>324</v>
      </c>
      <c r="M147" s="116" t="s">
        <v>62</v>
      </c>
      <c r="N147" s="116" t="s">
        <v>324</v>
      </c>
      <c r="O147" s="116" t="s">
        <v>62</v>
      </c>
      <c r="P147" s="116" t="s">
        <v>324</v>
      </c>
      <c r="Q147" s="116" t="s">
        <v>369</v>
      </c>
      <c r="R147" s="116"/>
      <c r="S147" s="116"/>
      <c r="T147" s="116"/>
      <c r="U147" s="95" t="s">
        <v>60</v>
      </c>
      <c r="V147" s="95" t="s">
        <v>60</v>
      </c>
      <c r="W147" s="95" t="s">
        <v>60</v>
      </c>
      <c r="X147" s="95">
        <v>149.1</v>
      </c>
      <c r="Y147" s="95">
        <v>81.5</v>
      </c>
      <c r="Z147" s="95">
        <f t="shared" si="4"/>
        <v>36.660832421310793</v>
      </c>
      <c r="AA147" s="95" t="s">
        <v>355</v>
      </c>
      <c r="AB147" s="95" t="s">
        <v>60</v>
      </c>
      <c r="AC147" s="95" t="s">
        <v>60</v>
      </c>
      <c r="AD147" s="95" t="s">
        <v>60</v>
      </c>
      <c r="AE147" s="95" t="s">
        <v>60</v>
      </c>
      <c r="AF147" s="95" t="s">
        <v>60</v>
      </c>
      <c r="AG147" s="95"/>
    </row>
    <row r="148" spans="1:33">
      <c r="A148" s="116" t="s">
        <v>608</v>
      </c>
      <c r="B148" s="116" t="s">
        <v>324</v>
      </c>
      <c r="C148" s="94">
        <v>43752</v>
      </c>
      <c r="D148" s="95" t="s">
        <v>60</v>
      </c>
      <c r="E148" s="116">
        <v>56</v>
      </c>
      <c r="F148" s="117">
        <v>23226</v>
      </c>
      <c r="G148" s="116" t="s">
        <v>58</v>
      </c>
      <c r="H148" s="116" t="s">
        <v>116</v>
      </c>
      <c r="I148" s="116" t="s">
        <v>62</v>
      </c>
      <c r="J148" s="118" t="s">
        <v>324</v>
      </c>
      <c r="K148" s="116" t="s">
        <v>60</v>
      </c>
      <c r="L148" s="118" t="s">
        <v>609</v>
      </c>
      <c r="M148" s="116" t="s">
        <v>62</v>
      </c>
      <c r="N148" s="116" t="s">
        <v>324</v>
      </c>
      <c r="O148" s="116" t="s">
        <v>62</v>
      </c>
      <c r="P148" s="116" t="s">
        <v>324</v>
      </c>
      <c r="Q148" s="116" t="s">
        <v>348</v>
      </c>
      <c r="R148" s="116" t="s">
        <v>610</v>
      </c>
      <c r="S148" s="116"/>
      <c r="T148" s="116"/>
      <c r="U148" s="95" t="s">
        <v>60</v>
      </c>
      <c r="V148" s="95" t="s">
        <v>60</v>
      </c>
      <c r="W148" s="95" t="s">
        <v>60</v>
      </c>
      <c r="X148" s="95">
        <v>180.5</v>
      </c>
      <c r="Y148" s="95">
        <v>103.5</v>
      </c>
      <c r="Z148" s="95">
        <f t="shared" si="4"/>
        <v>31.767712034131108</v>
      </c>
      <c r="AA148" s="95" t="s">
        <v>325</v>
      </c>
      <c r="AB148" s="95" t="s">
        <v>60</v>
      </c>
      <c r="AC148" s="95" t="s">
        <v>60</v>
      </c>
      <c r="AD148" s="95" t="s">
        <v>60</v>
      </c>
      <c r="AE148" s="95" t="s">
        <v>60</v>
      </c>
      <c r="AF148" s="95" t="s">
        <v>60</v>
      </c>
      <c r="AG148" s="95"/>
    </row>
    <row r="149" spans="1:33">
      <c r="A149" s="116" t="s">
        <v>611</v>
      </c>
      <c r="B149" s="116" t="s">
        <v>324</v>
      </c>
      <c r="C149" s="94">
        <v>43752</v>
      </c>
      <c r="D149" s="95" t="s">
        <v>60</v>
      </c>
      <c r="E149" s="116">
        <v>61</v>
      </c>
      <c r="F149" s="117">
        <v>21153</v>
      </c>
      <c r="G149" s="116" t="s">
        <v>61</v>
      </c>
      <c r="H149" s="116" t="s">
        <v>116</v>
      </c>
      <c r="I149" s="116" t="s">
        <v>62</v>
      </c>
      <c r="J149" s="118" t="s">
        <v>324</v>
      </c>
      <c r="K149" s="116" t="s">
        <v>62</v>
      </c>
      <c r="L149" s="118" t="s">
        <v>324</v>
      </c>
      <c r="M149" s="116" t="s">
        <v>62</v>
      </c>
      <c r="N149" s="116" t="s">
        <v>324</v>
      </c>
      <c r="O149" s="116" t="s">
        <v>62</v>
      </c>
      <c r="P149" s="116" t="s">
        <v>324</v>
      </c>
      <c r="Q149" s="116"/>
      <c r="R149" s="116"/>
      <c r="S149" s="116"/>
      <c r="T149" s="116"/>
      <c r="U149" s="95" t="s">
        <v>60</v>
      </c>
      <c r="V149" s="95" t="s">
        <v>60</v>
      </c>
      <c r="W149" s="95" t="s">
        <v>60</v>
      </c>
      <c r="X149" s="95">
        <v>166.4</v>
      </c>
      <c r="Y149" s="95">
        <v>77.7</v>
      </c>
      <c r="Z149" s="95">
        <f t="shared" si="4"/>
        <v>28.061725684171591</v>
      </c>
      <c r="AA149" s="95" t="s">
        <v>325</v>
      </c>
      <c r="AB149" s="95" t="s">
        <v>60</v>
      </c>
      <c r="AC149" s="95" t="s">
        <v>60</v>
      </c>
      <c r="AD149" s="95" t="s">
        <v>60</v>
      </c>
      <c r="AE149" s="95" t="s">
        <v>60</v>
      </c>
      <c r="AF149" s="95" t="s">
        <v>60</v>
      </c>
      <c r="AG149" s="95"/>
    </row>
    <row r="150" spans="1:33" ht="57.6">
      <c r="A150" s="116" t="s">
        <v>612</v>
      </c>
      <c r="B150" s="116" t="s">
        <v>324</v>
      </c>
      <c r="C150" s="98">
        <v>43747</v>
      </c>
      <c r="D150" s="95" t="s">
        <v>60</v>
      </c>
      <c r="E150" s="116">
        <v>80</v>
      </c>
      <c r="F150" s="117">
        <v>14462</v>
      </c>
      <c r="G150" s="116" t="s">
        <v>61</v>
      </c>
      <c r="H150" s="116" t="s">
        <v>116</v>
      </c>
      <c r="I150" s="116" t="s">
        <v>62</v>
      </c>
      <c r="J150" s="118" t="s">
        <v>324</v>
      </c>
      <c r="K150" s="116" t="s">
        <v>60</v>
      </c>
      <c r="L150" s="118" t="s">
        <v>613</v>
      </c>
      <c r="M150" s="116" t="s">
        <v>62</v>
      </c>
      <c r="N150" s="116" t="s">
        <v>324</v>
      </c>
      <c r="O150" s="116" t="s">
        <v>62</v>
      </c>
      <c r="P150" s="116" t="s">
        <v>324</v>
      </c>
      <c r="Q150" s="116" t="s">
        <v>348</v>
      </c>
      <c r="R150" s="116"/>
      <c r="S150" s="116"/>
      <c r="T150" s="116"/>
      <c r="U150" s="95" t="s">
        <v>60</v>
      </c>
      <c r="V150" s="95" t="s">
        <v>60</v>
      </c>
      <c r="W150" s="95" t="s">
        <v>60</v>
      </c>
      <c r="X150" s="95">
        <v>168.85</v>
      </c>
      <c r="Y150" s="95">
        <v>59.2</v>
      </c>
      <c r="Z150" s="95">
        <f t="shared" si="4"/>
        <v>20.764409101300068</v>
      </c>
      <c r="AA150" s="95" t="s">
        <v>325</v>
      </c>
      <c r="AB150" s="95" t="s">
        <v>60</v>
      </c>
      <c r="AC150" s="95"/>
      <c r="AD150" s="95" t="s">
        <v>60</v>
      </c>
      <c r="AE150" s="95" t="s">
        <v>60</v>
      </c>
      <c r="AF150" s="95"/>
      <c r="AG150" s="95" t="s">
        <v>614</v>
      </c>
    </row>
    <row r="151" spans="1:33">
      <c r="A151" s="116" t="s">
        <v>615</v>
      </c>
      <c r="B151" s="116" t="s">
        <v>324</v>
      </c>
      <c r="C151" s="98">
        <v>43746</v>
      </c>
      <c r="D151" s="95" t="s">
        <v>60</v>
      </c>
      <c r="E151" s="116">
        <v>71</v>
      </c>
      <c r="F151" s="117">
        <v>17497</v>
      </c>
      <c r="G151" s="116" t="s">
        <v>58</v>
      </c>
      <c r="H151" s="116" t="s">
        <v>116</v>
      </c>
      <c r="I151" s="116" t="s">
        <v>62</v>
      </c>
      <c r="J151" s="118" t="s">
        <v>324</v>
      </c>
      <c r="K151" s="116" t="s">
        <v>60</v>
      </c>
      <c r="L151" s="118" t="s">
        <v>616</v>
      </c>
      <c r="M151" s="116" t="s">
        <v>62</v>
      </c>
      <c r="N151" s="116" t="s">
        <v>324</v>
      </c>
      <c r="O151" s="116" t="s">
        <v>62</v>
      </c>
      <c r="P151" s="116" t="s">
        <v>324</v>
      </c>
      <c r="Q151" s="116" t="s">
        <v>348</v>
      </c>
      <c r="R151" s="116" t="s">
        <v>617</v>
      </c>
      <c r="S151" s="116"/>
      <c r="T151" s="116"/>
      <c r="U151" s="95" t="s">
        <v>60</v>
      </c>
      <c r="V151" s="95" t="s">
        <v>60</v>
      </c>
      <c r="W151" s="95" t="s">
        <v>60</v>
      </c>
      <c r="X151" s="95">
        <v>180.2</v>
      </c>
      <c r="Y151" s="95">
        <v>98.1</v>
      </c>
      <c r="Z151" s="95">
        <f t="shared" si="4"/>
        <v>30.210605801175415</v>
      </c>
      <c r="AA151" s="95" t="s">
        <v>355</v>
      </c>
      <c r="AB151" s="95" t="s">
        <v>60</v>
      </c>
      <c r="AC151" s="95" t="s">
        <v>60</v>
      </c>
      <c r="AD151" s="95" t="s">
        <v>60</v>
      </c>
      <c r="AE151" s="95" t="s">
        <v>60</v>
      </c>
      <c r="AF151" s="95" t="s">
        <v>60</v>
      </c>
      <c r="AG151" s="95"/>
    </row>
    <row r="152" spans="1:33" ht="28.8">
      <c r="A152" s="116" t="s">
        <v>618</v>
      </c>
      <c r="B152" s="116" t="s">
        <v>324</v>
      </c>
      <c r="C152" s="94">
        <v>43748</v>
      </c>
      <c r="D152" s="95" t="s">
        <v>60</v>
      </c>
      <c r="E152" s="116">
        <v>63</v>
      </c>
      <c r="F152" s="117">
        <v>20680</v>
      </c>
      <c r="G152" s="116" t="s">
        <v>61</v>
      </c>
      <c r="H152" s="116" t="s">
        <v>116</v>
      </c>
      <c r="I152" s="116" t="s">
        <v>62</v>
      </c>
      <c r="J152" s="118" t="s">
        <v>324</v>
      </c>
      <c r="K152" s="116" t="s">
        <v>60</v>
      </c>
      <c r="L152" s="118" t="s">
        <v>619</v>
      </c>
      <c r="M152" s="116" t="s">
        <v>62</v>
      </c>
      <c r="N152" s="116" t="s">
        <v>324</v>
      </c>
      <c r="O152" s="116" t="s">
        <v>62</v>
      </c>
      <c r="P152" s="116" t="s">
        <v>324</v>
      </c>
      <c r="Q152" s="116" t="s">
        <v>620</v>
      </c>
      <c r="R152" s="116"/>
      <c r="S152" s="116"/>
      <c r="T152" s="116"/>
      <c r="U152" s="95" t="s">
        <v>60</v>
      </c>
      <c r="V152" s="95" t="s">
        <v>60</v>
      </c>
      <c r="W152" s="95" t="s">
        <v>60</v>
      </c>
      <c r="X152" s="95">
        <v>169.5</v>
      </c>
      <c r="Y152" s="95">
        <v>75</v>
      </c>
      <c r="Z152" s="95">
        <f t="shared" si="4"/>
        <v>26.104889445793194</v>
      </c>
      <c r="AA152" s="95" t="s">
        <v>325</v>
      </c>
      <c r="AB152" s="95" t="s">
        <v>60</v>
      </c>
      <c r="AC152" s="95" t="s">
        <v>60</v>
      </c>
      <c r="AD152" s="95" t="s">
        <v>60</v>
      </c>
      <c r="AE152" s="95" t="s">
        <v>60</v>
      </c>
      <c r="AF152" s="95" t="s">
        <v>60</v>
      </c>
      <c r="AG152" s="95"/>
    </row>
    <row r="153" spans="1:33" ht="43.2">
      <c r="A153" s="116" t="s">
        <v>621</v>
      </c>
      <c r="B153" s="116" t="s">
        <v>324</v>
      </c>
      <c r="C153" s="94">
        <v>43757</v>
      </c>
      <c r="D153" s="95" t="s">
        <v>60</v>
      </c>
      <c r="E153" s="116">
        <v>67</v>
      </c>
      <c r="F153" s="117">
        <v>19252</v>
      </c>
      <c r="G153" s="116" t="s">
        <v>58</v>
      </c>
      <c r="H153" s="116" t="s">
        <v>116</v>
      </c>
      <c r="I153" s="116" t="s">
        <v>62</v>
      </c>
      <c r="J153" s="118" t="s">
        <v>324</v>
      </c>
      <c r="K153" s="116" t="s">
        <v>60</v>
      </c>
      <c r="L153" s="118" t="s">
        <v>622</v>
      </c>
      <c r="M153" s="116" t="s">
        <v>62</v>
      </c>
      <c r="N153" s="116" t="s">
        <v>324</v>
      </c>
      <c r="O153" s="116" t="s">
        <v>62</v>
      </c>
      <c r="P153" s="116" t="s">
        <v>324</v>
      </c>
      <c r="Q153" s="116" t="s">
        <v>348</v>
      </c>
      <c r="R153" s="116"/>
      <c r="S153" s="116"/>
      <c r="T153" s="116"/>
      <c r="U153" s="95" t="s">
        <v>60</v>
      </c>
      <c r="V153" s="95" t="s">
        <v>60</v>
      </c>
      <c r="W153" s="95" t="s">
        <v>60</v>
      </c>
      <c r="X153" s="95">
        <v>167.2</v>
      </c>
      <c r="Y153" s="95">
        <v>89.2</v>
      </c>
      <c r="Z153" s="95">
        <f t="shared" si="4"/>
        <v>31.907465488427466</v>
      </c>
      <c r="AA153" s="95" t="s">
        <v>355</v>
      </c>
      <c r="AB153" s="95" t="s">
        <v>60</v>
      </c>
      <c r="AC153" s="95"/>
      <c r="AD153" s="95" t="s">
        <v>60</v>
      </c>
      <c r="AE153" s="95" t="s">
        <v>60</v>
      </c>
      <c r="AF153" s="95"/>
      <c r="AG153" s="95"/>
    </row>
    <row r="154" spans="1:33" ht="72">
      <c r="A154" s="116" t="s">
        <v>623</v>
      </c>
      <c r="B154" s="116" t="s">
        <v>324</v>
      </c>
      <c r="C154" s="98">
        <v>43747</v>
      </c>
      <c r="D154" s="95" t="s">
        <v>60</v>
      </c>
      <c r="E154" s="116">
        <v>43</v>
      </c>
      <c r="F154" s="117">
        <v>28008</v>
      </c>
      <c r="G154" s="116" t="s">
        <v>61</v>
      </c>
      <c r="H154" s="116" t="s">
        <v>116</v>
      </c>
      <c r="I154" s="116" t="s">
        <v>62</v>
      </c>
      <c r="J154" s="118" t="s">
        <v>324</v>
      </c>
      <c r="K154" s="116" t="s">
        <v>60</v>
      </c>
      <c r="L154" s="118" t="s">
        <v>624</v>
      </c>
      <c r="M154" s="116" t="s">
        <v>62</v>
      </c>
      <c r="N154" s="116" t="s">
        <v>324</v>
      </c>
      <c r="O154" s="116" t="s">
        <v>62</v>
      </c>
      <c r="P154" s="116" t="s">
        <v>324</v>
      </c>
      <c r="Q154" s="116"/>
      <c r="R154" s="116"/>
      <c r="S154" s="116"/>
      <c r="T154" s="116"/>
      <c r="U154" s="95" t="s">
        <v>60</v>
      </c>
      <c r="V154" s="95" t="s">
        <v>60</v>
      </c>
      <c r="W154" s="95" t="s">
        <v>60</v>
      </c>
      <c r="X154" s="95">
        <v>169.4</v>
      </c>
      <c r="Y154" s="95">
        <v>90.6</v>
      </c>
      <c r="Z154" s="95">
        <f t="shared" si="4"/>
        <v>31.571948497997656</v>
      </c>
      <c r="AA154" s="95" t="s">
        <v>325</v>
      </c>
      <c r="AB154" s="95" t="s">
        <v>60</v>
      </c>
      <c r="AC154" s="95"/>
      <c r="AD154" s="95" t="s">
        <v>60</v>
      </c>
      <c r="AE154" s="95" t="s">
        <v>60</v>
      </c>
      <c r="AF154" s="95"/>
      <c r="AG154" s="95"/>
    </row>
    <row r="155" spans="1:33">
      <c r="A155" s="116" t="s">
        <v>625</v>
      </c>
      <c r="B155" s="116" t="s">
        <v>324</v>
      </c>
      <c r="C155" s="94">
        <v>43760</v>
      </c>
      <c r="D155" s="95" t="s">
        <v>60</v>
      </c>
      <c r="E155" s="116">
        <v>62</v>
      </c>
      <c r="F155" s="117">
        <v>20923</v>
      </c>
      <c r="G155" s="116" t="s">
        <v>61</v>
      </c>
      <c r="H155" s="116" t="s">
        <v>116</v>
      </c>
      <c r="I155" s="116" t="s">
        <v>62</v>
      </c>
      <c r="J155" s="118" t="s">
        <v>324</v>
      </c>
      <c r="K155" s="116" t="s">
        <v>62</v>
      </c>
      <c r="L155" s="118" t="s">
        <v>324</v>
      </c>
      <c r="M155" s="116" t="s">
        <v>62</v>
      </c>
      <c r="N155" s="116" t="s">
        <v>324</v>
      </c>
      <c r="O155" s="116" t="s">
        <v>62</v>
      </c>
      <c r="P155" s="116" t="s">
        <v>324</v>
      </c>
      <c r="Q155" s="116" t="s">
        <v>457</v>
      </c>
      <c r="R155" s="116" t="s">
        <v>626</v>
      </c>
      <c r="S155" s="116"/>
      <c r="T155" s="116"/>
      <c r="U155" s="95" t="s">
        <v>60</v>
      </c>
      <c r="V155" s="95" t="s">
        <v>60</v>
      </c>
      <c r="W155" s="95" t="s">
        <v>60</v>
      </c>
      <c r="X155" s="95">
        <v>166.4</v>
      </c>
      <c r="Y155" s="95">
        <v>86.8</v>
      </c>
      <c r="Z155" s="95">
        <f t="shared" si="4"/>
        <v>31.348234097633128</v>
      </c>
      <c r="AA155" s="95" t="s">
        <v>325</v>
      </c>
      <c r="AB155" s="95" t="s">
        <v>60</v>
      </c>
      <c r="AC155" s="95" t="s">
        <v>60</v>
      </c>
      <c r="AD155" s="95" t="s">
        <v>60</v>
      </c>
      <c r="AE155" s="95" t="s">
        <v>60</v>
      </c>
      <c r="AF155" s="95" t="s">
        <v>60</v>
      </c>
      <c r="AG155" s="95"/>
    </row>
    <row r="156" spans="1:33">
      <c r="A156" s="116" t="s">
        <v>627</v>
      </c>
      <c r="B156" s="116" t="s">
        <v>324</v>
      </c>
      <c r="C156" s="94">
        <v>43760</v>
      </c>
      <c r="D156" s="95" t="s">
        <v>60</v>
      </c>
      <c r="E156" s="116">
        <v>66</v>
      </c>
      <c r="F156" s="117">
        <v>19393</v>
      </c>
      <c r="G156" s="116" t="s">
        <v>58</v>
      </c>
      <c r="H156" s="116" t="s">
        <v>116</v>
      </c>
      <c r="I156" s="116" t="s">
        <v>62</v>
      </c>
      <c r="J156" s="118" t="s">
        <v>324</v>
      </c>
      <c r="K156" s="116" t="s">
        <v>62</v>
      </c>
      <c r="L156" s="118" t="s">
        <v>324</v>
      </c>
      <c r="M156" s="116" t="s">
        <v>62</v>
      </c>
      <c r="N156" s="116" t="s">
        <v>324</v>
      </c>
      <c r="O156" s="116" t="s">
        <v>62</v>
      </c>
      <c r="P156" s="116" t="s">
        <v>324</v>
      </c>
      <c r="Q156" s="116" t="s">
        <v>628</v>
      </c>
      <c r="R156" s="116" t="s">
        <v>363</v>
      </c>
      <c r="S156" s="116" t="s">
        <v>629</v>
      </c>
      <c r="T156" s="116"/>
      <c r="U156" s="95" t="s">
        <v>60</v>
      </c>
      <c r="V156" s="95" t="s">
        <v>60</v>
      </c>
      <c r="W156" s="95" t="s">
        <v>390</v>
      </c>
      <c r="X156" s="95">
        <v>170.2</v>
      </c>
      <c r="Y156" s="95">
        <v>111.1</v>
      </c>
      <c r="Z156" s="95">
        <f t="shared" si="4"/>
        <v>38.352612051074217</v>
      </c>
      <c r="AA156" s="95" t="s">
        <v>355</v>
      </c>
      <c r="AB156" s="95" t="s">
        <v>60</v>
      </c>
      <c r="AC156" s="95" t="s">
        <v>60</v>
      </c>
      <c r="AD156" s="95" t="s">
        <v>60</v>
      </c>
      <c r="AE156" s="95" t="s">
        <v>60</v>
      </c>
      <c r="AF156" s="95" t="s">
        <v>60</v>
      </c>
      <c r="AG156" s="95"/>
    </row>
    <row r="157" spans="1:33">
      <c r="A157" s="116" t="s">
        <v>630</v>
      </c>
      <c r="B157" s="116" t="s">
        <v>324</v>
      </c>
      <c r="C157" s="94">
        <v>43754</v>
      </c>
      <c r="D157" s="95" t="s">
        <v>60</v>
      </c>
      <c r="E157" s="116">
        <v>68</v>
      </c>
      <c r="F157" s="117">
        <v>18890</v>
      </c>
      <c r="G157" s="116" t="s">
        <v>61</v>
      </c>
      <c r="H157" s="116" t="s">
        <v>116</v>
      </c>
      <c r="I157" s="116" t="s">
        <v>62</v>
      </c>
      <c r="J157" s="118" t="s">
        <v>324</v>
      </c>
      <c r="K157" s="116" t="s">
        <v>62</v>
      </c>
      <c r="L157" s="118" t="s">
        <v>324</v>
      </c>
      <c r="M157" s="116" t="s">
        <v>62</v>
      </c>
      <c r="N157" s="116" t="s">
        <v>324</v>
      </c>
      <c r="O157" s="116" t="s">
        <v>62</v>
      </c>
      <c r="P157" s="116" t="s">
        <v>324</v>
      </c>
      <c r="Q157" s="116" t="s">
        <v>348</v>
      </c>
      <c r="R157" s="116" t="s">
        <v>629</v>
      </c>
      <c r="S157" s="116"/>
      <c r="T157" s="116"/>
      <c r="U157" s="95" t="s">
        <v>60</v>
      </c>
      <c r="V157" s="95" t="s">
        <v>60</v>
      </c>
      <c r="W157" s="95" t="s">
        <v>60</v>
      </c>
      <c r="X157" s="95">
        <v>153.94999999999999</v>
      </c>
      <c r="Y157" s="95">
        <v>63.1</v>
      </c>
      <c r="Z157" s="95">
        <f t="shared" si="4"/>
        <v>26.623795745276947</v>
      </c>
      <c r="AA157" s="95" t="s">
        <v>355</v>
      </c>
      <c r="AB157" s="95" t="s">
        <v>60</v>
      </c>
      <c r="AC157" s="95"/>
      <c r="AD157" s="95" t="s">
        <v>60</v>
      </c>
      <c r="AE157" s="95"/>
      <c r="AF157" s="95"/>
      <c r="AG157" s="95"/>
    </row>
    <row r="158" spans="1:33">
      <c r="A158" s="116" t="s">
        <v>1103</v>
      </c>
      <c r="B158" s="116" t="s">
        <v>324</v>
      </c>
      <c r="C158" s="94">
        <v>43757</v>
      </c>
      <c r="D158" s="95" t="s">
        <v>60</v>
      </c>
      <c r="E158" s="116">
        <v>54</v>
      </c>
      <c r="F158" s="117">
        <v>24014</v>
      </c>
      <c r="G158" s="116" t="s">
        <v>61</v>
      </c>
      <c r="H158" s="116" t="s">
        <v>116</v>
      </c>
      <c r="I158" s="116" t="s">
        <v>62</v>
      </c>
      <c r="J158" s="118" t="s">
        <v>324</v>
      </c>
      <c r="K158" s="116" t="s">
        <v>62</v>
      </c>
      <c r="L158" s="118" t="s">
        <v>324</v>
      </c>
      <c r="M158" s="116" t="s">
        <v>62</v>
      </c>
      <c r="N158" s="116" t="s">
        <v>324</v>
      </c>
      <c r="O158" s="116" t="s">
        <v>62</v>
      </c>
      <c r="P158" s="116" t="s">
        <v>324</v>
      </c>
      <c r="Q158" s="116"/>
      <c r="R158" s="116"/>
      <c r="S158" s="116"/>
      <c r="T158" s="116"/>
      <c r="U158" s="95" t="s">
        <v>60</v>
      </c>
      <c r="V158" s="95" t="s">
        <v>60</v>
      </c>
      <c r="W158" s="95" t="s">
        <v>60</v>
      </c>
      <c r="X158" s="95">
        <v>171</v>
      </c>
      <c r="Y158" s="95">
        <v>80.5</v>
      </c>
      <c r="Z158" s="95">
        <f t="shared" si="4"/>
        <v>27.529838240826241</v>
      </c>
      <c r="AA158" s="95" t="s">
        <v>325</v>
      </c>
      <c r="AB158" s="95" t="s">
        <v>60</v>
      </c>
      <c r="AC158" s="95"/>
      <c r="AD158" s="95" t="s">
        <v>60</v>
      </c>
      <c r="AE158" s="95" t="s">
        <v>60</v>
      </c>
      <c r="AF158" s="95"/>
      <c r="AG158" s="95"/>
    </row>
    <row r="159" spans="1:33" ht="28.8">
      <c r="A159" s="116" t="s">
        <v>631</v>
      </c>
      <c r="B159" s="116" t="s">
        <v>324</v>
      </c>
      <c r="C159" s="94">
        <v>43757</v>
      </c>
      <c r="D159" s="95" t="s">
        <v>60</v>
      </c>
      <c r="E159" s="116">
        <v>49</v>
      </c>
      <c r="F159" s="117">
        <v>25746</v>
      </c>
      <c r="G159" s="116" t="s">
        <v>58</v>
      </c>
      <c r="H159" s="116" t="s">
        <v>116</v>
      </c>
      <c r="I159" s="116" t="s">
        <v>62</v>
      </c>
      <c r="J159" s="118" t="s">
        <v>324</v>
      </c>
      <c r="K159" s="116" t="s">
        <v>60</v>
      </c>
      <c r="L159" s="118" t="s">
        <v>632</v>
      </c>
      <c r="M159" s="116" t="s">
        <v>62</v>
      </c>
      <c r="N159" s="116" t="s">
        <v>324</v>
      </c>
      <c r="O159" s="116" t="s">
        <v>62</v>
      </c>
      <c r="P159" s="116" t="s">
        <v>324</v>
      </c>
      <c r="Q159" s="116"/>
      <c r="R159" s="116"/>
      <c r="S159" s="116"/>
      <c r="T159" s="116"/>
      <c r="U159" s="95" t="s">
        <v>60</v>
      </c>
      <c r="V159" s="95" t="s">
        <v>60</v>
      </c>
      <c r="W159" s="95" t="s">
        <v>60</v>
      </c>
      <c r="X159" s="95">
        <v>182.6</v>
      </c>
      <c r="Y159" s="95">
        <v>98.8</v>
      </c>
      <c r="Z159" s="95">
        <f t="shared" si="4"/>
        <v>29.631620177813716</v>
      </c>
      <c r="AA159" s="95" t="s">
        <v>325</v>
      </c>
      <c r="AB159" s="95" t="s">
        <v>60</v>
      </c>
      <c r="AC159" s="95"/>
      <c r="AD159" s="95" t="s">
        <v>60</v>
      </c>
      <c r="AE159" s="95" t="s">
        <v>60</v>
      </c>
      <c r="AF159" s="95"/>
      <c r="AG159" s="95"/>
    </row>
    <row r="160" spans="1:33">
      <c r="A160" s="116" t="s">
        <v>1104</v>
      </c>
      <c r="B160" s="116" t="s">
        <v>324</v>
      </c>
      <c r="C160" s="94">
        <v>43753</v>
      </c>
      <c r="D160" s="95" t="s">
        <v>60</v>
      </c>
      <c r="E160" s="116">
        <v>54</v>
      </c>
      <c r="F160" s="117">
        <v>23796</v>
      </c>
      <c r="G160" s="116" t="s">
        <v>61</v>
      </c>
      <c r="H160" s="116" t="s">
        <v>116</v>
      </c>
      <c r="I160" s="116" t="s">
        <v>62</v>
      </c>
      <c r="J160" s="118" t="s">
        <v>324</v>
      </c>
      <c r="K160" s="116" t="s">
        <v>62</v>
      </c>
      <c r="L160" s="118" t="s">
        <v>324</v>
      </c>
      <c r="M160" s="116" t="s">
        <v>62</v>
      </c>
      <c r="N160" s="116" t="s">
        <v>324</v>
      </c>
      <c r="O160" s="116" t="s">
        <v>62</v>
      </c>
      <c r="P160" s="116" t="s">
        <v>324</v>
      </c>
      <c r="Q160" s="116"/>
      <c r="R160" s="116"/>
      <c r="S160" s="116"/>
      <c r="T160" s="116"/>
      <c r="U160" s="95" t="s">
        <v>60</v>
      </c>
      <c r="V160" s="95" t="s">
        <v>60</v>
      </c>
      <c r="W160" s="95" t="s">
        <v>60</v>
      </c>
      <c r="X160" s="95">
        <v>169.1</v>
      </c>
      <c r="Y160" s="95">
        <v>73.400000000000006</v>
      </c>
      <c r="Z160" s="95">
        <f t="shared" si="4"/>
        <v>25.668993778941012</v>
      </c>
      <c r="AA160" s="95" t="s">
        <v>325</v>
      </c>
      <c r="AB160" s="95" t="s">
        <v>60</v>
      </c>
      <c r="AC160" s="95"/>
      <c r="AD160" s="95" t="s">
        <v>60</v>
      </c>
      <c r="AE160" s="95" t="s">
        <v>60</v>
      </c>
      <c r="AF160" s="95"/>
      <c r="AG160" s="95"/>
    </row>
    <row r="161" spans="1:33">
      <c r="A161" s="116" t="s">
        <v>633</v>
      </c>
      <c r="B161" s="116" t="s">
        <v>324</v>
      </c>
      <c r="C161" s="94">
        <v>43755</v>
      </c>
      <c r="D161" s="95" t="s">
        <v>60</v>
      </c>
      <c r="E161" s="116">
        <v>55</v>
      </c>
      <c r="F161" s="117">
        <v>23614</v>
      </c>
      <c r="G161" s="116" t="s">
        <v>58</v>
      </c>
      <c r="H161" s="116" t="s">
        <v>116</v>
      </c>
      <c r="I161" s="116" t="s">
        <v>62</v>
      </c>
      <c r="J161" s="118" t="s">
        <v>324</v>
      </c>
      <c r="K161" s="116" t="s">
        <v>62</v>
      </c>
      <c r="L161" s="118" t="s">
        <v>324</v>
      </c>
      <c r="M161" s="116" t="s">
        <v>62</v>
      </c>
      <c r="N161" s="116" t="s">
        <v>324</v>
      </c>
      <c r="O161" s="116" t="s">
        <v>60</v>
      </c>
      <c r="P161" s="116" t="s">
        <v>324</v>
      </c>
      <c r="Q161" s="116" t="s">
        <v>457</v>
      </c>
      <c r="R161" s="116"/>
      <c r="S161" s="116"/>
      <c r="T161" s="116"/>
      <c r="U161" s="95" t="s">
        <v>62</v>
      </c>
      <c r="V161" s="95" t="s">
        <v>62</v>
      </c>
      <c r="W161" s="95" t="s">
        <v>62</v>
      </c>
      <c r="X161" s="95">
        <v>169.9</v>
      </c>
      <c r="Y161" s="95">
        <v>71.5</v>
      </c>
      <c r="Z161" s="95">
        <f t="shared" si="4"/>
        <v>24.769616583656692</v>
      </c>
      <c r="AA161" s="95" t="s">
        <v>325</v>
      </c>
      <c r="AB161" s="95" t="s">
        <v>60</v>
      </c>
      <c r="AC161" s="95"/>
      <c r="AD161" s="95" t="s">
        <v>60</v>
      </c>
      <c r="AE161" s="95" t="s">
        <v>60</v>
      </c>
      <c r="AF161" s="95"/>
      <c r="AG161" s="95"/>
    </row>
    <row r="162" spans="1:33" ht="28.8">
      <c r="A162" s="116" t="s">
        <v>634</v>
      </c>
      <c r="B162" s="116" t="s">
        <v>324</v>
      </c>
      <c r="C162" s="94">
        <v>43761</v>
      </c>
      <c r="D162" s="95" t="s">
        <v>60</v>
      </c>
      <c r="E162" s="116">
        <v>68</v>
      </c>
      <c r="F162" s="117">
        <v>18830</v>
      </c>
      <c r="G162" s="116" t="s">
        <v>61</v>
      </c>
      <c r="H162" s="116" t="s">
        <v>116</v>
      </c>
      <c r="I162" s="116" t="s">
        <v>62</v>
      </c>
      <c r="J162" s="118" t="s">
        <v>324</v>
      </c>
      <c r="K162" s="116" t="s">
        <v>60</v>
      </c>
      <c r="L162" s="118" t="s">
        <v>635</v>
      </c>
      <c r="M162" s="116" t="s">
        <v>62</v>
      </c>
      <c r="N162" s="116" t="s">
        <v>324</v>
      </c>
      <c r="O162" s="116" t="s">
        <v>62</v>
      </c>
      <c r="P162" s="116" t="s">
        <v>324</v>
      </c>
      <c r="Q162" s="116"/>
      <c r="R162" s="116"/>
      <c r="S162" s="116"/>
      <c r="T162" s="116"/>
      <c r="U162" s="95" t="s">
        <v>60</v>
      </c>
      <c r="V162" s="95" t="s">
        <v>60</v>
      </c>
      <c r="W162" s="95" t="s">
        <v>60</v>
      </c>
      <c r="X162" s="95">
        <v>158.94999999999999</v>
      </c>
      <c r="Y162" s="95">
        <v>78.7</v>
      </c>
      <c r="Z162" s="95">
        <f t="shared" si="4"/>
        <v>31.149685618730423</v>
      </c>
      <c r="AA162" s="95" t="s">
        <v>355</v>
      </c>
      <c r="AB162" s="95" t="s">
        <v>60</v>
      </c>
      <c r="AC162" s="95"/>
      <c r="AD162" s="95" t="s">
        <v>60</v>
      </c>
      <c r="AE162" s="95" t="s">
        <v>60</v>
      </c>
      <c r="AF162" s="95"/>
      <c r="AG162" s="95"/>
    </row>
    <row r="163" spans="1:33" ht="43.2">
      <c r="A163" s="116" t="s">
        <v>636</v>
      </c>
      <c r="B163" s="116" t="s">
        <v>324</v>
      </c>
      <c r="C163" s="94">
        <v>43760</v>
      </c>
      <c r="D163" s="95" t="s">
        <v>60</v>
      </c>
      <c r="E163" s="116">
        <v>69</v>
      </c>
      <c r="F163" s="117">
        <v>18364</v>
      </c>
      <c r="G163" s="116" t="s">
        <v>61</v>
      </c>
      <c r="H163" s="116" t="s">
        <v>116</v>
      </c>
      <c r="I163" s="116" t="s">
        <v>62</v>
      </c>
      <c r="J163" s="118" t="s">
        <v>324</v>
      </c>
      <c r="K163" s="116" t="s">
        <v>60</v>
      </c>
      <c r="L163" s="118" t="s">
        <v>637</v>
      </c>
      <c r="M163" s="116" t="s">
        <v>62</v>
      </c>
      <c r="N163" s="116" t="s">
        <v>324</v>
      </c>
      <c r="O163" s="116" t="s">
        <v>62</v>
      </c>
      <c r="P163" s="116" t="s">
        <v>324</v>
      </c>
      <c r="Q163" s="116"/>
      <c r="R163" s="116"/>
      <c r="S163" s="116"/>
      <c r="T163" s="116"/>
      <c r="U163" s="95" t="s">
        <v>60</v>
      </c>
      <c r="V163" s="95" t="s">
        <v>390</v>
      </c>
      <c r="W163" s="95" t="s">
        <v>390</v>
      </c>
      <c r="X163" s="95">
        <v>161</v>
      </c>
      <c r="Y163" s="95">
        <v>67.099999999999994</v>
      </c>
      <c r="Z163" s="95">
        <f t="shared" si="4"/>
        <v>25.886346977354265</v>
      </c>
      <c r="AA163" s="95" t="s">
        <v>355</v>
      </c>
      <c r="AB163" s="95" t="s">
        <v>60</v>
      </c>
      <c r="AC163" s="95" t="s">
        <v>60</v>
      </c>
      <c r="AD163" s="95" t="s">
        <v>60</v>
      </c>
      <c r="AE163" s="95" t="s">
        <v>60</v>
      </c>
      <c r="AF163" s="95" t="s">
        <v>60</v>
      </c>
      <c r="AG163" s="95"/>
    </row>
    <row r="164" spans="1:33">
      <c r="A164" s="116" t="s">
        <v>638</v>
      </c>
      <c r="B164" s="116" t="s">
        <v>324</v>
      </c>
      <c r="C164" s="94">
        <v>43748</v>
      </c>
      <c r="D164" s="95" t="s">
        <v>60</v>
      </c>
      <c r="E164" s="116">
        <v>50</v>
      </c>
      <c r="F164" s="117">
        <v>25169</v>
      </c>
      <c r="G164" s="116" t="s">
        <v>61</v>
      </c>
      <c r="H164" s="116" t="s">
        <v>124</v>
      </c>
      <c r="I164" s="116" t="s">
        <v>62</v>
      </c>
      <c r="J164" s="118" t="s">
        <v>324</v>
      </c>
      <c r="K164" s="116" t="s">
        <v>60</v>
      </c>
      <c r="L164" s="118" t="s">
        <v>639</v>
      </c>
      <c r="M164" s="116" t="s">
        <v>62</v>
      </c>
      <c r="N164" s="116" t="s">
        <v>324</v>
      </c>
      <c r="O164" s="116" t="s">
        <v>62</v>
      </c>
      <c r="P164" s="116" t="s">
        <v>324</v>
      </c>
      <c r="Q164" s="116"/>
      <c r="R164" s="116"/>
      <c r="S164" s="116"/>
      <c r="T164" s="116"/>
      <c r="U164" s="95" t="s">
        <v>60</v>
      </c>
      <c r="V164" s="95" t="s">
        <v>60</v>
      </c>
      <c r="W164" s="95" t="s">
        <v>60</v>
      </c>
      <c r="X164" s="95">
        <v>166</v>
      </c>
      <c r="Y164" s="95">
        <v>70.7</v>
      </c>
      <c r="Z164" s="95">
        <f t="shared" si="4"/>
        <v>25.656844244447672</v>
      </c>
      <c r="AA164" s="95" t="s">
        <v>325</v>
      </c>
      <c r="AB164" s="95" t="s">
        <v>60</v>
      </c>
      <c r="AC164" s="95"/>
      <c r="AD164" s="95" t="s">
        <v>60</v>
      </c>
      <c r="AE164" s="95" t="s">
        <v>60</v>
      </c>
      <c r="AF164" s="95"/>
      <c r="AG164" s="95"/>
    </row>
    <row r="165" spans="1:33" ht="28.8">
      <c r="A165" s="116" t="s">
        <v>640</v>
      </c>
      <c r="B165" s="116" t="s">
        <v>324</v>
      </c>
      <c r="C165" s="94">
        <v>43755</v>
      </c>
      <c r="D165" s="95" t="s">
        <v>60</v>
      </c>
      <c r="E165" s="116">
        <v>43</v>
      </c>
      <c r="F165" s="117">
        <v>27786</v>
      </c>
      <c r="G165" s="116" t="s">
        <v>61</v>
      </c>
      <c r="H165" s="116" t="s">
        <v>116</v>
      </c>
      <c r="I165" s="116" t="s">
        <v>60</v>
      </c>
      <c r="J165" s="118" t="s">
        <v>641</v>
      </c>
      <c r="K165" s="116" t="s">
        <v>60</v>
      </c>
      <c r="L165" s="118" t="s">
        <v>642</v>
      </c>
      <c r="M165" s="116" t="s">
        <v>62</v>
      </c>
      <c r="N165" s="116" t="s">
        <v>324</v>
      </c>
      <c r="O165" s="116" t="s">
        <v>62</v>
      </c>
      <c r="P165" s="116" t="s">
        <v>324</v>
      </c>
      <c r="Q165" s="116" t="s">
        <v>468</v>
      </c>
      <c r="R165" s="116" t="s">
        <v>348</v>
      </c>
      <c r="S165" s="116" t="s">
        <v>369</v>
      </c>
      <c r="T165" s="116" t="s">
        <v>643</v>
      </c>
      <c r="U165" s="95" t="s">
        <v>60</v>
      </c>
      <c r="V165" s="95" t="s">
        <v>390</v>
      </c>
      <c r="W165" s="95" t="s">
        <v>390</v>
      </c>
      <c r="X165" s="95">
        <v>142.30000000000001</v>
      </c>
      <c r="Y165" s="95">
        <v>98.7</v>
      </c>
      <c r="Z165" s="95">
        <f t="shared" ref="Z165:Z196" si="5">Y165/((X165/100)^2)</f>
        <v>48.742449735274668</v>
      </c>
      <c r="AA165" s="95" t="s">
        <v>325</v>
      </c>
      <c r="AB165" s="95" t="s">
        <v>60</v>
      </c>
      <c r="AC165" s="95"/>
      <c r="AD165" s="95" t="s">
        <v>60</v>
      </c>
      <c r="AE165" s="95" t="s">
        <v>60</v>
      </c>
      <c r="AF165" s="95"/>
      <c r="AG165" s="95"/>
    </row>
    <row r="166" spans="1:33">
      <c r="A166" s="116" t="s">
        <v>644</v>
      </c>
      <c r="B166" s="116" t="s">
        <v>324</v>
      </c>
      <c r="C166" s="98">
        <v>43767</v>
      </c>
      <c r="D166" s="95" t="s">
        <v>60</v>
      </c>
      <c r="E166" s="116">
        <v>65</v>
      </c>
      <c r="F166" s="117">
        <v>19828</v>
      </c>
      <c r="G166" s="116" t="s">
        <v>61</v>
      </c>
      <c r="H166" s="116" t="s">
        <v>116</v>
      </c>
      <c r="I166" s="116" t="s">
        <v>62</v>
      </c>
      <c r="J166" s="118" t="s">
        <v>324</v>
      </c>
      <c r="K166" s="116" t="s">
        <v>62</v>
      </c>
      <c r="L166" s="118" t="s">
        <v>324</v>
      </c>
      <c r="M166" s="116" t="s">
        <v>62</v>
      </c>
      <c r="N166" s="116" t="s">
        <v>324</v>
      </c>
      <c r="O166" s="116" t="s">
        <v>62</v>
      </c>
      <c r="P166" s="116" t="s">
        <v>324</v>
      </c>
      <c r="Q166" s="116" t="s">
        <v>362</v>
      </c>
      <c r="R166" s="116" t="s">
        <v>445</v>
      </c>
      <c r="S166" s="116"/>
      <c r="T166" s="116"/>
      <c r="U166" s="95" t="s">
        <v>60</v>
      </c>
      <c r="V166" s="95" t="s">
        <v>60</v>
      </c>
      <c r="W166" s="95" t="s">
        <v>60</v>
      </c>
      <c r="X166" s="95">
        <v>174.1</v>
      </c>
      <c r="Y166" s="95">
        <v>88.5</v>
      </c>
      <c r="Z166" s="95">
        <f t="shared" si="5"/>
        <v>29.197504124766056</v>
      </c>
      <c r="AA166" s="95" t="s">
        <v>355</v>
      </c>
      <c r="AB166" s="95" t="s">
        <v>60</v>
      </c>
      <c r="AC166" s="95" t="s">
        <v>60</v>
      </c>
      <c r="AD166" s="95" t="s">
        <v>60</v>
      </c>
      <c r="AE166" s="95" t="s">
        <v>60</v>
      </c>
      <c r="AF166" s="95" t="s">
        <v>60</v>
      </c>
      <c r="AG166" s="95"/>
    </row>
    <row r="167" spans="1:33" ht="28.8">
      <c r="A167" s="116" t="s">
        <v>645</v>
      </c>
      <c r="B167" s="116" t="s">
        <v>324</v>
      </c>
      <c r="C167" s="98">
        <v>43776</v>
      </c>
      <c r="D167" s="95" t="s">
        <v>60</v>
      </c>
      <c r="E167" s="116">
        <v>64</v>
      </c>
      <c r="F167" s="117">
        <v>20139</v>
      </c>
      <c r="G167" s="116" t="s">
        <v>61</v>
      </c>
      <c r="H167" s="116" t="s">
        <v>116</v>
      </c>
      <c r="I167" s="116" t="s">
        <v>62</v>
      </c>
      <c r="J167" s="118" t="s">
        <v>324</v>
      </c>
      <c r="K167" s="116" t="s">
        <v>60</v>
      </c>
      <c r="L167" s="118" t="s">
        <v>646</v>
      </c>
      <c r="M167" s="116" t="s">
        <v>62</v>
      </c>
      <c r="N167" s="116" t="s">
        <v>324</v>
      </c>
      <c r="O167" s="116" t="s">
        <v>62</v>
      </c>
      <c r="P167" s="116" t="s">
        <v>324</v>
      </c>
      <c r="Q167" s="116" t="s">
        <v>468</v>
      </c>
      <c r="R167" s="116" t="s">
        <v>348</v>
      </c>
      <c r="S167" s="116" t="s">
        <v>647</v>
      </c>
      <c r="T167" s="116" t="s">
        <v>648</v>
      </c>
      <c r="U167" s="95" t="s">
        <v>62</v>
      </c>
      <c r="V167" s="95" t="s">
        <v>62</v>
      </c>
      <c r="W167" s="95" t="s">
        <v>62</v>
      </c>
      <c r="X167" s="95">
        <v>156.19999999999999</v>
      </c>
      <c r="Y167" s="95">
        <v>70.5</v>
      </c>
      <c r="Z167" s="95">
        <f t="shared" si="5"/>
        <v>28.895290026739421</v>
      </c>
      <c r="AA167" s="95" t="s">
        <v>325</v>
      </c>
      <c r="AB167" s="95" t="s">
        <v>60</v>
      </c>
      <c r="AC167" s="95" t="s">
        <v>60</v>
      </c>
      <c r="AD167" s="95"/>
      <c r="AE167" s="95" t="s">
        <v>60</v>
      </c>
      <c r="AF167" s="95" t="s">
        <v>60</v>
      </c>
      <c r="AG167" s="95"/>
    </row>
    <row r="168" spans="1:33">
      <c r="A168" s="116" t="s">
        <v>649</v>
      </c>
      <c r="B168" s="116" t="s">
        <v>324</v>
      </c>
      <c r="C168" s="94">
        <v>43754</v>
      </c>
      <c r="D168" s="95" t="s">
        <v>60</v>
      </c>
      <c r="E168" s="116">
        <v>75</v>
      </c>
      <c r="F168" s="117">
        <v>16280</v>
      </c>
      <c r="G168" s="116" t="s">
        <v>58</v>
      </c>
      <c r="H168" s="116" t="s">
        <v>116</v>
      </c>
      <c r="I168" s="116" t="s">
        <v>62</v>
      </c>
      <c r="J168" s="118" t="s">
        <v>324</v>
      </c>
      <c r="K168" s="116" t="s">
        <v>62</v>
      </c>
      <c r="L168" s="118" t="s">
        <v>324</v>
      </c>
      <c r="M168" s="116" t="s">
        <v>62</v>
      </c>
      <c r="N168" s="116" t="s">
        <v>324</v>
      </c>
      <c r="O168" s="116" t="s">
        <v>62</v>
      </c>
      <c r="P168" s="116" t="s">
        <v>324</v>
      </c>
      <c r="Q168" s="116" t="s">
        <v>424</v>
      </c>
      <c r="R168" s="116" t="s">
        <v>348</v>
      </c>
      <c r="S168" s="116" t="s">
        <v>369</v>
      </c>
      <c r="T168" s="116" t="s">
        <v>545</v>
      </c>
      <c r="U168" s="95" t="s">
        <v>60</v>
      </c>
      <c r="V168" s="95" t="s">
        <v>60</v>
      </c>
      <c r="W168" s="95" t="s">
        <v>60</v>
      </c>
      <c r="X168" s="95">
        <v>170</v>
      </c>
      <c r="Y168" s="95">
        <v>72</v>
      </c>
      <c r="Z168" s="95">
        <f t="shared" si="5"/>
        <v>24.913494809688583</v>
      </c>
      <c r="AA168" s="95" t="s">
        <v>355</v>
      </c>
      <c r="AB168" s="95" t="s">
        <v>60</v>
      </c>
      <c r="AC168" s="95" t="s">
        <v>60</v>
      </c>
      <c r="AD168" s="95" t="s">
        <v>60</v>
      </c>
      <c r="AE168" s="95" t="s">
        <v>60</v>
      </c>
      <c r="AF168" s="95" t="s">
        <v>60</v>
      </c>
      <c r="AG168" s="95"/>
    </row>
    <row r="169" spans="1:33">
      <c r="A169" s="116" t="s">
        <v>650</v>
      </c>
      <c r="B169" s="116" t="s">
        <v>324</v>
      </c>
      <c r="C169" s="94">
        <v>43763</v>
      </c>
      <c r="D169" s="95" t="s">
        <v>60</v>
      </c>
      <c r="E169" s="116">
        <v>71</v>
      </c>
      <c r="F169" s="117">
        <v>17517</v>
      </c>
      <c r="G169" s="116" t="s">
        <v>58</v>
      </c>
      <c r="H169" s="116" t="s">
        <v>116</v>
      </c>
      <c r="I169" s="116" t="s">
        <v>62</v>
      </c>
      <c r="J169" s="118" t="s">
        <v>324</v>
      </c>
      <c r="K169" s="116" t="s">
        <v>62</v>
      </c>
      <c r="L169" s="118" t="s">
        <v>324</v>
      </c>
      <c r="M169" s="116" t="s">
        <v>62</v>
      </c>
      <c r="N169" s="116" t="s">
        <v>324</v>
      </c>
      <c r="O169" s="116" t="s">
        <v>62</v>
      </c>
      <c r="P169" s="116" t="s">
        <v>324</v>
      </c>
      <c r="Q169" s="116" t="s">
        <v>424</v>
      </c>
      <c r="R169" s="116"/>
      <c r="S169" s="116"/>
      <c r="T169" s="116"/>
      <c r="U169" s="95" t="s">
        <v>60</v>
      </c>
      <c r="V169" s="95" t="s">
        <v>60</v>
      </c>
      <c r="W169" s="95" t="s">
        <v>60</v>
      </c>
      <c r="X169" s="95">
        <v>164.4</v>
      </c>
      <c r="Y169" s="95">
        <v>64.400000000000006</v>
      </c>
      <c r="Z169" s="95">
        <f t="shared" si="5"/>
        <v>23.827706442656627</v>
      </c>
      <c r="AA169" s="95" t="s">
        <v>355</v>
      </c>
      <c r="AB169" s="95" t="s">
        <v>60</v>
      </c>
      <c r="AC169" s="95" t="s">
        <v>60</v>
      </c>
      <c r="AD169" s="95" t="s">
        <v>60</v>
      </c>
      <c r="AE169" s="95" t="s">
        <v>60</v>
      </c>
      <c r="AF169" s="95" t="s">
        <v>60</v>
      </c>
      <c r="AG169" s="95"/>
    </row>
    <row r="170" spans="1:33" ht="43.2">
      <c r="A170" s="116" t="s">
        <v>651</v>
      </c>
      <c r="B170" s="116" t="s">
        <v>324</v>
      </c>
      <c r="C170" s="98">
        <v>43766</v>
      </c>
      <c r="D170" s="95" t="s">
        <v>60</v>
      </c>
      <c r="E170" s="116">
        <v>49</v>
      </c>
      <c r="F170" s="117">
        <v>25703</v>
      </c>
      <c r="G170" s="116" t="s">
        <v>61</v>
      </c>
      <c r="H170" s="116" t="s">
        <v>117</v>
      </c>
      <c r="I170" s="116" t="s">
        <v>60</v>
      </c>
      <c r="J170" s="118" t="s">
        <v>652</v>
      </c>
      <c r="K170" s="116" t="s">
        <v>60</v>
      </c>
      <c r="L170" s="118" t="s">
        <v>653</v>
      </c>
      <c r="M170" s="116" t="s">
        <v>62</v>
      </c>
      <c r="N170" s="116" t="s">
        <v>324</v>
      </c>
      <c r="O170" s="116" t="s">
        <v>62</v>
      </c>
      <c r="P170" s="116" t="s">
        <v>324</v>
      </c>
      <c r="Q170" s="116"/>
      <c r="R170" s="116"/>
      <c r="S170" s="116"/>
      <c r="T170" s="116"/>
      <c r="U170" s="95" t="s">
        <v>60</v>
      </c>
      <c r="V170" s="95" t="s">
        <v>60</v>
      </c>
      <c r="W170" s="95" t="s">
        <v>390</v>
      </c>
      <c r="X170" s="95">
        <v>162.5</v>
      </c>
      <c r="Y170" s="95">
        <v>84.75</v>
      </c>
      <c r="Z170" s="95">
        <f t="shared" si="5"/>
        <v>32.094674556213015</v>
      </c>
      <c r="AA170" s="95" t="s">
        <v>325</v>
      </c>
      <c r="AB170" s="95" t="s">
        <v>60</v>
      </c>
      <c r="AC170" s="95"/>
      <c r="AD170" s="95" t="s">
        <v>60</v>
      </c>
      <c r="AE170" s="95" t="s">
        <v>60</v>
      </c>
      <c r="AF170" s="95"/>
      <c r="AG170" s="95"/>
    </row>
    <row r="171" spans="1:33">
      <c r="A171" s="116" t="s">
        <v>1105</v>
      </c>
      <c r="B171" s="116" t="s">
        <v>324</v>
      </c>
      <c r="C171" s="94">
        <v>43761</v>
      </c>
      <c r="D171" s="95" t="s">
        <v>60</v>
      </c>
      <c r="E171" s="116">
        <v>46</v>
      </c>
      <c r="F171" s="117">
        <v>26735</v>
      </c>
      <c r="G171" s="116" t="s">
        <v>61</v>
      </c>
      <c r="H171" s="116" t="s">
        <v>116</v>
      </c>
      <c r="I171" s="116" t="s">
        <v>62</v>
      </c>
      <c r="J171" s="118" t="s">
        <v>324</v>
      </c>
      <c r="K171" s="116" t="s">
        <v>62</v>
      </c>
      <c r="L171" s="118" t="s">
        <v>324</v>
      </c>
      <c r="M171" s="116" t="s">
        <v>62</v>
      </c>
      <c r="N171" s="116" t="s">
        <v>324</v>
      </c>
      <c r="O171" s="116" t="s">
        <v>62</v>
      </c>
      <c r="P171" s="116" t="s">
        <v>324</v>
      </c>
      <c r="Q171" s="116" t="s">
        <v>363</v>
      </c>
      <c r="R171" s="116"/>
      <c r="S171" s="116"/>
      <c r="T171" s="116"/>
      <c r="U171" s="95" t="s">
        <v>60</v>
      </c>
      <c r="V171" s="95" t="s">
        <v>60</v>
      </c>
      <c r="W171" s="95" t="s">
        <v>60</v>
      </c>
      <c r="X171" s="95">
        <v>161.5</v>
      </c>
      <c r="Y171" s="95">
        <v>78.5</v>
      </c>
      <c r="Z171" s="95">
        <f t="shared" si="5"/>
        <v>30.097096684526832</v>
      </c>
      <c r="AA171" s="95" t="s">
        <v>325</v>
      </c>
      <c r="AB171" s="95" t="s">
        <v>60</v>
      </c>
      <c r="AC171" s="95"/>
      <c r="AD171" s="95" t="s">
        <v>60</v>
      </c>
      <c r="AE171" s="95" t="s">
        <v>60</v>
      </c>
      <c r="AF171" s="95"/>
      <c r="AG171" s="95"/>
    </row>
    <row r="172" spans="1:33">
      <c r="A172" s="116" t="s">
        <v>1106</v>
      </c>
      <c r="B172" s="116" t="s">
        <v>1148</v>
      </c>
      <c r="C172" s="98">
        <v>43792</v>
      </c>
      <c r="D172" s="95" t="s">
        <v>60</v>
      </c>
      <c r="E172" s="116">
        <v>45</v>
      </c>
      <c r="F172" s="117">
        <v>27251</v>
      </c>
      <c r="G172" s="116" t="s">
        <v>61</v>
      </c>
      <c r="H172" s="116" t="s">
        <v>116</v>
      </c>
      <c r="I172" s="116" t="s">
        <v>62</v>
      </c>
      <c r="J172" s="118" t="s">
        <v>324</v>
      </c>
      <c r="K172" s="116" t="s">
        <v>62</v>
      </c>
      <c r="L172" s="118" t="s">
        <v>324</v>
      </c>
      <c r="M172" s="116" t="s">
        <v>62</v>
      </c>
      <c r="N172" s="116" t="s">
        <v>324</v>
      </c>
      <c r="O172" s="116" t="s">
        <v>62</v>
      </c>
      <c r="P172" s="116" t="s">
        <v>324</v>
      </c>
      <c r="Q172" s="116" t="s">
        <v>348</v>
      </c>
      <c r="R172" s="116" t="s">
        <v>451</v>
      </c>
      <c r="S172" s="116"/>
      <c r="T172" s="116"/>
      <c r="U172" s="95" t="s">
        <v>60</v>
      </c>
      <c r="V172" s="95" t="s">
        <v>62</v>
      </c>
      <c r="W172" s="95" t="s">
        <v>62</v>
      </c>
      <c r="X172" s="95">
        <v>162.6</v>
      </c>
      <c r="Y172" s="95">
        <v>87.2</v>
      </c>
      <c r="Z172" s="95">
        <f t="shared" si="5"/>
        <v>32.981879634294501</v>
      </c>
      <c r="AA172" s="95" t="s">
        <v>325</v>
      </c>
      <c r="AB172" s="95" t="s">
        <v>60</v>
      </c>
      <c r="AC172" s="95"/>
      <c r="AD172" s="95"/>
      <c r="AE172" s="95" t="s">
        <v>60</v>
      </c>
      <c r="AF172" s="95"/>
      <c r="AG172" s="95"/>
    </row>
    <row r="173" spans="1:33" ht="43.2">
      <c r="A173" s="116" t="s">
        <v>1107</v>
      </c>
      <c r="B173" s="116" t="s">
        <v>324</v>
      </c>
      <c r="C173" s="94">
        <v>43761</v>
      </c>
      <c r="D173" s="95" t="s">
        <v>60</v>
      </c>
      <c r="E173" s="116">
        <v>39</v>
      </c>
      <c r="F173" s="117">
        <v>29404</v>
      </c>
      <c r="G173" s="116" t="s">
        <v>61</v>
      </c>
      <c r="H173" s="116" t="s">
        <v>654</v>
      </c>
      <c r="I173" s="116" t="s">
        <v>62</v>
      </c>
      <c r="J173" s="118" t="s">
        <v>324</v>
      </c>
      <c r="K173" s="116" t="s">
        <v>60</v>
      </c>
      <c r="L173" s="118" t="s">
        <v>655</v>
      </c>
      <c r="M173" s="116" t="s">
        <v>62</v>
      </c>
      <c r="N173" s="116" t="s">
        <v>324</v>
      </c>
      <c r="O173" s="116" t="s">
        <v>62</v>
      </c>
      <c r="P173" s="116" t="s">
        <v>324</v>
      </c>
      <c r="Q173" s="116" t="s">
        <v>468</v>
      </c>
      <c r="R173" s="116"/>
      <c r="S173" s="116"/>
      <c r="T173" s="116"/>
      <c r="U173" s="95" t="s">
        <v>62</v>
      </c>
      <c r="V173" s="95" t="s">
        <v>62</v>
      </c>
      <c r="W173" s="95" t="s">
        <v>62</v>
      </c>
      <c r="X173" s="95">
        <v>166.4</v>
      </c>
      <c r="Y173" s="95">
        <v>106.9</v>
      </c>
      <c r="Z173" s="95">
        <f t="shared" si="5"/>
        <v>38.607444988905321</v>
      </c>
      <c r="AA173" s="95" t="s">
        <v>325</v>
      </c>
      <c r="AB173" s="95" t="s">
        <v>60</v>
      </c>
      <c r="AC173" s="95"/>
      <c r="AD173" s="95" t="s">
        <v>60</v>
      </c>
      <c r="AE173" s="95" t="s">
        <v>60</v>
      </c>
      <c r="AF173" s="95"/>
      <c r="AG173" s="95"/>
    </row>
    <row r="174" spans="1:33">
      <c r="A174" s="116" t="s">
        <v>656</v>
      </c>
      <c r="B174" s="116" t="s">
        <v>324</v>
      </c>
      <c r="C174" s="94">
        <v>43753</v>
      </c>
      <c r="D174" s="95" t="s">
        <v>60</v>
      </c>
      <c r="E174" s="116">
        <v>46</v>
      </c>
      <c r="F174" s="117">
        <v>26822</v>
      </c>
      <c r="G174" s="116" t="s">
        <v>61</v>
      </c>
      <c r="H174" s="116" t="s">
        <v>116</v>
      </c>
      <c r="I174" s="116" t="s">
        <v>62</v>
      </c>
      <c r="J174" s="118" t="s">
        <v>324</v>
      </c>
      <c r="K174" s="116" t="s">
        <v>62</v>
      </c>
      <c r="L174" s="118" t="s">
        <v>324</v>
      </c>
      <c r="M174" s="116" t="s">
        <v>62</v>
      </c>
      <c r="N174" s="116" t="s">
        <v>324</v>
      </c>
      <c r="O174" s="116" t="s">
        <v>62</v>
      </c>
      <c r="P174" s="116" t="s">
        <v>324</v>
      </c>
      <c r="Q174" s="116"/>
      <c r="R174" s="116"/>
      <c r="S174" s="116"/>
      <c r="T174" s="116"/>
      <c r="U174" s="95" t="s">
        <v>60</v>
      </c>
      <c r="V174" s="95" t="s">
        <v>60</v>
      </c>
      <c r="W174" s="95" t="s">
        <v>60</v>
      </c>
      <c r="X174" s="95">
        <v>161.6</v>
      </c>
      <c r="Y174" s="95">
        <v>63</v>
      </c>
      <c r="Z174" s="95">
        <f t="shared" si="5"/>
        <v>24.124473090873447</v>
      </c>
      <c r="AA174" s="95" t="s">
        <v>325</v>
      </c>
      <c r="AB174" s="95" t="s">
        <v>60</v>
      </c>
      <c r="AC174" s="95"/>
      <c r="AD174" s="95" t="s">
        <v>60</v>
      </c>
      <c r="AE174" s="95" t="s">
        <v>60</v>
      </c>
      <c r="AF174" s="95"/>
      <c r="AG174" s="95"/>
    </row>
    <row r="175" spans="1:33" ht="43.2">
      <c r="A175" s="116" t="s">
        <v>657</v>
      </c>
      <c r="B175" s="116" t="s">
        <v>324</v>
      </c>
      <c r="C175" s="94">
        <v>43754</v>
      </c>
      <c r="D175" s="95" t="s">
        <v>60</v>
      </c>
      <c r="E175" s="116">
        <v>69</v>
      </c>
      <c r="F175" s="117">
        <v>18374</v>
      </c>
      <c r="G175" s="116" t="s">
        <v>61</v>
      </c>
      <c r="H175" s="116" t="s">
        <v>116</v>
      </c>
      <c r="I175" s="116" t="s">
        <v>62</v>
      </c>
      <c r="J175" s="118" t="s">
        <v>324</v>
      </c>
      <c r="K175" s="116" t="s">
        <v>60</v>
      </c>
      <c r="L175" s="118" t="s">
        <v>658</v>
      </c>
      <c r="M175" s="116" t="s">
        <v>62</v>
      </c>
      <c r="N175" s="116" t="s">
        <v>324</v>
      </c>
      <c r="O175" s="116" t="s">
        <v>62</v>
      </c>
      <c r="P175" s="116" t="s">
        <v>324</v>
      </c>
      <c r="Q175" s="116"/>
      <c r="R175" s="116"/>
      <c r="S175" s="116"/>
      <c r="T175" s="116"/>
      <c r="U175" s="95" t="s">
        <v>60</v>
      </c>
      <c r="V175" s="95" t="s">
        <v>60</v>
      </c>
      <c r="W175" s="95" t="s">
        <v>60</v>
      </c>
      <c r="X175" s="95">
        <v>159.44999999999999</v>
      </c>
      <c r="Y175" s="95">
        <v>66.8</v>
      </c>
      <c r="Z175" s="95">
        <f t="shared" si="5"/>
        <v>26.274073792191551</v>
      </c>
      <c r="AA175" s="95" t="s">
        <v>355</v>
      </c>
      <c r="AB175" s="95" t="s">
        <v>60</v>
      </c>
      <c r="AC175" s="95" t="s">
        <v>60</v>
      </c>
      <c r="AD175" s="95" t="s">
        <v>60</v>
      </c>
      <c r="AE175" s="95" t="s">
        <v>60</v>
      </c>
      <c r="AF175" s="95" t="s">
        <v>60</v>
      </c>
      <c r="AG175" s="95"/>
    </row>
    <row r="176" spans="1:33">
      <c r="A176" s="116" t="s">
        <v>659</v>
      </c>
      <c r="B176" s="116" t="s">
        <v>324</v>
      </c>
      <c r="C176" s="94">
        <v>43756</v>
      </c>
      <c r="D176" s="95" t="s">
        <v>60</v>
      </c>
      <c r="E176" s="116">
        <v>61</v>
      </c>
      <c r="F176" s="117">
        <v>21467</v>
      </c>
      <c r="G176" s="116" t="s">
        <v>61</v>
      </c>
      <c r="H176" s="116" t="s">
        <v>116</v>
      </c>
      <c r="I176" s="116" t="s">
        <v>62</v>
      </c>
      <c r="J176" s="118" t="s">
        <v>324</v>
      </c>
      <c r="K176" s="116" t="s">
        <v>62</v>
      </c>
      <c r="L176" s="118" t="s">
        <v>324</v>
      </c>
      <c r="M176" s="116" t="s">
        <v>62</v>
      </c>
      <c r="N176" s="116" t="s">
        <v>324</v>
      </c>
      <c r="O176" s="116" t="s">
        <v>60</v>
      </c>
      <c r="P176" s="116" t="s">
        <v>60</v>
      </c>
      <c r="Q176" s="116" t="s">
        <v>660</v>
      </c>
      <c r="R176" s="116" t="s">
        <v>425</v>
      </c>
      <c r="S176" s="116"/>
      <c r="T176" s="116"/>
      <c r="U176" s="95" t="s">
        <v>60</v>
      </c>
      <c r="V176" s="95" t="s">
        <v>60</v>
      </c>
      <c r="W176" s="95" t="s">
        <v>60</v>
      </c>
      <c r="X176" s="95">
        <v>156.4</v>
      </c>
      <c r="Y176" s="95">
        <v>81.5</v>
      </c>
      <c r="Z176" s="95">
        <f t="shared" si="5"/>
        <v>33.318397969662676</v>
      </c>
      <c r="AA176" s="95" t="s">
        <v>325</v>
      </c>
      <c r="AB176" s="95" t="s">
        <v>60</v>
      </c>
      <c r="AC176" s="95"/>
      <c r="AD176" s="95" t="s">
        <v>60</v>
      </c>
      <c r="AE176" s="101" t="s">
        <v>60</v>
      </c>
      <c r="AF176" s="95"/>
      <c r="AG176" s="95"/>
    </row>
    <row r="177" spans="1:33">
      <c r="A177" s="116" t="s">
        <v>661</v>
      </c>
      <c r="B177" s="116" t="s">
        <v>324</v>
      </c>
      <c r="C177" s="98">
        <v>43770</v>
      </c>
      <c r="D177" s="95" t="s">
        <v>60</v>
      </c>
      <c r="E177" s="116">
        <v>67</v>
      </c>
      <c r="F177" s="117">
        <v>18939</v>
      </c>
      <c r="G177" s="116" t="s">
        <v>58</v>
      </c>
      <c r="H177" s="116" t="s">
        <v>116</v>
      </c>
      <c r="I177" s="116" t="s">
        <v>62</v>
      </c>
      <c r="J177" s="118" t="s">
        <v>324</v>
      </c>
      <c r="K177" s="116" t="s">
        <v>62</v>
      </c>
      <c r="L177" s="118" t="s">
        <v>324</v>
      </c>
      <c r="M177" s="116" t="s">
        <v>62</v>
      </c>
      <c r="N177" s="116" t="s">
        <v>324</v>
      </c>
      <c r="O177" s="116" t="s">
        <v>62</v>
      </c>
      <c r="P177" s="116" t="s">
        <v>324</v>
      </c>
      <c r="Q177" s="116" t="s">
        <v>362</v>
      </c>
      <c r="R177" s="116" t="s">
        <v>662</v>
      </c>
      <c r="S177" s="116"/>
      <c r="T177" s="116"/>
      <c r="U177" s="95" t="s">
        <v>60</v>
      </c>
      <c r="V177" s="95" t="s">
        <v>60</v>
      </c>
      <c r="W177" s="95" t="s">
        <v>60</v>
      </c>
      <c r="X177" s="95">
        <v>171.6</v>
      </c>
      <c r="Y177" s="95">
        <v>91</v>
      </c>
      <c r="Z177" s="95">
        <f t="shared" si="5"/>
        <v>30.903439994349089</v>
      </c>
      <c r="AA177" s="95" t="s">
        <v>355</v>
      </c>
      <c r="AB177" s="95" t="s">
        <v>60</v>
      </c>
      <c r="AC177" s="95" t="s">
        <v>60</v>
      </c>
      <c r="AD177" s="95" t="s">
        <v>60</v>
      </c>
      <c r="AE177" s="95" t="s">
        <v>60</v>
      </c>
      <c r="AF177" s="95" t="s">
        <v>60</v>
      </c>
      <c r="AG177" s="95"/>
    </row>
    <row r="178" spans="1:33">
      <c r="A178" s="116" t="s">
        <v>663</v>
      </c>
      <c r="B178" s="116" t="s">
        <v>324</v>
      </c>
      <c r="C178" s="98">
        <v>43770</v>
      </c>
      <c r="D178" s="95" t="s">
        <v>60</v>
      </c>
      <c r="E178" s="116">
        <v>67</v>
      </c>
      <c r="F178" s="117">
        <v>18963</v>
      </c>
      <c r="G178" s="116" t="s">
        <v>61</v>
      </c>
      <c r="H178" s="116" t="s">
        <v>116</v>
      </c>
      <c r="I178" s="116" t="s">
        <v>62</v>
      </c>
      <c r="J178" s="118" t="s">
        <v>324</v>
      </c>
      <c r="K178" s="116" t="s">
        <v>62</v>
      </c>
      <c r="L178" s="118" t="s">
        <v>324</v>
      </c>
      <c r="M178" s="116" t="s">
        <v>62</v>
      </c>
      <c r="N178" s="116" t="s">
        <v>324</v>
      </c>
      <c r="O178" s="116" t="s">
        <v>62</v>
      </c>
      <c r="P178" s="116" t="s">
        <v>324</v>
      </c>
      <c r="Q178" s="116" t="s">
        <v>362</v>
      </c>
      <c r="R178" s="116" t="s">
        <v>363</v>
      </c>
      <c r="S178" s="116" t="s">
        <v>664</v>
      </c>
      <c r="T178" s="116" t="s">
        <v>665</v>
      </c>
      <c r="U178" s="95" t="s">
        <v>60</v>
      </c>
      <c r="V178" s="95" t="s">
        <v>60</v>
      </c>
      <c r="W178" s="95" t="s">
        <v>60</v>
      </c>
      <c r="X178" s="95">
        <v>162.69999999999999</v>
      </c>
      <c r="Y178" s="95">
        <v>82.4</v>
      </c>
      <c r="Z178" s="95">
        <f t="shared" si="5"/>
        <v>31.12806364933482</v>
      </c>
      <c r="AA178" s="95" t="s">
        <v>355</v>
      </c>
      <c r="AB178" s="95" t="s">
        <v>60</v>
      </c>
      <c r="AC178" s="95" t="s">
        <v>60</v>
      </c>
      <c r="AD178" s="95" t="s">
        <v>60</v>
      </c>
      <c r="AE178" s="95" t="s">
        <v>60</v>
      </c>
      <c r="AF178" s="95" t="s">
        <v>60</v>
      </c>
      <c r="AG178" s="95"/>
    </row>
    <row r="179" spans="1:33" ht="43.2">
      <c r="A179" s="116" t="s">
        <v>666</v>
      </c>
      <c r="B179" s="116" t="s">
        <v>324</v>
      </c>
      <c r="C179" s="94">
        <v>43755</v>
      </c>
      <c r="D179" s="95" t="s">
        <v>60</v>
      </c>
      <c r="E179" s="116">
        <v>56</v>
      </c>
      <c r="F179" s="117">
        <v>23252</v>
      </c>
      <c r="G179" s="116" t="s">
        <v>58</v>
      </c>
      <c r="H179" s="116" t="s">
        <v>116</v>
      </c>
      <c r="I179" s="116" t="s">
        <v>62</v>
      </c>
      <c r="J179" s="118" t="s">
        <v>324</v>
      </c>
      <c r="K179" s="116" t="s">
        <v>60</v>
      </c>
      <c r="L179" s="118" t="s">
        <v>667</v>
      </c>
      <c r="M179" s="116" t="s">
        <v>62</v>
      </c>
      <c r="N179" s="116" t="s">
        <v>324</v>
      </c>
      <c r="O179" s="116" t="s">
        <v>62</v>
      </c>
      <c r="P179" s="116" t="s">
        <v>324</v>
      </c>
      <c r="Q179" s="116" t="s">
        <v>363</v>
      </c>
      <c r="R179" s="116" t="s">
        <v>362</v>
      </c>
      <c r="S179" s="116" t="s">
        <v>668</v>
      </c>
      <c r="T179" s="116" t="s">
        <v>669</v>
      </c>
      <c r="U179" s="95" t="s">
        <v>60</v>
      </c>
      <c r="V179" s="95" t="s">
        <v>60</v>
      </c>
      <c r="W179" s="95" t="s">
        <v>60</v>
      </c>
      <c r="X179" s="95">
        <v>176.8</v>
      </c>
      <c r="Y179" s="95">
        <v>128.5</v>
      </c>
      <c r="Z179" s="95">
        <f t="shared" si="5"/>
        <v>41.109160336602443</v>
      </c>
      <c r="AA179" s="95" t="s">
        <v>325</v>
      </c>
      <c r="AB179" s="95" t="s">
        <v>60</v>
      </c>
      <c r="AC179" s="95"/>
      <c r="AD179" s="95" t="s">
        <v>60</v>
      </c>
      <c r="AE179" s="95" t="s">
        <v>60</v>
      </c>
      <c r="AF179" s="95"/>
      <c r="AG179" s="95"/>
    </row>
    <row r="180" spans="1:33">
      <c r="A180" s="116" t="s">
        <v>1108</v>
      </c>
      <c r="B180" s="116" t="s">
        <v>324</v>
      </c>
      <c r="C180" s="98">
        <v>43774</v>
      </c>
      <c r="D180" s="95" t="s">
        <v>60</v>
      </c>
      <c r="E180" s="116">
        <v>42</v>
      </c>
      <c r="F180" s="117">
        <v>28165</v>
      </c>
      <c r="G180" s="116" t="s">
        <v>61</v>
      </c>
      <c r="H180" s="116" t="s">
        <v>116</v>
      </c>
      <c r="I180" s="116" t="s">
        <v>62</v>
      </c>
      <c r="J180" s="118" t="s">
        <v>324</v>
      </c>
      <c r="K180" s="116" t="s">
        <v>62</v>
      </c>
      <c r="L180" s="118" t="s">
        <v>324</v>
      </c>
      <c r="M180" s="116" t="s">
        <v>62</v>
      </c>
      <c r="N180" s="116" t="s">
        <v>324</v>
      </c>
      <c r="O180" s="116" t="s">
        <v>62</v>
      </c>
      <c r="P180" s="116" t="s">
        <v>324</v>
      </c>
      <c r="Q180" s="116" t="s">
        <v>328</v>
      </c>
      <c r="R180" s="116"/>
      <c r="S180" s="116"/>
      <c r="T180" s="116"/>
      <c r="U180" s="95" t="s">
        <v>60</v>
      </c>
      <c r="V180" s="95" t="s">
        <v>60</v>
      </c>
      <c r="W180" s="95" t="s">
        <v>60</v>
      </c>
      <c r="X180" s="95">
        <v>159.30000000000001</v>
      </c>
      <c r="Y180" s="95">
        <v>57.8</v>
      </c>
      <c r="Z180" s="95">
        <f t="shared" si="5"/>
        <v>22.776987676388654</v>
      </c>
      <c r="AA180" s="95" t="s">
        <v>325</v>
      </c>
      <c r="AB180" s="95"/>
      <c r="AC180" s="95"/>
      <c r="AD180" s="95" t="s">
        <v>60</v>
      </c>
      <c r="AE180" s="95"/>
      <c r="AF180" s="95"/>
      <c r="AG180" s="95"/>
    </row>
    <row r="181" spans="1:33" ht="43.2">
      <c r="A181" s="116" t="s">
        <v>670</v>
      </c>
      <c r="B181" s="116" t="s">
        <v>324</v>
      </c>
      <c r="C181" s="94">
        <v>43755</v>
      </c>
      <c r="D181" s="95" t="s">
        <v>60</v>
      </c>
      <c r="E181" s="116">
        <v>78</v>
      </c>
      <c r="F181" s="117">
        <v>14933</v>
      </c>
      <c r="G181" s="116" t="s">
        <v>61</v>
      </c>
      <c r="H181" s="116" t="s">
        <v>671</v>
      </c>
      <c r="I181" s="116" t="s">
        <v>62</v>
      </c>
      <c r="J181" s="118" t="s">
        <v>324</v>
      </c>
      <c r="K181" s="116" t="s">
        <v>60</v>
      </c>
      <c r="L181" s="118" t="s">
        <v>672</v>
      </c>
      <c r="M181" s="116" t="s">
        <v>62</v>
      </c>
      <c r="N181" s="116" t="s">
        <v>324</v>
      </c>
      <c r="O181" s="116" t="s">
        <v>62</v>
      </c>
      <c r="P181" s="116" t="s">
        <v>324</v>
      </c>
      <c r="Q181" s="116" t="s">
        <v>363</v>
      </c>
      <c r="R181" s="116" t="s">
        <v>362</v>
      </c>
      <c r="S181" s="116" t="s">
        <v>673</v>
      </c>
      <c r="T181" s="116"/>
      <c r="U181" s="95" t="s">
        <v>60</v>
      </c>
      <c r="V181" s="95" t="s">
        <v>60</v>
      </c>
      <c r="W181" s="95" t="s">
        <v>60</v>
      </c>
      <c r="X181" s="95">
        <v>151.19999999999999</v>
      </c>
      <c r="Y181" s="95">
        <v>119.2</v>
      </c>
      <c r="Z181" s="95">
        <f t="shared" si="5"/>
        <v>52.140197642843162</v>
      </c>
      <c r="AA181" s="95" t="s">
        <v>355</v>
      </c>
      <c r="AB181" s="95" t="s">
        <v>60</v>
      </c>
      <c r="AC181" s="95" t="s">
        <v>60</v>
      </c>
      <c r="AD181" s="95" t="s">
        <v>60</v>
      </c>
      <c r="AE181" s="95" t="s">
        <v>60</v>
      </c>
      <c r="AF181" s="95" t="s">
        <v>60</v>
      </c>
      <c r="AG181" s="95"/>
    </row>
    <row r="182" spans="1:33" ht="57.6">
      <c r="A182" s="116" t="s">
        <v>674</v>
      </c>
      <c r="B182" s="116" t="s">
        <v>324</v>
      </c>
      <c r="C182" s="94">
        <v>43754</v>
      </c>
      <c r="D182" s="95" t="s">
        <v>60</v>
      </c>
      <c r="E182" s="116">
        <v>68</v>
      </c>
      <c r="F182" s="117">
        <v>18861</v>
      </c>
      <c r="G182" s="116" t="s">
        <v>58</v>
      </c>
      <c r="H182" s="116" t="s">
        <v>116</v>
      </c>
      <c r="I182" s="116" t="s">
        <v>62</v>
      </c>
      <c r="J182" s="118" t="s">
        <v>324</v>
      </c>
      <c r="K182" s="116" t="s">
        <v>60</v>
      </c>
      <c r="L182" s="118" t="s">
        <v>675</v>
      </c>
      <c r="M182" s="116" t="s">
        <v>62</v>
      </c>
      <c r="N182" s="116" t="s">
        <v>324</v>
      </c>
      <c r="O182" s="116" t="s">
        <v>60</v>
      </c>
      <c r="P182" s="116" t="s">
        <v>60</v>
      </c>
      <c r="Q182" s="116" t="s">
        <v>457</v>
      </c>
      <c r="R182" s="116" t="s">
        <v>362</v>
      </c>
      <c r="S182" s="116" t="s">
        <v>676</v>
      </c>
      <c r="T182" s="116" t="s">
        <v>677</v>
      </c>
      <c r="U182" s="95" t="s">
        <v>60</v>
      </c>
      <c r="V182" s="95" t="s">
        <v>60</v>
      </c>
      <c r="W182" s="95" t="s">
        <v>60</v>
      </c>
      <c r="X182" s="95">
        <v>177.2</v>
      </c>
      <c r="Y182" s="95">
        <v>80.5</v>
      </c>
      <c r="Z182" s="95">
        <f t="shared" si="5"/>
        <v>25.6370733099277</v>
      </c>
      <c r="AA182" s="95" t="s">
        <v>325</v>
      </c>
      <c r="AB182" s="95" t="s">
        <v>60</v>
      </c>
      <c r="AC182" s="95" t="s">
        <v>60</v>
      </c>
      <c r="AD182" s="95" t="s">
        <v>60</v>
      </c>
      <c r="AE182" s="95" t="s">
        <v>60</v>
      </c>
      <c r="AF182" s="95" t="s">
        <v>60</v>
      </c>
      <c r="AG182" s="95"/>
    </row>
    <row r="183" spans="1:33">
      <c r="A183" s="116" t="s">
        <v>1109</v>
      </c>
      <c r="B183" s="116" t="s">
        <v>324</v>
      </c>
      <c r="C183" s="98">
        <v>43763</v>
      </c>
      <c r="D183" s="95" t="s">
        <v>60</v>
      </c>
      <c r="E183" s="116">
        <v>50</v>
      </c>
      <c r="F183" s="117">
        <v>25451</v>
      </c>
      <c r="G183" s="116" t="s">
        <v>58</v>
      </c>
      <c r="H183" s="116" t="s">
        <v>116</v>
      </c>
      <c r="I183" s="116" t="s">
        <v>62</v>
      </c>
      <c r="J183" s="118" t="s">
        <v>324</v>
      </c>
      <c r="K183" s="116" t="s">
        <v>62</v>
      </c>
      <c r="L183" s="118" t="s">
        <v>324</v>
      </c>
      <c r="M183" s="116" t="s">
        <v>62</v>
      </c>
      <c r="N183" s="116" t="s">
        <v>324</v>
      </c>
      <c r="O183" s="116" t="s">
        <v>60</v>
      </c>
      <c r="P183" s="116" t="s">
        <v>60</v>
      </c>
      <c r="Q183" s="116" t="s">
        <v>457</v>
      </c>
      <c r="R183" s="116"/>
      <c r="S183" s="116"/>
      <c r="T183" s="116"/>
      <c r="U183" s="95" t="s">
        <v>60</v>
      </c>
      <c r="V183" s="95" t="s">
        <v>60</v>
      </c>
      <c r="W183" s="95" t="s">
        <v>60</v>
      </c>
      <c r="X183" s="95">
        <v>166.1</v>
      </c>
      <c r="Y183" s="95">
        <v>72</v>
      </c>
      <c r="Z183" s="95">
        <f t="shared" si="5"/>
        <v>26.097158998028579</v>
      </c>
      <c r="AA183" s="95" t="s">
        <v>325</v>
      </c>
      <c r="AB183" s="95" t="s">
        <v>60</v>
      </c>
      <c r="AC183" s="95"/>
      <c r="AD183" s="95" t="s">
        <v>60</v>
      </c>
      <c r="AE183" s="95" t="s">
        <v>60</v>
      </c>
      <c r="AF183" s="95"/>
      <c r="AG183" s="95"/>
    </row>
    <row r="184" spans="1:33" ht="43.2">
      <c r="A184" s="116" t="s">
        <v>678</v>
      </c>
      <c r="B184" s="116" t="s">
        <v>324</v>
      </c>
      <c r="C184" s="94">
        <v>43754</v>
      </c>
      <c r="D184" s="95" t="s">
        <v>60</v>
      </c>
      <c r="E184" s="116">
        <v>64</v>
      </c>
      <c r="F184" s="117">
        <v>20355</v>
      </c>
      <c r="G184" s="116" t="s">
        <v>58</v>
      </c>
      <c r="H184" s="116" t="s">
        <v>116</v>
      </c>
      <c r="I184" s="116" t="s">
        <v>62</v>
      </c>
      <c r="J184" s="118" t="s">
        <v>324</v>
      </c>
      <c r="K184" s="116" t="s">
        <v>60</v>
      </c>
      <c r="L184" s="118" t="s">
        <v>679</v>
      </c>
      <c r="M184" s="116" t="s">
        <v>62</v>
      </c>
      <c r="N184" s="116" t="s">
        <v>324</v>
      </c>
      <c r="O184" s="116" t="s">
        <v>62</v>
      </c>
      <c r="P184" s="116" t="s">
        <v>324</v>
      </c>
      <c r="Q184" s="116" t="s">
        <v>348</v>
      </c>
      <c r="R184" s="116" t="s">
        <v>327</v>
      </c>
      <c r="S184" s="116"/>
      <c r="T184" s="116"/>
      <c r="U184" s="95" t="s">
        <v>62</v>
      </c>
      <c r="V184" s="95" t="s">
        <v>62</v>
      </c>
      <c r="W184" s="95" t="s">
        <v>62</v>
      </c>
      <c r="X184" s="95">
        <v>152.5</v>
      </c>
      <c r="Y184" s="95">
        <v>65.099999999999994</v>
      </c>
      <c r="Z184" s="95">
        <f t="shared" si="5"/>
        <v>27.992475141091106</v>
      </c>
      <c r="AA184" s="95" t="s">
        <v>325</v>
      </c>
      <c r="AB184" s="95" t="s">
        <v>60</v>
      </c>
      <c r="AC184" s="95"/>
      <c r="AD184" s="95" t="s">
        <v>60</v>
      </c>
      <c r="AE184" s="95" t="s">
        <v>60</v>
      </c>
      <c r="AF184" s="95"/>
      <c r="AG184" s="95"/>
    </row>
    <row r="185" spans="1:33" ht="28.8">
      <c r="A185" s="116" t="s">
        <v>680</v>
      </c>
      <c r="B185" s="116" t="s">
        <v>324</v>
      </c>
      <c r="C185" s="94">
        <v>43761</v>
      </c>
      <c r="D185" s="95" t="s">
        <v>60</v>
      </c>
      <c r="E185" s="116">
        <v>70</v>
      </c>
      <c r="F185" s="117">
        <v>17953</v>
      </c>
      <c r="G185" s="116" t="s">
        <v>61</v>
      </c>
      <c r="H185" s="116" t="s">
        <v>116</v>
      </c>
      <c r="I185" s="116" t="s">
        <v>62</v>
      </c>
      <c r="J185" s="118" t="s">
        <v>324</v>
      </c>
      <c r="K185" s="116" t="s">
        <v>60</v>
      </c>
      <c r="L185" s="118" t="s">
        <v>681</v>
      </c>
      <c r="M185" s="116" t="s">
        <v>62</v>
      </c>
      <c r="N185" s="116" t="s">
        <v>324</v>
      </c>
      <c r="O185" s="116" t="s">
        <v>62</v>
      </c>
      <c r="P185" s="116" t="s">
        <v>324</v>
      </c>
      <c r="Q185" s="116" t="s">
        <v>682</v>
      </c>
      <c r="R185" s="116" t="s">
        <v>683</v>
      </c>
      <c r="S185" s="116" t="s">
        <v>363</v>
      </c>
      <c r="T185" s="116"/>
      <c r="U185" s="95" t="s">
        <v>60</v>
      </c>
      <c r="V185" s="95" t="s">
        <v>60</v>
      </c>
      <c r="W185" s="95" t="s">
        <v>60</v>
      </c>
      <c r="X185" s="95">
        <v>164.55</v>
      </c>
      <c r="Y185" s="95">
        <v>64.900000000000006</v>
      </c>
      <c r="Z185" s="95">
        <f t="shared" si="5"/>
        <v>23.968945258382181</v>
      </c>
      <c r="AA185" s="95" t="s">
        <v>355</v>
      </c>
      <c r="AB185" s="95" t="s">
        <v>60</v>
      </c>
      <c r="AC185" s="95"/>
      <c r="AD185" s="95" t="s">
        <v>60</v>
      </c>
      <c r="AE185" s="95" t="s">
        <v>60</v>
      </c>
      <c r="AF185" s="95"/>
      <c r="AG185" s="95"/>
    </row>
    <row r="186" spans="1:33" ht="43.2">
      <c r="A186" s="116" t="s">
        <v>684</v>
      </c>
      <c r="B186" s="116" t="s">
        <v>324</v>
      </c>
      <c r="C186" s="94">
        <v>43763</v>
      </c>
      <c r="D186" s="95" t="s">
        <v>60</v>
      </c>
      <c r="E186" s="116">
        <v>74</v>
      </c>
      <c r="F186" s="117">
        <v>16650</v>
      </c>
      <c r="G186" s="116" t="s">
        <v>58</v>
      </c>
      <c r="H186" s="116" t="s">
        <v>116</v>
      </c>
      <c r="I186" s="116" t="s">
        <v>62</v>
      </c>
      <c r="J186" s="118" t="s">
        <v>324</v>
      </c>
      <c r="K186" s="116" t="s">
        <v>60</v>
      </c>
      <c r="L186" s="118" t="s">
        <v>685</v>
      </c>
      <c r="M186" s="116" t="s">
        <v>62</v>
      </c>
      <c r="N186" s="116" t="s">
        <v>324</v>
      </c>
      <c r="O186" s="116" t="s">
        <v>62</v>
      </c>
      <c r="P186" s="116" t="s">
        <v>324</v>
      </c>
      <c r="Q186" s="116" t="s">
        <v>348</v>
      </c>
      <c r="R186" s="116" t="s">
        <v>362</v>
      </c>
      <c r="S186" s="116"/>
      <c r="T186" s="116"/>
      <c r="U186" s="95" t="s">
        <v>60</v>
      </c>
      <c r="V186" s="95" t="s">
        <v>60</v>
      </c>
      <c r="W186" s="95" t="s">
        <v>60</v>
      </c>
      <c r="X186" s="95">
        <v>173.9</v>
      </c>
      <c r="Y186" s="95">
        <v>111</v>
      </c>
      <c r="Z186" s="95">
        <f t="shared" si="5"/>
        <v>36.704880525613881</v>
      </c>
      <c r="AA186" s="95" t="s">
        <v>355</v>
      </c>
      <c r="AB186" s="95" t="s">
        <v>60</v>
      </c>
      <c r="AC186" s="95" t="s">
        <v>60</v>
      </c>
      <c r="AD186" s="95" t="s">
        <v>60</v>
      </c>
      <c r="AE186" s="95" t="s">
        <v>60</v>
      </c>
      <c r="AF186" s="95" t="s">
        <v>60</v>
      </c>
      <c r="AG186" s="95"/>
    </row>
    <row r="187" spans="1:33" ht="43.2">
      <c r="A187" s="116" t="s">
        <v>686</v>
      </c>
      <c r="B187" s="116" t="s">
        <v>324</v>
      </c>
      <c r="C187" s="94">
        <v>43760</v>
      </c>
      <c r="D187" s="95" t="s">
        <v>60</v>
      </c>
      <c r="E187" s="116">
        <v>70</v>
      </c>
      <c r="F187" s="117">
        <v>18063</v>
      </c>
      <c r="G187" s="116" t="s">
        <v>61</v>
      </c>
      <c r="H187" s="116" t="s">
        <v>116</v>
      </c>
      <c r="I187" s="116" t="s">
        <v>62</v>
      </c>
      <c r="J187" s="118" t="s">
        <v>324</v>
      </c>
      <c r="K187" s="116" t="s">
        <v>60</v>
      </c>
      <c r="L187" s="118" t="s">
        <v>687</v>
      </c>
      <c r="M187" s="116" t="s">
        <v>62</v>
      </c>
      <c r="N187" s="116" t="s">
        <v>324</v>
      </c>
      <c r="O187" s="116" t="s">
        <v>62</v>
      </c>
      <c r="P187" s="116" t="s">
        <v>324</v>
      </c>
      <c r="Q187" s="116" t="s">
        <v>362</v>
      </c>
      <c r="R187" s="116"/>
      <c r="S187" s="116"/>
      <c r="T187" s="116"/>
      <c r="U187" s="95" t="s">
        <v>60</v>
      </c>
      <c r="V187" s="95" t="s">
        <v>60</v>
      </c>
      <c r="W187" s="95" t="s">
        <v>60</v>
      </c>
      <c r="X187" s="95">
        <v>168</v>
      </c>
      <c r="Y187" s="95">
        <v>78</v>
      </c>
      <c r="Z187" s="95">
        <f t="shared" si="5"/>
        <v>27.636054421768712</v>
      </c>
      <c r="AA187" s="95" t="s">
        <v>355</v>
      </c>
      <c r="AB187" s="95" t="s">
        <v>60</v>
      </c>
      <c r="AC187" s="95" t="s">
        <v>60</v>
      </c>
      <c r="AD187" s="95" t="s">
        <v>60</v>
      </c>
      <c r="AE187" s="95" t="s">
        <v>60</v>
      </c>
      <c r="AF187" s="95" t="s">
        <v>60</v>
      </c>
      <c r="AG187" s="95"/>
    </row>
    <row r="188" spans="1:33" ht="43.2">
      <c r="A188" s="116" t="s">
        <v>688</v>
      </c>
      <c r="B188" s="116" t="s">
        <v>324</v>
      </c>
      <c r="C188" s="94">
        <v>43762</v>
      </c>
      <c r="D188" s="95" t="s">
        <v>60</v>
      </c>
      <c r="E188" s="116">
        <v>70</v>
      </c>
      <c r="F188" s="117">
        <v>18071</v>
      </c>
      <c r="G188" s="116" t="s">
        <v>61</v>
      </c>
      <c r="H188" s="116" t="s">
        <v>116</v>
      </c>
      <c r="I188" s="116" t="s">
        <v>62</v>
      </c>
      <c r="J188" s="118" t="s">
        <v>324</v>
      </c>
      <c r="K188" s="116" t="s">
        <v>60</v>
      </c>
      <c r="L188" s="118" t="s">
        <v>689</v>
      </c>
      <c r="M188" s="116" t="s">
        <v>62</v>
      </c>
      <c r="N188" s="116" t="s">
        <v>324</v>
      </c>
      <c r="O188" s="116" t="s">
        <v>60</v>
      </c>
      <c r="P188" s="116" t="s">
        <v>690</v>
      </c>
      <c r="Q188" s="116"/>
      <c r="R188" s="116"/>
      <c r="S188" s="116"/>
      <c r="T188" s="116"/>
      <c r="U188" s="95" t="s">
        <v>60</v>
      </c>
      <c r="V188" s="95" t="s">
        <v>60</v>
      </c>
      <c r="W188" s="95" t="s">
        <v>60</v>
      </c>
      <c r="X188" s="95">
        <v>159.6</v>
      </c>
      <c r="Y188" s="95">
        <v>60.9</v>
      </c>
      <c r="Z188" s="95">
        <f t="shared" si="5"/>
        <v>23.908455348898563</v>
      </c>
      <c r="AA188" s="95" t="s">
        <v>355</v>
      </c>
      <c r="AB188" s="95" t="s">
        <v>60</v>
      </c>
      <c r="AC188" s="95" t="s">
        <v>60</v>
      </c>
      <c r="AD188" s="95" t="s">
        <v>60</v>
      </c>
      <c r="AE188" s="95" t="s">
        <v>60</v>
      </c>
      <c r="AF188" s="95" t="s">
        <v>60</v>
      </c>
      <c r="AG188" s="95"/>
    </row>
    <row r="189" spans="1:33">
      <c r="A189" s="116" t="s">
        <v>691</v>
      </c>
      <c r="B189" s="116" t="s">
        <v>324</v>
      </c>
      <c r="C189" s="98">
        <v>43773</v>
      </c>
      <c r="D189" s="95" t="s">
        <v>60</v>
      </c>
      <c r="E189" s="116">
        <v>66</v>
      </c>
      <c r="F189" s="117">
        <v>19472</v>
      </c>
      <c r="G189" s="116" t="s">
        <v>61</v>
      </c>
      <c r="H189" s="116" t="s">
        <v>116</v>
      </c>
      <c r="I189" s="116" t="s">
        <v>62</v>
      </c>
      <c r="J189" s="118" t="s">
        <v>324</v>
      </c>
      <c r="K189" s="116" t="s">
        <v>62</v>
      </c>
      <c r="L189" s="118" t="s">
        <v>324</v>
      </c>
      <c r="M189" s="116" t="s">
        <v>62</v>
      </c>
      <c r="N189" s="116" t="s">
        <v>324</v>
      </c>
      <c r="O189" s="116" t="s">
        <v>62</v>
      </c>
      <c r="P189" s="116" t="s">
        <v>324</v>
      </c>
      <c r="Q189" s="116" t="s">
        <v>363</v>
      </c>
      <c r="R189" s="116" t="s">
        <v>362</v>
      </c>
      <c r="S189" s="116"/>
      <c r="T189" s="116"/>
      <c r="U189" s="95" t="s">
        <v>60</v>
      </c>
      <c r="V189" s="95" t="s">
        <v>60</v>
      </c>
      <c r="W189" s="95" t="s">
        <v>60</v>
      </c>
      <c r="X189" s="95">
        <v>169</v>
      </c>
      <c r="Y189" s="95">
        <v>78.3</v>
      </c>
      <c r="Z189" s="95">
        <f t="shared" si="5"/>
        <v>27.415006477364241</v>
      </c>
      <c r="AA189" s="95" t="s">
        <v>355</v>
      </c>
      <c r="AB189" s="95" t="s">
        <v>60</v>
      </c>
      <c r="AC189" s="95"/>
      <c r="AD189" s="95" t="s">
        <v>60</v>
      </c>
      <c r="AE189" s="95" t="s">
        <v>60</v>
      </c>
      <c r="AF189" s="95"/>
      <c r="AG189" s="95"/>
    </row>
    <row r="190" spans="1:33" ht="28.8">
      <c r="A190" s="116" t="s">
        <v>692</v>
      </c>
      <c r="B190" s="116" t="s">
        <v>324</v>
      </c>
      <c r="C190" s="94">
        <v>43755</v>
      </c>
      <c r="D190" s="95" t="s">
        <v>60</v>
      </c>
      <c r="E190" s="116">
        <v>60</v>
      </c>
      <c r="F190" s="117">
        <v>21485</v>
      </c>
      <c r="G190" s="116" t="s">
        <v>58</v>
      </c>
      <c r="H190" s="116" t="s">
        <v>116</v>
      </c>
      <c r="I190" s="116" t="s">
        <v>62</v>
      </c>
      <c r="J190" s="118" t="s">
        <v>324</v>
      </c>
      <c r="K190" s="116" t="s">
        <v>60</v>
      </c>
      <c r="L190" s="118" t="s">
        <v>693</v>
      </c>
      <c r="M190" s="116" t="s">
        <v>62</v>
      </c>
      <c r="N190" s="116" t="s">
        <v>324</v>
      </c>
      <c r="O190" s="116" t="s">
        <v>62</v>
      </c>
      <c r="P190" s="116" t="s">
        <v>324</v>
      </c>
      <c r="Q190" s="116" t="s">
        <v>363</v>
      </c>
      <c r="R190" s="116"/>
      <c r="S190" s="116"/>
      <c r="T190" s="116"/>
      <c r="U190" s="95" t="s">
        <v>390</v>
      </c>
      <c r="V190" s="95" t="s">
        <v>60</v>
      </c>
      <c r="W190" s="95" t="s">
        <v>60</v>
      </c>
      <c r="X190" s="95">
        <v>170.95</v>
      </c>
      <c r="Y190" s="95">
        <v>79.650000000000006</v>
      </c>
      <c r="Z190" s="95">
        <f t="shared" si="5"/>
        <v>27.255086824903014</v>
      </c>
      <c r="AA190" s="95" t="s">
        <v>325</v>
      </c>
      <c r="AB190" s="95" t="s">
        <v>60</v>
      </c>
      <c r="AC190" s="95"/>
      <c r="AD190" s="95" t="s">
        <v>60</v>
      </c>
      <c r="AE190" s="95" t="s">
        <v>60</v>
      </c>
      <c r="AF190" s="95"/>
      <c r="AG190" s="95"/>
    </row>
    <row r="191" spans="1:33" ht="28.8">
      <c r="A191" s="116" t="s">
        <v>694</v>
      </c>
      <c r="B191" s="116" t="s">
        <v>324</v>
      </c>
      <c r="C191" s="122">
        <v>43756</v>
      </c>
      <c r="D191" s="101" t="s">
        <v>60</v>
      </c>
      <c r="E191" s="116">
        <v>66</v>
      </c>
      <c r="F191" s="117">
        <v>19612</v>
      </c>
      <c r="G191" s="116" t="s">
        <v>61</v>
      </c>
      <c r="H191" s="116" t="s">
        <v>116</v>
      </c>
      <c r="I191" s="116" t="s">
        <v>62</v>
      </c>
      <c r="J191" s="118" t="s">
        <v>324</v>
      </c>
      <c r="K191" s="116" t="s">
        <v>60</v>
      </c>
      <c r="L191" s="118" t="s">
        <v>695</v>
      </c>
      <c r="M191" s="116" t="s">
        <v>62</v>
      </c>
      <c r="N191" s="116" t="s">
        <v>324</v>
      </c>
      <c r="O191" s="116" t="s">
        <v>62</v>
      </c>
      <c r="P191" s="116" t="s">
        <v>324</v>
      </c>
      <c r="Q191" s="116" t="s">
        <v>362</v>
      </c>
      <c r="R191" s="116"/>
      <c r="S191" s="116"/>
      <c r="T191" s="116"/>
      <c r="U191" s="101" t="s">
        <v>60</v>
      </c>
      <c r="V191" s="101" t="s">
        <v>60</v>
      </c>
      <c r="W191" s="101" t="s">
        <v>60</v>
      </c>
      <c r="X191" s="101">
        <v>165.2</v>
      </c>
      <c r="Y191" s="101">
        <v>69.900000000000006</v>
      </c>
      <c r="Z191" s="101">
        <f t="shared" si="5"/>
        <v>25.612801857312881</v>
      </c>
      <c r="AA191" s="101" t="s">
        <v>355</v>
      </c>
      <c r="AB191" s="101" t="s">
        <v>60</v>
      </c>
      <c r="AC191" s="101" t="s">
        <v>60</v>
      </c>
      <c r="AD191" s="101" t="s">
        <v>60</v>
      </c>
      <c r="AE191" s="101" t="s">
        <v>60</v>
      </c>
      <c r="AF191" s="101" t="s">
        <v>60</v>
      </c>
      <c r="AG191" s="101"/>
    </row>
    <row r="192" spans="1:33">
      <c r="A192" s="116" t="s">
        <v>696</v>
      </c>
      <c r="B192" s="116" t="s">
        <v>324</v>
      </c>
      <c r="C192" s="94">
        <v>43763</v>
      </c>
      <c r="D192" s="95" t="s">
        <v>60</v>
      </c>
      <c r="E192" s="116">
        <v>52</v>
      </c>
      <c r="F192" s="117">
        <v>24511</v>
      </c>
      <c r="G192" s="116" t="s">
        <v>61</v>
      </c>
      <c r="H192" s="116" t="s">
        <v>116</v>
      </c>
      <c r="I192" s="116" t="s">
        <v>62</v>
      </c>
      <c r="J192" s="118" t="s">
        <v>324</v>
      </c>
      <c r="K192" s="116" t="s">
        <v>62</v>
      </c>
      <c r="L192" s="118" t="s">
        <v>324</v>
      </c>
      <c r="M192" s="116" t="s">
        <v>62</v>
      </c>
      <c r="N192" s="116" t="s">
        <v>324</v>
      </c>
      <c r="O192" s="116" t="s">
        <v>62</v>
      </c>
      <c r="P192" s="116" t="s">
        <v>324</v>
      </c>
      <c r="Q192" s="116"/>
      <c r="R192" s="116"/>
      <c r="S192" s="116"/>
      <c r="T192" s="116"/>
      <c r="U192" s="95" t="s">
        <v>60</v>
      </c>
      <c r="V192" s="95" t="s">
        <v>60</v>
      </c>
      <c r="W192" s="95" t="s">
        <v>60</v>
      </c>
      <c r="X192" s="95">
        <v>165.6</v>
      </c>
      <c r="Y192" s="95">
        <v>61.1</v>
      </c>
      <c r="Z192" s="95">
        <f t="shared" si="5"/>
        <v>22.280274918901259</v>
      </c>
      <c r="AA192" s="95" t="s">
        <v>325</v>
      </c>
      <c r="AB192" s="95" t="s">
        <v>60</v>
      </c>
      <c r="AC192" s="95" t="s">
        <v>60</v>
      </c>
      <c r="AD192" s="95" t="s">
        <v>60</v>
      </c>
      <c r="AE192" s="95" t="s">
        <v>60</v>
      </c>
      <c r="AF192" s="95" t="s">
        <v>60</v>
      </c>
      <c r="AG192" s="95"/>
    </row>
    <row r="193" spans="1:33" ht="28.8">
      <c r="A193" s="116" t="s">
        <v>697</v>
      </c>
      <c r="B193" s="116" t="s">
        <v>324</v>
      </c>
      <c r="C193" s="123">
        <v>43759</v>
      </c>
      <c r="D193" s="124" t="s">
        <v>60</v>
      </c>
      <c r="E193" s="116">
        <v>68</v>
      </c>
      <c r="F193" s="117">
        <v>18806</v>
      </c>
      <c r="G193" s="116" t="s">
        <v>58</v>
      </c>
      <c r="H193" s="116" t="s">
        <v>116</v>
      </c>
      <c r="I193" s="116" t="s">
        <v>62</v>
      </c>
      <c r="J193" s="118" t="s">
        <v>324</v>
      </c>
      <c r="K193" s="116" t="s">
        <v>60</v>
      </c>
      <c r="L193" s="118" t="s">
        <v>698</v>
      </c>
      <c r="M193" s="116" t="s">
        <v>62</v>
      </c>
      <c r="N193" s="116" t="s">
        <v>324</v>
      </c>
      <c r="O193" s="116" t="s">
        <v>62</v>
      </c>
      <c r="P193" s="116" t="s">
        <v>324</v>
      </c>
      <c r="Q193" s="116"/>
      <c r="R193" s="116"/>
      <c r="S193" s="116"/>
      <c r="T193" s="116"/>
      <c r="U193" s="124" t="s">
        <v>60</v>
      </c>
      <c r="V193" s="124" t="s">
        <v>60</v>
      </c>
      <c r="W193" s="124" t="s">
        <v>60</v>
      </c>
      <c r="X193" s="124">
        <v>169.9</v>
      </c>
      <c r="Y193" s="124">
        <v>74.5</v>
      </c>
      <c r="Z193" s="124">
        <f t="shared" si="5"/>
        <v>25.808901195558374</v>
      </c>
      <c r="AA193" s="124" t="s">
        <v>355</v>
      </c>
      <c r="AB193" s="124" t="s">
        <v>60</v>
      </c>
      <c r="AC193" s="124" t="s">
        <v>60</v>
      </c>
      <c r="AD193" s="124" t="s">
        <v>60</v>
      </c>
      <c r="AE193" s="124" t="s">
        <v>60</v>
      </c>
      <c r="AF193" s="124" t="s">
        <v>62</v>
      </c>
      <c r="AG193" s="124" t="s">
        <v>699</v>
      </c>
    </row>
    <row r="194" spans="1:33">
      <c r="A194" s="116" t="s">
        <v>1110</v>
      </c>
      <c r="B194" s="116" t="s">
        <v>324</v>
      </c>
      <c r="C194" s="98">
        <v>43794</v>
      </c>
      <c r="D194" s="95" t="s">
        <v>60</v>
      </c>
      <c r="E194" s="116">
        <v>38</v>
      </c>
      <c r="F194" s="117">
        <v>29701</v>
      </c>
      <c r="G194" s="116" t="s">
        <v>61</v>
      </c>
      <c r="H194" s="116" t="s">
        <v>116</v>
      </c>
      <c r="I194" s="116" t="s">
        <v>62</v>
      </c>
      <c r="J194" s="118" t="s">
        <v>324</v>
      </c>
      <c r="K194" s="116" t="s">
        <v>62</v>
      </c>
      <c r="L194" s="118" t="s">
        <v>324</v>
      </c>
      <c r="M194" s="116" t="s">
        <v>62</v>
      </c>
      <c r="N194" s="116" t="s">
        <v>324</v>
      </c>
      <c r="O194" s="116" t="s">
        <v>62</v>
      </c>
      <c r="P194" s="116" t="s">
        <v>324</v>
      </c>
      <c r="Q194" s="116"/>
      <c r="R194" s="116"/>
      <c r="S194" s="116"/>
      <c r="T194" s="116"/>
      <c r="U194" s="95" t="s">
        <v>60</v>
      </c>
      <c r="V194" s="95" t="s">
        <v>60</v>
      </c>
      <c r="W194" s="95" t="s">
        <v>60</v>
      </c>
      <c r="X194" s="95">
        <v>172.4</v>
      </c>
      <c r="Y194" s="95">
        <v>104.3</v>
      </c>
      <c r="Z194" s="95">
        <f t="shared" si="5"/>
        <v>35.092134516933051</v>
      </c>
      <c r="AA194" s="95" t="s">
        <v>325</v>
      </c>
      <c r="AB194" s="95" t="s">
        <v>60</v>
      </c>
      <c r="AC194" s="95"/>
      <c r="AD194" s="95" t="s">
        <v>60</v>
      </c>
      <c r="AE194" s="95"/>
      <c r="AF194" s="95"/>
      <c r="AG194" s="95"/>
    </row>
    <row r="195" spans="1:33" ht="28.8">
      <c r="A195" s="116" t="s">
        <v>700</v>
      </c>
      <c r="B195" s="116" t="s">
        <v>324</v>
      </c>
      <c r="C195" s="94">
        <v>43762</v>
      </c>
      <c r="D195" s="95" t="s">
        <v>60</v>
      </c>
      <c r="E195" s="116">
        <v>58</v>
      </c>
      <c r="F195" s="117">
        <v>22347</v>
      </c>
      <c r="G195" s="116" t="s">
        <v>58</v>
      </c>
      <c r="H195" s="116" t="s">
        <v>116</v>
      </c>
      <c r="I195" s="116" t="s">
        <v>62</v>
      </c>
      <c r="J195" s="118" t="s">
        <v>324</v>
      </c>
      <c r="K195" s="116" t="s">
        <v>60</v>
      </c>
      <c r="L195" s="118" t="s">
        <v>701</v>
      </c>
      <c r="M195" s="116" t="s">
        <v>62</v>
      </c>
      <c r="N195" s="116" t="s">
        <v>324</v>
      </c>
      <c r="O195" s="116" t="s">
        <v>62</v>
      </c>
      <c r="P195" s="116" t="s">
        <v>324</v>
      </c>
      <c r="Q195" s="116" t="s">
        <v>348</v>
      </c>
      <c r="R195" s="116"/>
      <c r="S195" s="116"/>
      <c r="T195" s="116"/>
      <c r="U195" s="95" t="s">
        <v>62</v>
      </c>
      <c r="V195" s="95" t="s">
        <v>62</v>
      </c>
      <c r="W195" s="95" t="s">
        <v>62</v>
      </c>
      <c r="X195" s="95">
        <v>183.3</v>
      </c>
      <c r="Y195" s="95">
        <v>91.2</v>
      </c>
      <c r="Z195" s="95">
        <f t="shared" si="5"/>
        <v>27.14375385615417</v>
      </c>
      <c r="AA195" s="95" t="s">
        <v>325</v>
      </c>
      <c r="AB195" s="95" t="s">
        <v>60</v>
      </c>
      <c r="AC195" s="95" t="s">
        <v>60</v>
      </c>
      <c r="AD195" s="95" t="s">
        <v>60</v>
      </c>
      <c r="AE195" s="95" t="s">
        <v>60</v>
      </c>
      <c r="AF195" s="95" t="s">
        <v>60</v>
      </c>
      <c r="AG195" s="95"/>
    </row>
    <row r="196" spans="1:33">
      <c r="A196" s="116" t="s">
        <v>702</v>
      </c>
      <c r="B196" s="116" t="s">
        <v>324</v>
      </c>
      <c r="C196" s="94">
        <v>43756</v>
      </c>
      <c r="D196" s="95" t="s">
        <v>60</v>
      </c>
      <c r="E196" s="116">
        <v>72</v>
      </c>
      <c r="F196" s="117">
        <v>17401</v>
      </c>
      <c r="G196" s="116" t="s">
        <v>58</v>
      </c>
      <c r="H196" s="116" t="s">
        <v>116</v>
      </c>
      <c r="I196" s="116" t="s">
        <v>62</v>
      </c>
      <c r="J196" s="118" t="s">
        <v>324</v>
      </c>
      <c r="K196" s="116" t="s">
        <v>62</v>
      </c>
      <c r="L196" s="118" t="s">
        <v>324</v>
      </c>
      <c r="M196" s="116" t="s">
        <v>62</v>
      </c>
      <c r="N196" s="116" t="s">
        <v>324</v>
      </c>
      <c r="O196" s="116" t="s">
        <v>62</v>
      </c>
      <c r="P196" s="116" t="s">
        <v>324</v>
      </c>
      <c r="Q196" s="116" t="s">
        <v>362</v>
      </c>
      <c r="R196" s="116"/>
      <c r="S196" s="116"/>
      <c r="T196" s="116"/>
      <c r="U196" s="95" t="s">
        <v>60</v>
      </c>
      <c r="V196" s="95" t="s">
        <v>60</v>
      </c>
      <c r="W196" s="95" t="s">
        <v>60</v>
      </c>
      <c r="X196" s="95">
        <v>169.6</v>
      </c>
      <c r="Y196" s="95">
        <v>78.5</v>
      </c>
      <c r="Z196" s="95">
        <f t="shared" si="5"/>
        <v>27.290906461374156</v>
      </c>
      <c r="AA196" s="95" t="s">
        <v>325</v>
      </c>
      <c r="AB196" s="95" t="s">
        <v>60</v>
      </c>
      <c r="AC196" s="95" t="s">
        <v>60</v>
      </c>
      <c r="AD196" s="95" t="s">
        <v>60</v>
      </c>
      <c r="AE196" s="95" t="s">
        <v>60</v>
      </c>
      <c r="AF196" s="101" t="s">
        <v>60</v>
      </c>
      <c r="AG196" s="95"/>
    </row>
    <row r="197" spans="1:33" ht="57.6">
      <c r="A197" s="116" t="s">
        <v>703</v>
      </c>
      <c r="B197" s="116" t="s">
        <v>324</v>
      </c>
      <c r="C197" s="98">
        <v>43811</v>
      </c>
      <c r="D197" s="95" t="s">
        <v>60</v>
      </c>
      <c r="E197" s="116">
        <v>63</v>
      </c>
      <c r="F197" s="117">
        <v>20488</v>
      </c>
      <c r="G197" s="116" t="s">
        <v>58</v>
      </c>
      <c r="H197" s="116" t="s">
        <v>116</v>
      </c>
      <c r="I197" s="116" t="s">
        <v>62</v>
      </c>
      <c r="J197" s="118" t="s">
        <v>324</v>
      </c>
      <c r="K197" s="116" t="s">
        <v>60</v>
      </c>
      <c r="L197" s="118" t="s">
        <v>704</v>
      </c>
      <c r="M197" s="116" t="s">
        <v>62</v>
      </c>
      <c r="N197" s="116" t="s">
        <v>324</v>
      </c>
      <c r="O197" s="116" t="s">
        <v>62</v>
      </c>
      <c r="P197" s="116" t="s">
        <v>324</v>
      </c>
      <c r="Q197" s="116"/>
      <c r="R197" s="116"/>
      <c r="S197" s="116"/>
      <c r="T197" s="116"/>
      <c r="U197" s="95" t="s">
        <v>60</v>
      </c>
      <c r="V197" s="95" t="s">
        <v>62</v>
      </c>
      <c r="W197" s="95" t="s">
        <v>62</v>
      </c>
      <c r="X197" s="95">
        <v>177.5</v>
      </c>
      <c r="Y197" s="95">
        <v>76</v>
      </c>
      <c r="Z197" s="95">
        <f t="shared" ref="Z197:Z203" si="6">Y197/((X197/100)^2)</f>
        <v>24.122197976591949</v>
      </c>
      <c r="AA197" s="95" t="s">
        <v>325</v>
      </c>
      <c r="AB197" s="95" t="s">
        <v>60</v>
      </c>
      <c r="AC197" s="95" t="s">
        <v>60</v>
      </c>
      <c r="AD197" s="95" t="s">
        <v>60</v>
      </c>
      <c r="AE197" s="95" t="s">
        <v>60</v>
      </c>
      <c r="AF197" s="95"/>
      <c r="AG197" s="95"/>
    </row>
    <row r="198" spans="1:33" ht="57.6">
      <c r="A198" s="116" t="s">
        <v>1111</v>
      </c>
      <c r="B198" s="116" t="s">
        <v>324</v>
      </c>
      <c r="C198" s="98">
        <v>43792</v>
      </c>
      <c r="D198" s="95" t="s">
        <v>60</v>
      </c>
      <c r="E198" s="116">
        <v>43</v>
      </c>
      <c r="F198" s="117">
        <v>27787</v>
      </c>
      <c r="G198" s="116" t="s">
        <v>61</v>
      </c>
      <c r="H198" s="116" t="s">
        <v>116</v>
      </c>
      <c r="I198" s="116" t="s">
        <v>62</v>
      </c>
      <c r="J198" s="118" t="s">
        <v>324</v>
      </c>
      <c r="K198" s="116" t="s">
        <v>60</v>
      </c>
      <c r="L198" s="118" t="s">
        <v>705</v>
      </c>
      <c r="M198" s="116" t="s">
        <v>62</v>
      </c>
      <c r="N198" s="116" t="s">
        <v>324</v>
      </c>
      <c r="O198" s="116" t="s">
        <v>62</v>
      </c>
      <c r="P198" s="116" t="s">
        <v>324</v>
      </c>
      <c r="Q198" s="116" t="s">
        <v>348</v>
      </c>
      <c r="R198" s="116"/>
      <c r="S198" s="116"/>
      <c r="T198" s="116"/>
      <c r="U198" s="95" t="s">
        <v>62</v>
      </c>
      <c r="V198" s="95" t="s">
        <v>60</v>
      </c>
      <c r="W198" s="95" t="s">
        <v>60</v>
      </c>
      <c r="X198" s="95">
        <v>176.3</v>
      </c>
      <c r="Y198" s="95">
        <v>155</v>
      </c>
      <c r="Z198" s="95">
        <f t="shared" si="6"/>
        <v>49.868588226701945</v>
      </c>
      <c r="AA198" s="95" t="s">
        <v>325</v>
      </c>
      <c r="AB198" s="95" t="s">
        <v>60</v>
      </c>
      <c r="AC198" s="95"/>
      <c r="AD198" s="95" t="s">
        <v>60</v>
      </c>
      <c r="AE198" s="95" t="s">
        <v>60</v>
      </c>
      <c r="AF198" s="95"/>
      <c r="AG198" s="95"/>
    </row>
    <row r="199" spans="1:33">
      <c r="A199" s="116" t="s">
        <v>706</v>
      </c>
      <c r="B199" s="116" t="s">
        <v>324</v>
      </c>
      <c r="C199" s="98">
        <v>43768</v>
      </c>
      <c r="D199" s="95" t="s">
        <v>60</v>
      </c>
      <c r="E199" s="116">
        <v>41</v>
      </c>
      <c r="F199" s="117">
        <v>28670</v>
      </c>
      <c r="G199" s="116" t="s">
        <v>61</v>
      </c>
      <c r="H199" s="116" t="s">
        <v>63</v>
      </c>
      <c r="I199" s="116" t="s">
        <v>62</v>
      </c>
      <c r="J199" s="118" t="s">
        <v>324</v>
      </c>
      <c r="K199" s="116" t="s">
        <v>62</v>
      </c>
      <c r="L199" s="118" t="s">
        <v>324</v>
      </c>
      <c r="M199" s="116" t="s">
        <v>62</v>
      </c>
      <c r="N199" s="116" t="s">
        <v>324</v>
      </c>
      <c r="O199" s="116" t="s">
        <v>62</v>
      </c>
      <c r="P199" s="116" t="s">
        <v>324</v>
      </c>
      <c r="Q199" s="116"/>
      <c r="R199" s="116"/>
      <c r="S199" s="116"/>
      <c r="T199" s="116"/>
      <c r="U199" s="95" t="s">
        <v>60</v>
      </c>
      <c r="V199" s="95" t="s">
        <v>60</v>
      </c>
      <c r="W199" s="95" t="s">
        <v>60</v>
      </c>
      <c r="X199" s="95">
        <v>161.9</v>
      </c>
      <c r="Y199" s="95">
        <v>75.7</v>
      </c>
      <c r="Z199" s="95">
        <f t="shared" si="6"/>
        <v>28.880332036071042</v>
      </c>
      <c r="AA199" s="95" t="s">
        <v>325</v>
      </c>
      <c r="AB199" s="95" t="s">
        <v>60</v>
      </c>
      <c r="AC199" s="95" t="s">
        <v>60</v>
      </c>
      <c r="AD199" s="95" t="s">
        <v>60</v>
      </c>
      <c r="AE199" s="95" t="s">
        <v>60</v>
      </c>
      <c r="AF199" s="95" t="s">
        <v>60</v>
      </c>
      <c r="AG199" s="95"/>
    </row>
    <row r="200" spans="1:33">
      <c r="A200" s="116" t="s">
        <v>707</v>
      </c>
      <c r="B200" s="116" t="s">
        <v>324</v>
      </c>
      <c r="C200" s="98">
        <v>43766</v>
      </c>
      <c r="D200" s="95" t="s">
        <v>60</v>
      </c>
      <c r="E200" s="116">
        <v>54</v>
      </c>
      <c r="F200" s="117">
        <v>24028</v>
      </c>
      <c r="G200" s="116" t="s">
        <v>58</v>
      </c>
      <c r="H200" s="116" t="s">
        <v>116</v>
      </c>
      <c r="I200" s="116" t="s">
        <v>62</v>
      </c>
      <c r="J200" s="118" t="s">
        <v>324</v>
      </c>
      <c r="K200" s="116" t="s">
        <v>62</v>
      </c>
      <c r="L200" s="118" t="s">
        <v>324</v>
      </c>
      <c r="M200" s="116" t="s">
        <v>62</v>
      </c>
      <c r="N200" s="116" t="s">
        <v>324</v>
      </c>
      <c r="O200" s="116" t="s">
        <v>60</v>
      </c>
      <c r="P200" s="116" t="s">
        <v>60</v>
      </c>
      <c r="Q200" s="116"/>
      <c r="R200" s="116"/>
      <c r="S200" s="116"/>
      <c r="T200" s="116"/>
      <c r="U200" s="95" t="s">
        <v>60</v>
      </c>
      <c r="V200" s="95" t="s">
        <v>60</v>
      </c>
      <c r="W200" s="95" t="s">
        <v>60</v>
      </c>
      <c r="X200" s="95">
        <v>184.4</v>
      </c>
      <c r="Y200" s="95">
        <v>97.5</v>
      </c>
      <c r="Z200" s="95">
        <f t="shared" si="6"/>
        <v>28.673636958230009</v>
      </c>
      <c r="AA200" s="95" t="s">
        <v>325</v>
      </c>
      <c r="AB200" s="95" t="s">
        <v>60</v>
      </c>
      <c r="AC200" s="95" t="s">
        <v>60</v>
      </c>
      <c r="AD200" s="95" t="s">
        <v>60</v>
      </c>
      <c r="AE200" s="95" t="s">
        <v>60</v>
      </c>
      <c r="AF200" s="95" t="s">
        <v>60</v>
      </c>
      <c r="AG200" s="95"/>
    </row>
    <row r="201" spans="1:33">
      <c r="A201" s="116" t="s">
        <v>708</v>
      </c>
      <c r="B201" s="116" t="s">
        <v>324</v>
      </c>
      <c r="C201" s="98">
        <v>43767</v>
      </c>
      <c r="D201" s="95" t="s">
        <v>60</v>
      </c>
      <c r="E201" s="116">
        <v>52</v>
      </c>
      <c r="F201" s="117">
        <v>24478</v>
      </c>
      <c r="G201" s="116" t="s">
        <v>61</v>
      </c>
      <c r="H201" s="116" t="s">
        <v>116</v>
      </c>
      <c r="I201" s="116" t="s">
        <v>62</v>
      </c>
      <c r="J201" s="118" t="s">
        <v>324</v>
      </c>
      <c r="K201" s="116" t="s">
        <v>62</v>
      </c>
      <c r="L201" s="118" t="s">
        <v>324</v>
      </c>
      <c r="M201" s="116" t="s">
        <v>62</v>
      </c>
      <c r="N201" s="116" t="s">
        <v>324</v>
      </c>
      <c r="O201" s="116" t="s">
        <v>60</v>
      </c>
      <c r="P201" s="116" t="s">
        <v>60</v>
      </c>
      <c r="Q201" s="116" t="s">
        <v>709</v>
      </c>
      <c r="R201" s="116" t="s">
        <v>369</v>
      </c>
      <c r="S201" s="116" t="s">
        <v>710</v>
      </c>
      <c r="T201" s="116" t="s">
        <v>711</v>
      </c>
      <c r="U201" s="95" t="s">
        <v>60</v>
      </c>
      <c r="V201" s="95" t="s">
        <v>60</v>
      </c>
      <c r="W201" s="95" t="s">
        <v>60</v>
      </c>
      <c r="X201" s="95">
        <v>156</v>
      </c>
      <c r="Y201" s="95">
        <v>96.3</v>
      </c>
      <c r="Z201" s="95">
        <f t="shared" si="6"/>
        <v>39.571005917159759</v>
      </c>
      <c r="AA201" s="95" t="s">
        <v>325</v>
      </c>
      <c r="AB201" s="95" t="s">
        <v>60</v>
      </c>
      <c r="AC201" s="95" t="s">
        <v>60</v>
      </c>
      <c r="AD201" s="95" t="s">
        <v>60</v>
      </c>
      <c r="AE201" s="95" t="s">
        <v>60</v>
      </c>
      <c r="AF201" s="95"/>
      <c r="AG201" s="95"/>
    </row>
    <row r="202" spans="1:33">
      <c r="A202" s="116" t="s">
        <v>712</v>
      </c>
      <c r="B202" s="116" t="s">
        <v>324</v>
      </c>
      <c r="C202" s="94">
        <v>43759</v>
      </c>
      <c r="D202" s="95" t="s">
        <v>60</v>
      </c>
      <c r="E202" s="116">
        <v>57</v>
      </c>
      <c r="F202" s="117">
        <v>22852</v>
      </c>
      <c r="G202" s="116" t="s">
        <v>61</v>
      </c>
      <c r="H202" s="116" t="s">
        <v>116</v>
      </c>
      <c r="I202" s="116" t="s">
        <v>62</v>
      </c>
      <c r="J202" s="118" t="s">
        <v>324</v>
      </c>
      <c r="K202" s="116" t="s">
        <v>62</v>
      </c>
      <c r="L202" s="118" t="s">
        <v>324</v>
      </c>
      <c r="M202" s="116" t="s">
        <v>62</v>
      </c>
      <c r="N202" s="116" t="s">
        <v>324</v>
      </c>
      <c r="O202" s="116" t="s">
        <v>62</v>
      </c>
      <c r="P202" s="116" t="s">
        <v>324</v>
      </c>
      <c r="Q202" s="116" t="s">
        <v>483</v>
      </c>
      <c r="R202" s="116"/>
      <c r="S202" s="116"/>
      <c r="T202" s="116"/>
      <c r="U202" s="95" t="s">
        <v>60</v>
      </c>
      <c r="V202" s="95" t="s">
        <v>60</v>
      </c>
      <c r="W202" s="95" t="s">
        <v>60</v>
      </c>
      <c r="X202" s="95">
        <v>164</v>
      </c>
      <c r="Y202" s="95">
        <v>105.3</v>
      </c>
      <c r="Z202" s="95">
        <f t="shared" si="6"/>
        <v>39.150803093396796</v>
      </c>
      <c r="AA202" s="95" t="s">
        <v>325</v>
      </c>
      <c r="AB202" s="95" t="s">
        <v>60</v>
      </c>
      <c r="AC202" s="95" t="s">
        <v>60</v>
      </c>
      <c r="AD202" s="95" t="s">
        <v>60</v>
      </c>
      <c r="AE202" s="95" t="s">
        <v>60</v>
      </c>
      <c r="AF202" s="95" t="s">
        <v>60</v>
      </c>
      <c r="AG202" s="95"/>
    </row>
    <row r="203" spans="1:33" ht="28.8">
      <c r="A203" s="116" t="s">
        <v>1112</v>
      </c>
      <c r="B203" s="116" t="s">
        <v>324</v>
      </c>
      <c r="C203" s="98">
        <v>43775</v>
      </c>
      <c r="D203" s="95" t="s">
        <v>60</v>
      </c>
      <c r="E203" s="116">
        <v>47</v>
      </c>
      <c r="F203" s="117">
        <v>26316</v>
      </c>
      <c r="G203" s="116" t="s">
        <v>61</v>
      </c>
      <c r="H203" s="116" t="s">
        <v>116</v>
      </c>
      <c r="I203" s="116" t="s">
        <v>62</v>
      </c>
      <c r="J203" s="118" t="s">
        <v>324</v>
      </c>
      <c r="K203" s="116" t="s">
        <v>60</v>
      </c>
      <c r="L203" s="118" t="s">
        <v>713</v>
      </c>
      <c r="M203" s="116" t="s">
        <v>62</v>
      </c>
      <c r="N203" s="116" t="s">
        <v>324</v>
      </c>
      <c r="O203" s="116" t="s">
        <v>62</v>
      </c>
      <c r="P203" s="116" t="s">
        <v>324</v>
      </c>
      <c r="Q203" s="116"/>
      <c r="R203" s="116"/>
      <c r="S203" s="116"/>
      <c r="T203" s="116"/>
      <c r="U203" s="95" t="s">
        <v>60</v>
      </c>
      <c r="V203" s="95" t="s">
        <v>60</v>
      </c>
      <c r="W203" s="95" t="s">
        <v>60</v>
      </c>
      <c r="X203" s="95">
        <v>169.6</v>
      </c>
      <c r="Y203" s="95">
        <v>71.3</v>
      </c>
      <c r="Z203" s="95">
        <f t="shared" si="6"/>
        <v>24.787791473834105</v>
      </c>
      <c r="AA203" s="95" t="s">
        <v>325</v>
      </c>
      <c r="AB203" s="95" t="s">
        <v>60</v>
      </c>
      <c r="AC203" s="95"/>
      <c r="AD203" s="95" t="s">
        <v>60</v>
      </c>
      <c r="AE203" s="95" t="s">
        <v>60</v>
      </c>
      <c r="AF203" s="95"/>
      <c r="AG203" s="95"/>
    </row>
    <row r="204" spans="1:33">
      <c r="A204" s="116" t="s">
        <v>714</v>
      </c>
      <c r="B204" s="116" t="s">
        <v>324</v>
      </c>
      <c r="C204" s="119">
        <v>43745</v>
      </c>
      <c r="D204" s="120" t="s">
        <v>62</v>
      </c>
      <c r="E204" s="116">
        <v>71</v>
      </c>
      <c r="F204" s="117">
        <v>17805</v>
      </c>
      <c r="G204" s="116" t="s">
        <v>61</v>
      </c>
      <c r="H204" s="116" t="s">
        <v>116</v>
      </c>
      <c r="I204" s="116" t="s">
        <v>62</v>
      </c>
      <c r="J204" s="118" t="s">
        <v>324</v>
      </c>
      <c r="K204" s="116" t="s">
        <v>62</v>
      </c>
      <c r="L204" s="118" t="s">
        <v>324</v>
      </c>
      <c r="M204" s="116" t="s">
        <v>62</v>
      </c>
      <c r="N204" s="116" t="s">
        <v>324</v>
      </c>
      <c r="O204" s="116" t="s">
        <v>62</v>
      </c>
      <c r="P204" s="116" t="s">
        <v>62</v>
      </c>
      <c r="Q204" s="116" t="s">
        <v>715</v>
      </c>
      <c r="R204" s="116"/>
      <c r="S204" s="116"/>
      <c r="T204" s="116"/>
      <c r="U204" s="120"/>
      <c r="V204" s="120"/>
      <c r="W204" s="120"/>
      <c r="X204" s="120"/>
      <c r="Y204" s="120"/>
      <c r="Z204" s="95"/>
      <c r="AA204" s="120"/>
      <c r="AB204" s="120" t="s">
        <v>716</v>
      </c>
      <c r="AC204" s="120"/>
      <c r="AD204" s="120"/>
      <c r="AE204" s="120"/>
      <c r="AF204" s="120"/>
      <c r="AG204" s="120"/>
    </row>
    <row r="205" spans="1:33">
      <c r="A205" s="116" t="s">
        <v>717</v>
      </c>
      <c r="B205" s="116" t="s">
        <v>324</v>
      </c>
      <c r="C205" s="98">
        <v>43767</v>
      </c>
      <c r="D205" s="95" t="s">
        <v>60</v>
      </c>
      <c r="E205" s="116">
        <v>75</v>
      </c>
      <c r="F205" s="117">
        <v>16038</v>
      </c>
      <c r="G205" s="116" t="s">
        <v>58</v>
      </c>
      <c r="H205" s="116" t="s">
        <v>116</v>
      </c>
      <c r="I205" s="116" t="s">
        <v>62</v>
      </c>
      <c r="J205" s="118" t="s">
        <v>324</v>
      </c>
      <c r="K205" s="116" t="s">
        <v>62</v>
      </c>
      <c r="L205" s="118" t="s">
        <v>324</v>
      </c>
      <c r="M205" s="116" t="s">
        <v>62</v>
      </c>
      <c r="N205" s="116" t="s">
        <v>324</v>
      </c>
      <c r="O205" s="116" t="s">
        <v>62</v>
      </c>
      <c r="P205" s="116" t="s">
        <v>324</v>
      </c>
      <c r="Q205" s="116" t="s">
        <v>348</v>
      </c>
      <c r="R205" s="116" t="s">
        <v>718</v>
      </c>
      <c r="S205" s="116" t="s">
        <v>719</v>
      </c>
      <c r="T205" s="116"/>
      <c r="U205" s="95" t="s">
        <v>60</v>
      </c>
      <c r="V205" s="95" t="s">
        <v>60</v>
      </c>
      <c r="W205" s="95" t="s">
        <v>60</v>
      </c>
      <c r="X205" s="95">
        <v>182</v>
      </c>
      <c r="Y205" s="95">
        <v>101.5</v>
      </c>
      <c r="Z205" s="95">
        <f t="shared" ref="Z205:Z236" si="7">Y205/((X205/100)^2)</f>
        <v>30.642434488588332</v>
      </c>
      <c r="AA205" s="95" t="s">
        <v>355</v>
      </c>
      <c r="AB205" s="95" t="s">
        <v>60</v>
      </c>
      <c r="AC205" s="95" t="s">
        <v>60</v>
      </c>
      <c r="AD205" s="95" t="s">
        <v>60</v>
      </c>
      <c r="AE205" s="95" t="s">
        <v>60</v>
      </c>
      <c r="AF205" s="95" t="s">
        <v>535</v>
      </c>
      <c r="AG205" s="95"/>
    </row>
    <row r="206" spans="1:33">
      <c r="A206" s="116" t="s">
        <v>720</v>
      </c>
      <c r="B206" s="116" t="s">
        <v>324</v>
      </c>
      <c r="C206" s="94">
        <v>43762</v>
      </c>
      <c r="D206" s="95" t="s">
        <v>60</v>
      </c>
      <c r="E206" s="116">
        <v>69</v>
      </c>
      <c r="F206" s="117">
        <v>18550</v>
      </c>
      <c r="G206" s="116" t="s">
        <v>61</v>
      </c>
      <c r="H206" s="116" t="s">
        <v>116</v>
      </c>
      <c r="I206" s="116" t="s">
        <v>62</v>
      </c>
      <c r="J206" s="118" t="s">
        <v>324</v>
      </c>
      <c r="K206" s="116" t="s">
        <v>62</v>
      </c>
      <c r="L206" s="118" t="s">
        <v>324</v>
      </c>
      <c r="M206" s="116" t="s">
        <v>62</v>
      </c>
      <c r="N206" s="116" t="s">
        <v>324</v>
      </c>
      <c r="O206" s="116" t="s">
        <v>62</v>
      </c>
      <c r="P206" s="116" t="s">
        <v>324</v>
      </c>
      <c r="Q206" s="116" t="s">
        <v>424</v>
      </c>
      <c r="R206" s="116" t="s">
        <v>721</v>
      </c>
      <c r="S206" s="116" t="s">
        <v>348</v>
      </c>
      <c r="T206" s="116"/>
      <c r="U206" s="95" t="s">
        <v>60</v>
      </c>
      <c r="V206" s="95" t="s">
        <v>60</v>
      </c>
      <c r="W206" s="95" t="s">
        <v>60</v>
      </c>
      <c r="X206" s="95">
        <v>160.80000000000001</v>
      </c>
      <c r="Y206" s="95">
        <v>81.8</v>
      </c>
      <c r="Z206" s="95">
        <f t="shared" si="7"/>
        <v>31.635974357070364</v>
      </c>
      <c r="AA206" s="95" t="s">
        <v>355</v>
      </c>
      <c r="AB206" s="95" t="s">
        <v>60</v>
      </c>
      <c r="AC206" s="95" t="s">
        <v>60</v>
      </c>
      <c r="AD206" s="95" t="s">
        <v>60</v>
      </c>
      <c r="AE206" s="95" t="s">
        <v>60</v>
      </c>
      <c r="AF206" s="95" t="s">
        <v>60</v>
      </c>
      <c r="AG206" s="95"/>
    </row>
    <row r="207" spans="1:33">
      <c r="A207" s="116" t="s">
        <v>722</v>
      </c>
      <c r="B207" s="116" t="s">
        <v>324</v>
      </c>
      <c r="C207" s="94">
        <v>43762</v>
      </c>
      <c r="D207" s="95" t="s">
        <v>60</v>
      </c>
      <c r="E207" s="116">
        <v>49</v>
      </c>
      <c r="F207" s="117">
        <v>25846</v>
      </c>
      <c r="G207" s="116" t="s">
        <v>61</v>
      </c>
      <c r="H207" s="116" t="s">
        <v>116</v>
      </c>
      <c r="I207" s="116" t="s">
        <v>62</v>
      </c>
      <c r="J207" s="118" t="s">
        <v>324</v>
      </c>
      <c r="K207" s="116" t="s">
        <v>62</v>
      </c>
      <c r="L207" s="118" t="s">
        <v>324</v>
      </c>
      <c r="M207" s="116" t="s">
        <v>62</v>
      </c>
      <c r="N207" s="116" t="s">
        <v>324</v>
      </c>
      <c r="O207" s="116" t="s">
        <v>62</v>
      </c>
      <c r="P207" s="116" t="s">
        <v>324</v>
      </c>
      <c r="Q207" s="116"/>
      <c r="R207" s="116"/>
      <c r="S207" s="116"/>
      <c r="T207" s="116"/>
      <c r="U207" s="95" t="s">
        <v>60</v>
      </c>
      <c r="V207" s="95" t="s">
        <v>60</v>
      </c>
      <c r="W207" s="95" t="s">
        <v>60</v>
      </c>
      <c r="X207" s="95">
        <v>167.9</v>
      </c>
      <c r="Y207" s="95">
        <v>89.6</v>
      </c>
      <c r="Z207" s="95">
        <f t="shared" si="7"/>
        <v>31.783858411424305</v>
      </c>
      <c r="AA207" s="95" t="s">
        <v>325</v>
      </c>
      <c r="AB207" s="95" t="s">
        <v>60</v>
      </c>
      <c r="AC207" s="95" t="s">
        <v>60</v>
      </c>
      <c r="AD207" s="95" t="s">
        <v>60</v>
      </c>
      <c r="AE207" s="95" t="s">
        <v>60</v>
      </c>
      <c r="AF207" s="95" t="s">
        <v>60</v>
      </c>
      <c r="AG207" s="95"/>
    </row>
    <row r="208" spans="1:33">
      <c r="A208" s="116" t="s">
        <v>1113</v>
      </c>
      <c r="B208" s="116" t="s">
        <v>324</v>
      </c>
      <c r="C208" s="98">
        <v>43809</v>
      </c>
      <c r="D208" s="95" t="s">
        <v>60</v>
      </c>
      <c r="E208" s="116">
        <v>48</v>
      </c>
      <c r="F208" s="117">
        <v>25979</v>
      </c>
      <c r="G208" s="116" t="s">
        <v>61</v>
      </c>
      <c r="H208" s="116" t="s">
        <v>116</v>
      </c>
      <c r="I208" s="116" t="s">
        <v>62</v>
      </c>
      <c r="J208" s="118" t="s">
        <v>324</v>
      </c>
      <c r="K208" s="116" t="s">
        <v>62</v>
      </c>
      <c r="L208" s="118" t="s">
        <v>324</v>
      </c>
      <c r="M208" s="116" t="s">
        <v>62</v>
      </c>
      <c r="N208" s="116" t="s">
        <v>324</v>
      </c>
      <c r="O208" s="116" t="s">
        <v>62</v>
      </c>
      <c r="P208" s="116" t="s">
        <v>324</v>
      </c>
      <c r="Q208" s="116" t="s">
        <v>483</v>
      </c>
      <c r="R208" s="116" t="s">
        <v>723</v>
      </c>
      <c r="S208" s="116" t="s">
        <v>629</v>
      </c>
      <c r="T208" s="116" t="s">
        <v>509</v>
      </c>
      <c r="U208" s="95" t="s">
        <v>62</v>
      </c>
      <c r="V208" s="95" t="s">
        <v>62</v>
      </c>
      <c r="W208" s="95" t="s">
        <v>62</v>
      </c>
      <c r="X208" s="95">
        <v>163.5</v>
      </c>
      <c r="Y208" s="95">
        <v>79.400000000000006</v>
      </c>
      <c r="Z208" s="95">
        <f t="shared" si="7"/>
        <v>29.70195176238439</v>
      </c>
      <c r="AA208" s="95" t="s">
        <v>325</v>
      </c>
      <c r="AB208" s="95" t="s">
        <v>60</v>
      </c>
      <c r="AC208" s="95" t="s">
        <v>60</v>
      </c>
      <c r="AD208" s="95" t="s">
        <v>60</v>
      </c>
      <c r="AE208" s="95"/>
      <c r="AF208" s="95"/>
      <c r="AG208" s="95"/>
    </row>
    <row r="209" spans="1:33">
      <c r="A209" s="116" t="s">
        <v>724</v>
      </c>
      <c r="B209" s="116" t="s">
        <v>324</v>
      </c>
      <c r="C209" s="98">
        <v>43776</v>
      </c>
      <c r="D209" s="95" t="s">
        <v>60</v>
      </c>
      <c r="E209" s="116">
        <v>64</v>
      </c>
      <c r="F209" s="117">
        <v>20055</v>
      </c>
      <c r="G209" s="116" t="s">
        <v>61</v>
      </c>
      <c r="H209" s="116" t="s">
        <v>116</v>
      </c>
      <c r="I209" s="116" t="s">
        <v>62</v>
      </c>
      <c r="J209" s="118" t="s">
        <v>324</v>
      </c>
      <c r="K209" s="116" t="s">
        <v>62</v>
      </c>
      <c r="L209" s="118" t="s">
        <v>324</v>
      </c>
      <c r="M209" s="116" t="s">
        <v>62</v>
      </c>
      <c r="N209" s="116" t="s">
        <v>324</v>
      </c>
      <c r="O209" s="116" t="s">
        <v>62</v>
      </c>
      <c r="P209" s="116" t="s">
        <v>324</v>
      </c>
      <c r="Q209" s="116" t="s">
        <v>348</v>
      </c>
      <c r="R209" s="116"/>
      <c r="S209" s="116"/>
      <c r="T209" s="116"/>
      <c r="U209" s="95" t="s">
        <v>60</v>
      </c>
      <c r="V209" s="95" t="s">
        <v>60</v>
      </c>
      <c r="W209" s="95" t="s">
        <v>60</v>
      </c>
      <c r="X209" s="95">
        <v>161.80000000000001</v>
      </c>
      <c r="Y209" s="95">
        <v>89.9</v>
      </c>
      <c r="Z209" s="95">
        <f t="shared" si="7"/>
        <v>34.340187110091811</v>
      </c>
      <c r="AA209" s="95" t="s">
        <v>325</v>
      </c>
      <c r="AB209" s="95" t="s">
        <v>60</v>
      </c>
      <c r="AC209" s="95" t="s">
        <v>60</v>
      </c>
      <c r="AD209" s="95"/>
      <c r="AE209" s="95" t="s">
        <v>60</v>
      </c>
      <c r="AF209" s="95"/>
      <c r="AG209" s="95"/>
    </row>
    <row r="210" spans="1:33">
      <c r="A210" s="116" t="s">
        <v>725</v>
      </c>
      <c r="B210" s="116" t="s">
        <v>324</v>
      </c>
      <c r="C210" s="98">
        <v>43777</v>
      </c>
      <c r="D210" s="95" t="s">
        <v>60</v>
      </c>
      <c r="E210" s="116">
        <v>51</v>
      </c>
      <c r="F210" s="117">
        <v>25083</v>
      </c>
      <c r="G210" s="116" t="s">
        <v>58</v>
      </c>
      <c r="H210" s="116" t="s">
        <v>116</v>
      </c>
      <c r="I210" s="116" t="s">
        <v>62</v>
      </c>
      <c r="J210" s="118" t="s">
        <v>324</v>
      </c>
      <c r="K210" s="116" t="s">
        <v>62</v>
      </c>
      <c r="L210" s="118" t="s">
        <v>324</v>
      </c>
      <c r="M210" s="116" t="s">
        <v>62</v>
      </c>
      <c r="N210" s="116" t="s">
        <v>324</v>
      </c>
      <c r="O210" s="116" t="s">
        <v>62</v>
      </c>
      <c r="P210" s="116" t="s">
        <v>324</v>
      </c>
      <c r="Q210" s="116" t="s">
        <v>363</v>
      </c>
      <c r="R210" s="116" t="s">
        <v>457</v>
      </c>
      <c r="S210" s="116"/>
      <c r="T210" s="116"/>
      <c r="U210" s="95" t="s">
        <v>60</v>
      </c>
      <c r="V210" s="95" t="s">
        <v>60</v>
      </c>
      <c r="W210" s="95" t="s">
        <v>60</v>
      </c>
      <c r="X210" s="95">
        <v>171.5</v>
      </c>
      <c r="Y210" s="95">
        <v>96.7</v>
      </c>
      <c r="Z210" s="95">
        <f t="shared" si="7"/>
        <v>32.877457521950888</v>
      </c>
      <c r="AA210" s="95" t="s">
        <v>325</v>
      </c>
      <c r="AB210" s="95" t="s">
        <v>60</v>
      </c>
      <c r="AC210" s="95"/>
      <c r="AD210" s="95" t="s">
        <v>60</v>
      </c>
      <c r="AE210" s="95" t="s">
        <v>60</v>
      </c>
      <c r="AF210" s="95"/>
      <c r="AG210" s="95"/>
    </row>
    <row r="211" spans="1:33" ht="57.6">
      <c r="A211" s="116" t="s">
        <v>726</v>
      </c>
      <c r="B211" s="116" t="s">
        <v>324</v>
      </c>
      <c r="C211" s="98">
        <v>43775</v>
      </c>
      <c r="D211" s="95" t="s">
        <v>60</v>
      </c>
      <c r="E211" s="116">
        <v>71</v>
      </c>
      <c r="F211" s="117">
        <v>17751</v>
      </c>
      <c r="G211" s="116" t="s">
        <v>61</v>
      </c>
      <c r="H211" s="116" t="s">
        <v>116</v>
      </c>
      <c r="I211" s="116" t="s">
        <v>62</v>
      </c>
      <c r="J211" s="118" t="s">
        <v>324</v>
      </c>
      <c r="K211" s="116" t="s">
        <v>60</v>
      </c>
      <c r="L211" s="118" t="s">
        <v>727</v>
      </c>
      <c r="M211" s="116" t="s">
        <v>62</v>
      </c>
      <c r="N211" s="116" t="s">
        <v>324</v>
      </c>
      <c r="O211" s="116" t="s">
        <v>62</v>
      </c>
      <c r="P211" s="116" t="s">
        <v>324</v>
      </c>
      <c r="Q211" s="116" t="s">
        <v>483</v>
      </c>
      <c r="R211" s="116" t="s">
        <v>629</v>
      </c>
      <c r="S211" s="116" t="s">
        <v>664</v>
      </c>
      <c r="T211" s="116" t="s">
        <v>728</v>
      </c>
      <c r="U211" s="95" t="s">
        <v>60</v>
      </c>
      <c r="V211" s="95" t="s">
        <v>60</v>
      </c>
      <c r="W211" s="95" t="s">
        <v>60</v>
      </c>
      <c r="X211" s="95">
        <v>147</v>
      </c>
      <c r="Y211" s="95">
        <v>52.8</v>
      </c>
      <c r="Z211" s="95">
        <f t="shared" si="7"/>
        <v>24.434263501318895</v>
      </c>
      <c r="AA211" s="95" t="s">
        <v>355</v>
      </c>
      <c r="AB211" s="95" t="s">
        <v>60</v>
      </c>
      <c r="AC211" s="95"/>
      <c r="AD211" s="95" t="s">
        <v>60</v>
      </c>
      <c r="AE211" s="95" t="s">
        <v>60</v>
      </c>
      <c r="AF211" s="95"/>
      <c r="AG211" s="95"/>
    </row>
    <row r="212" spans="1:33">
      <c r="A212" s="116" t="s">
        <v>729</v>
      </c>
      <c r="B212" s="116" t="s">
        <v>324</v>
      </c>
      <c r="C212" s="98">
        <v>43769</v>
      </c>
      <c r="D212" s="95" t="s">
        <v>60</v>
      </c>
      <c r="E212" s="116">
        <v>65</v>
      </c>
      <c r="F212" s="117">
        <v>19963</v>
      </c>
      <c r="G212" s="116" t="s">
        <v>58</v>
      </c>
      <c r="H212" s="116" t="s">
        <v>116</v>
      </c>
      <c r="I212" s="116" t="s">
        <v>62</v>
      </c>
      <c r="J212" s="118" t="s">
        <v>324</v>
      </c>
      <c r="K212" s="116" t="s">
        <v>62</v>
      </c>
      <c r="L212" s="118" t="s">
        <v>324</v>
      </c>
      <c r="M212" s="116" t="s">
        <v>730</v>
      </c>
      <c r="N212" s="116" t="s">
        <v>731</v>
      </c>
      <c r="O212" s="116" t="s">
        <v>62</v>
      </c>
      <c r="P212" s="116" t="s">
        <v>324</v>
      </c>
      <c r="Q212" s="116" t="s">
        <v>445</v>
      </c>
      <c r="R212" s="116"/>
      <c r="S212" s="116"/>
      <c r="T212" s="116"/>
      <c r="U212" s="95" t="s">
        <v>60</v>
      </c>
      <c r="V212" s="95" t="s">
        <v>60</v>
      </c>
      <c r="W212" s="95" t="s">
        <v>60</v>
      </c>
      <c r="X212" s="95">
        <v>180</v>
      </c>
      <c r="Y212" s="95">
        <v>82.95</v>
      </c>
      <c r="Z212" s="95">
        <f t="shared" si="7"/>
        <v>25.601851851851851</v>
      </c>
      <c r="AA212" s="95" t="s">
        <v>325</v>
      </c>
      <c r="AB212" s="95" t="s">
        <v>60</v>
      </c>
      <c r="AC212" s="95"/>
      <c r="AD212" s="95" t="s">
        <v>60</v>
      </c>
      <c r="AE212" s="95" t="s">
        <v>60</v>
      </c>
      <c r="AF212" s="95"/>
      <c r="AG212" s="95"/>
    </row>
    <row r="213" spans="1:33" ht="43.2">
      <c r="A213" s="116" t="s">
        <v>1114</v>
      </c>
      <c r="B213" s="116" t="s">
        <v>324</v>
      </c>
      <c r="C213" s="98">
        <v>43773</v>
      </c>
      <c r="D213" s="95" t="s">
        <v>60</v>
      </c>
      <c r="E213" s="116">
        <v>58</v>
      </c>
      <c r="F213" s="117">
        <v>22455</v>
      </c>
      <c r="G213" s="116" t="s">
        <v>58</v>
      </c>
      <c r="H213" s="116" t="s">
        <v>116</v>
      </c>
      <c r="I213" s="116" t="s">
        <v>62</v>
      </c>
      <c r="J213" s="118" t="s">
        <v>324</v>
      </c>
      <c r="K213" s="116" t="s">
        <v>60</v>
      </c>
      <c r="L213" s="118" t="s">
        <v>732</v>
      </c>
      <c r="M213" s="116" t="s">
        <v>62</v>
      </c>
      <c r="N213" s="116" t="s">
        <v>324</v>
      </c>
      <c r="O213" s="116" t="s">
        <v>62</v>
      </c>
      <c r="P213" s="116" t="s">
        <v>324</v>
      </c>
      <c r="Q213" s="116" t="s">
        <v>363</v>
      </c>
      <c r="R213" s="116"/>
      <c r="S213" s="116"/>
      <c r="T213" s="116"/>
      <c r="U213" s="95" t="s">
        <v>60</v>
      </c>
      <c r="V213" s="95" t="s">
        <v>60</v>
      </c>
      <c r="W213" s="95" t="s">
        <v>60</v>
      </c>
      <c r="X213" s="95">
        <v>181</v>
      </c>
      <c r="Y213" s="95">
        <v>69</v>
      </c>
      <c r="Z213" s="95">
        <f t="shared" si="7"/>
        <v>21.061628155428711</v>
      </c>
      <c r="AA213" s="95" t="s">
        <v>325</v>
      </c>
      <c r="AB213" s="95" t="s">
        <v>60</v>
      </c>
      <c r="AC213" s="95"/>
      <c r="AD213" s="95" t="s">
        <v>60</v>
      </c>
      <c r="AE213" s="95" t="s">
        <v>60</v>
      </c>
      <c r="AF213" s="95"/>
      <c r="AG213" s="95"/>
    </row>
    <row r="214" spans="1:33">
      <c r="A214" s="116" t="s">
        <v>1115</v>
      </c>
      <c r="B214" s="116" t="s">
        <v>324</v>
      </c>
      <c r="C214" s="98">
        <v>43773</v>
      </c>
      <c r="D214" s="95" t="s">
        <v>60</v>
      </c>
      <c r="E214" s="116">
        <v>45</v>
      </c>
      <c r="F214" s="117">
        <v>27067</v>
      </c>
      <c r="G214" s="116" t="s">
        <v>61</v>
      </c>
      <c r="H214" s="116" t="s">
        <v>116</v>
      </c>
      <c r="I214" s="116" t="s">
        <v>62</v>
      </c>
      <c r="J214" s="118" t="s">
        <v>324</v>
      </c>
      <c r="K214" s="116" t="s">
        <v>62</v>
      </c>
      <c r="L214" s="118" t="s">
        <v>324</v>
      </c>
      <c r="M214" s="116" t="s">
        <v>62</v>
      </c>
      <c r="N214" s="116" t="s">
        <v>324</v>
      </c>
      <c r="O214" s="116" t="s">
        <v>62</v>
      </c>
      <c r="P214" s="116" t="s">
        <v>324</v>
      </c>
      <c r="Q214" s="116" t="s">
        <v>369</v>
      </c>
      <c r="R214" s="116"/>
      <c r="S214" s="116"/>
      <c r="T214" s="116"/>
      <c r="U214" s="95" t="s">
        <v>60</v>
      </c>
      <c r="V214" s="95" t="s">
        <v>60</v>
      </c>
      <c r="W214" s="95" t="s">
        <v>60</v>
      </c>
      <c r="X214" s="95">
        <v>162.80000000000001</v>
      </c>
      <c r="Y214" s="95">
        <v>67.5</v>
      </c>
      <c r="Z214" s="95">
        <f t="shared" si="7"/>
        <v>25.468007654739839</v>
      </c>
      <c r="AA214" s="95" t="s">
        <v>325</v>
      </c>
      <c r="AB214" s="95" t="s">
        <v>60</v>
      </c>
      <c r="AC214" s="95" t="s">
        <v>60</v>
      </c>
      <c r="AD214" s="95" t="s">
        <v>60</v>
      </c>
      <c r="AE214" s="95" t="s">
        <v>60</v>
      </c>
      <c r="AF214" s="95" t="s">
        <v>60</v>
      </c>
      <c r="AG214" s="95"/>
    </row>
    <row r="215" spans="1:33" ht="28.8">
      <c r="A215" s="116" t="s">
        <v>1116</v>
      </c>
      <c r="B215" s="116" t="s">
        <v>324</v>
      </c>
      <c r="C215" s="98">
        <v>43781</v>
      </c>
      <c r="D215" s="95" t="s">
        <v>60</v>
      </c>
      <c r="E215" s="116">
        <v>52</v>
      </c>
      <c r="F215" s="117">
        <v>24577</v>
      </c>
      <c r="G215" s="116" t="s">
        <v>61</v>
      </c>
      <c r="H215" s="116" t="s">
        <v>116</v>
      </c>
      <c r="I215" s="116" t="s">
        <v>62</v>
      </c>
      <c r="J215" s="118" t="s">
        <v>324</v>
      </c>
      <c r="K215" s="116" t="s">
        <v>60</v>
      </c>
      <c r="L215" s="118" t="s">
        <v>733</v>
      </c>
      <c r="M215" s="116" t="s">
        <v>62</v>
      </c>
      <c r="N215" s="116" t="s">
        <v>324</v>
      </c>
      <c r="O215" s="116" t="s">
        <v>62</v>
      </c>
      <c r="P215" s="116" t="s">
        <v>324</v>
      </c>
      <c r="Q215" s="116" t="s">
        <v>369</v>
      </c>
      <c r="R215" s="116"/>
      <c r="S215" s="116"/>
      <c r="T215" s="116"/>
      <c r="U215" s="95" t="s">
        <v>60</v>
      </c>
      <c r="V215" s="95" t="s">
        <v>60</v>
      </c>
      <c r="W215" s="95" t="s">
        <v>60</v>
      </c>
      <c r="X215" s="95">
        <v>163.1</v>
      </c>
      <c r="Y215" s="95">
        <v>59.9</v>
      </c>
      <c r="Z215" s="95">
        <f t="shared" si="7"/>
        <v>22.517434095154389</v>
      </c>
      <c r="AA215" s="95" t="s">
        <v>325</v>
      </c>
      <c r="AB215" s="95" t="s">
        <v>60</v>
      </c>
      <c r="AC215" s="95" t="s">
        <v>60</v>
      </c>
      <c r="AD215" s="95" t="s">
        <v>60</v>
      </c>
      <c r="AE215" s="95" t="s">
        <v>60</v>
      </c>
      <c r="AF215" s="95" t="s">
        <v>60</v>
      </c>
      <c r="AG215" s="95"/>
    </row>
    <row r="216" spans="1:33">
      <c r="A216" s="116" t="s">
        <v>734</v>
      </c>
      <c r="B216" s="116" t="s">
        <v>324</v>
      </c>
      <c r="C216" s="98">
        <v>43777</v>
      </c>
      <c r="D216" s="95" t="s">
        <v>60</v>
      </c>
      <c r="E216" s="116">
        <v>51</v>
      </c>
      <c r="F216" s="117">
        <v>24904</v>
      </c>
      <c r="G216" s="116" t="s">
        <v>61</v>
      </c>
      <c r="H216" s="116" t="s">
        <v>116</v>
      </c>
      <c r="I216" s="116" t="s">
        <v>62</v>
      </c>
      <c r="J216" s="118" t="s">
        <v>324</v>
      </c>
      <c r="K216" s="116" t="s">
        <v>62</v>
      </c>
      <c r="L216" s="118" t="s">
        <v>324</v>
      </c>
      <c r="M216" s="116" t="s">
        <v>62</v>
      </c>
      <c r="N216" s="116" t="s">
        <v>324</v>
      </c>
      <c r="O216" s="116" t="s">
        <v>62</v>
      </c>
      <c r="P216" s="116" t="s">
        <v>324</v>
      </c>
      <c r="Q216" s="116" t="s">
        <v>735</v>
      </c>
      <c r="R216" s="116"/>
      <c r="S216" s="116"/>
      <c r="T216" s="116"/>
      <c r="U216" s="95" t="s">
        <v>60</v>
      </c>
      <c r="V216" s="95" t="s">
        <v>60</v>
      </c>
      <c r="W216" s="95" t="s">
        <v>60</v>
      </c>
      <c r="X216" s="95">
        <v>164</v>
      </c>
      <c r="Y216" s="95">
        <v>61.8</v>
      </c>
      <c r="Z216" s="95">
        <f t="shared" si="7"/>
        <v>22.977394408090426</v>
      </c>
      <c r="AA216" s="95" t="s">
        <v>325</v>
      </c>
      <c r="AB216" s="95" t="s">
        <v>60</v>
      </c>
      <c r="AC216" s="95" t="s">
        <v>60</v>
      </c>
      <c r="AD216" s="95" t="s">
        <v>60</v>
      </c>
      <c r="AE216" s="95" t="s">
        <v>60</v>
      </c>
      <c r="AF216" s="95" t="s">
        <v>60</v>
      </c>
      <c r="AG216" s="95"/>
    </row>
    <row r="217" spans="1:33">
      <c r="A217" s="116" t="s">
        <v>736</v>
      </c>
      <c r="B217" s="116" t="s">
        <v>324</v>
      </c>
      <c r="C217" s="98">
        <v>43781</v>
      </c>
      <c r="D217" s="95" t="s">
        <v>60</v>
      </c>
      <c r="E217" s="116">
        <v>57</v>
      </c>
      <c r="F217" s="117">
        <v>22809</v>
      </c>
      <c r="G217" s="116" t="s">
        <v>61</v>
      </c>
      <c r="H217" s="116" t="s">
        <v>125</v>
      </c>
      <c r="I217" s="116" t="s">
        <v>62</v>
      </c>
      <c r="J217" s="118" t="s">
        <v>324</v>
      </c>
      <c r="K217" s="116" t="s">
        <v>62</v>
      </c>
      <c r="L217" s="118" t="s">
        <v>324</v>
      </c>
      <c r="M217" s="116" t="s">
        <v>62</v>
      </c>
      <c r="N217" s="116" t="s">
        <v>324</v>
      </c>
      <c r="O217" s="116" t="s">
        <v>62</v>
      </c>
      <c r="P217" s="116" t="s">
        <v>324</v>
      </c>
      <c r="Q217" s="116" t="s">
        <v>424</v>
      </c>
      <c r="R217" s="116" t="s">
        <v>737</v>
      </c>
      <c r="S217" s="116" t="s">
        <v>629</v>
      </c>
      <c r="T217" s="116"/>
      <c r="U217" s="95" t="s">
        <v>60</v>
      </c>
      <c r="V217" s="95" t="s">
        <v>60</v>
      </c>
      <c r="W217" s="95" t="s">
        <v>60</v>
      </c>
      <c r="X217" s="95">
        <v>154.5</v>
      </c>
      <c r="Y217" s="95">
        <v>84.7</v>
      </c>
      <c r="Z217" s="95">
        <f t="shared" si="7"/>
        <v>35.483499334946224</v>
      </c>
      <c r="AA217" s="95" t="s">
        <v>325</v>
      </c>
      <c r="AB217" s="95" t="s">
        <v>60</v>
      </c>
      <c r="AC217" s="95" t="s">
        <v>60</v>
      </c>
      <c r="AD217" s="95" t="s">
        <v>60</v>
      </c>
      <c r="AE217" s="95" t="s">
        <v>60</v>
      </c>
      <c r="AF217" s="95" t="s">
        <v>60</v>
      </c>
      <c r="AG217" s="95"/>
    </row>
    <row r="218" spans="1:33">
      <c r="A218" s="116" t="s">
        <v>738</v>
      </c>
      <c r="B218" s="116" t="s">
        <v>324</v>
      </c>
      <c r="C218" s="98">
        <v>43783</v>
      </c>
      <c r="D218" s="95" t="s">
        <v>390</v>
      </c>
      <c r="E218" s="116">
        <v>63</v>
      </c>
      <c r="F218" s="117">
        <v>20550</v>
      </c>
      <c r="G218" s="116" t="s">
        <v>58</v>
      </c>
      <c r="H218" s="116" t="s">
        <v>116</v>
      </c>
      <c r="I218" s="116" t="s">
        <v>62</v>
      </c>
      <c r="J218" s="118" t="s">
        <v>324</v>
      </c>
      <c r="K218" s="116" t="s">
        <v>62</v>
      </c>
      <c r="L218" s="118" t="s">
        <v>324</v>
      </c>
      <c r="M218" s="116" t="s">
        <v>62</v>
      </c>
      <c r="N218" s="116" t="s">
        <v>324</v>
      </c>
      <c r="O218" s="116" t="s">
        <v>60</v>
      </c>
      <c r="P218" s="116" t="s">
        <v>60</v>
      </c>
      <c r="Q218" s="116"/>
      <c r="R218" s="116"/>
      <c r="S218" s="116"/>
      <c r="T218" s="116"/>
      <c r="U218" s="95" t="s">
        <v>60</v>
      </c>
      <c r="V218" s="95" t="s">
        <v>60</v>
      </c>
      <c r="W218" s="95" t="s">
        <v>60</v>
      </c>
      <c r="X218" s="95">
        <v>176</v>
      </c>
      <c r="Y218" s="95">
        <v>100.1</v>
      </c>
      <c r="Z218" s="95">
        <f t="shared" si="7"/>
        <v>32.315340909090907</v>
      </c>
      <c r="AA218" s="95" t="s">
        <v>325</v>
      </c>
      <c r="AB218" s="95" t="s">
        <v>60</v>
      </c>
      <c r="AC218" s="95" t="s">
        <v>60</v>
      </c>
      <c r="AD218" s="95" t="s">
        <v>60</v>
      </c>
      <c r="AE218" s="95" t="s">
        <v>60</v>
      </c>
      <c r="AF218" s="95" t="s">
        <v>60</v>
      </c>
      <c r="AG218" s="95"/>
    </row>
    <row r="219" spans="1:33">
      <c r="A219" s="116" t="s">
        <v>739</v>
      </c>
      <c r="B219" s="116" t="s">
        <v>324</v>
      </c>
      <c r="C219" s="94">
        <v>43767</v>
      </c>
      <c r="D219" s="95" t="s">
        <v>60</v>
      </c>
      <c r="E219" s="116">
        <v>78</v>
      </c>
      <c r="F219" s="117">
        <v>15089</v>
      </c>
      <c r="G219" s="116" t="s">
        <v>58</v>
      </c>
      <c r="H219" s="116" t="s">
        <v>116</v>
      </c>
      <c r="I219" s="116" t="s">
        <v>62</v>
      </c>
      <c r="J219" s="118" t="s">
        <v>324</v>
      </c>
      <c r="K219" s="116" t="s">
        <v>62</v>
      </c>
      <c r="L219" s="118" t="s">
        <v>324</v>
      </c>
      <c r="M219" s="116" t="s">
        <v>62</v>
      </c>
      <c r="N219" s="116" t="s">
        <v>324</v>
      </c>
      <c r="O219" s="116" t="s">
        <v>62</v>
      </c>
      <c r="P219" s="116" t="s">
        <v>324</v>
      </c>
      <c r="Q219" s="116" t="s">
        <v>363</v>
      </c>
      <c r="R219" s="116" t="s">
        <v>740</v>
      </c>
      <c r="S219" s="116"/>
      <c r="T219" s="116"/>
      <c r="U219" s="95" t="s">
        <v>60</v>
      </c>
      <c r="V219" s="95" t="s">
        <v>60</v>
      </c>
      <c r="W219" s="95" t="s">
        <v>60</v>
      </c>
      <c r="X219" s="95">
        <v>175.6</v>
      </c>
      <c r="Y219" s="95">
        <v>103.2</v>
      </c>
      <c r="Z219" s="95">
        <f t="shared" si="7"/>
        <v>33.46807042304679</v>
      </c>
      <c r="AA219" s="95" t="s">
        <v>355</v>
      </c>
      <c r="AB219" s="95" t="s">
        <v>60</v>
      </c>
      <c r="AC219" s="95"/>
      <c r="AD219" s="95" t="s">
        <v>60</v>
      </c>
      <c r="AE219" s="95" t="s">
        <v>60</v>
      </c>
      <c r="AF219" s="95"/>
      <c r="AG219" s="95"/>
    </row>
    <row r="220" spans="1:33">
      <c r="A220" s="116" t="s">
        <v>1117</v>
      </c>
      <c r="B220" s="116" t="s">
        <v>324</v>
      </c>
      <c r="C220" s="98">
        <v>43783</v>
      </c>
      <c r="D220" s="95" t="s">
        <v>60</v>
      </c>
      <c r="E220" s="116">
        <v>47</v>
      </c>
      <c r="F220" s="117">
        <v>26341</v>
      </c>
      <c r="G220" s="116" t="s">
        <v>61</v>
      </c>
      <c r="H220" s="116" t="s">
        <v>116</v>
      </c>
      <c r="I220" s="116" t="s">
        <v>62</v>
      </c>
      <c r="J220" s="118" t="s">
        <v>324</v>
      </c>
      <c r="K220" s="116" t="s">
        <v>62</v>
      </c>
      <c r="L220" s="118" t="s">
        <v>324</v>
      </c>
      <c r="M220" s="116" t="s">
        <v>62</v>
      </c>
      <c r="N220" s="116" t="s">
        <v>324</v>
      </c>
      <c r="O220" s="116" t="s">
        <v>60</v>
      </c>
      <c r="P220" s="116" t="s">
        <v>60</v>
      </c>
      <c r="Q220" s="116" t="s">
        <v>457</v>
      </c>
      <c r="R220" s="116" t="s">
        <v>363</v>
      </c>
      <c r="S220" s="116"/>
      <c r="T220" s="116"/>
      <c r="U220" s="95" t="s">
        <v>390</v>
      </c>
      <c r="V220" s="95" t="s">
        <v>60</v>
      </c>
      <c r="W220" s="95" t="s">
        <v>60</v>
      </c>
      <c r="X220" s="95">
        <v>165.15</v>
      </c>
      <c r="Y220" s="95">
        <v>103.9</v>
      </c>
      <c r="Z220" s="95">
        <f t="shared" si="7"/>
        <v>38.094159118642686</v>
      </c>
      <c r="AA220" s="95" t="s">
        <v>325</v>
      </c>
      <c r="AB220" s="95" t="s">
        <v>60</v>
      </c>
      <c r="AC220" s="95"/>
      <c r="AD220" s="95" t="s">
        <v>60</v>
      </c>
      <c r="AE220" s="95" t="s">
        <v>60</v>
      </c>
      <c r="AF220" s="95"/>
      <c r="AG220" s="95"/>
    </row>
    <row r="221" spans="1:33">
      <c r="A221" s="116" t="s">
        <v>741</v>
      </c>
      <c r="B221" s="116" t="s">
        <v>324</v>
      </c>
      <c r="C221" s="98">
        <v>43806</v>
      </c>
      <c r="D221" s="95" t="s">
        <v>60</v>
      </c>
      <c r="E221" s="116">
        <v>48</v>
      </c>
      <c r="F221" s="117">
        <v>26265</v>
      </c>
      <c r="G221" s="116" t="s">
        <v>61</v>
      </c>
      <c r="H221" s="116" t="s">
        <v>116</v>
      </c>
      <c r="I221" s="116" t="s">
        <v>62</v>
      </c>
      <c r="J221" s="118" t="s">
        <v>324</v>
      </c>
      <c r="K221" s="116" t="s">
        <v>62</v>
      </c>
      <c r="L221" s="118" t="s">
        <v>324</v>
      </c>
      <c r="M221" s="116" t="s">
        <v>62</v>
      </c>
      <c r="N221" s="116" t="s">
        <v>324</v>
      </c>
      <c r="O221" s="116" t="s">
        <v>62</v>
      </c>
      <c r="P221" s="116" t="s">
        <v>324</v>
      </c>
      <c r="Q221" s="116"/>
      <c r="R221" s="116"/>
      <c r="S221" s="116"/>
      <c r="T221" s="116"/>
      <c r="U221" s="95" t="s">
        <v>60</v>
      </c>
      <c r="V221" s="95" t="s">
        <v>390</v>
      </c>
      <c r="W221" s="95" t="s">
        <v>60</v>
      </c>
      <c r="X221" s="95">
        <v>164.3</v>
      </c>
      <c r="Y221" s="95">
        <v>74.7</v>
      </c>
      <c r="Z221" s="95">
        <f t="shared" si="7"/>
        <v>27.672313868496868</v>
      </c>
      <c r="AA221" s="95" t="s">
        <v>325</v>
      </c>
      <c r="AB221" s="95" t="s">
        <v>60</v>
      </c>
      <c r="AC221" s="95" t="s">
        <v>60</v>
      </c>
      <c r="AD221" s="95" t="s">
        <v>60</v>
      </c>
      <c r="AE221" s="95" t="s">
        <v>60</v>
      </c>
      <c r="AF221" s="95"/>
      <c r="AG221" s="95"/>
    </row>
    <row r="222" spans="1:33">
      <c r="A222" s="116" t="s">
        <v>742</v>
      </c>
      <c r="B222" s="116" t="s">
        <v>324</v>
      </c>
      <c r="C222" s="98">
        <v>43784</v>
      </c>
      <c r="D222" s="95" t="s">
        <v>60</v>
      </c>
      <c r="E222" s="116">
        <v>63</v>
      </c>
      <c r="F222" s="117">
        <v>20569</v>
      </c>
      <c r="G222" s="116" t="s">
        <v>61</v>
      </c>
      <c r="H222" s="116" t="s">
        <v>116</v>
      </c>
      <c r="I222" s="116" t="s">
        <v>62</v>
      </c>
      <c r="J222" s="118" t="s">
        <v>324</v>
      </c>
      <c r="K222" s="116" t="s">
        <v>62</v>
      </c>
      <c r="L222" s="118" t="s">
        <v>324</v>
      </c>
      <c r="M222" s="116" t="s">
        <v>62</v>
      </c>
      <c r="N222" s="116" t="s">
        <v>324</v>
      </c>
      <c r="O222" s="116" t="s">
        <v>62</v>
      </c>
      <c r="P222" s="116" t="s">
        <v>324</v>
      </c>
      <c r="Q222" s="116"/>
      <c r="R222" s="116"/>
      <c r="S222" s="116"/>
      <c r="T222" s="116"/>
      <c r="U222" s="95" t="s">
        <v>60</v>
      </c>
      <c r="V222" s="95" t="s">
        <v>60</v>
      </c>
      <c r="W222" s="95" t="s">
        <v>60</v>
      </c>
      <c r="X222" s="95">
        <v>156.80000000000001</v>
      </c>
      <c r="Y222" s="95">
        <v>53.5</v>
      </c>
      <c r="Z222" s="95">
        <f t="shared" si="7"/>
        <v>21.760139004581422</v>
      </c>
      <c r="AA222" s="95" t="s">
        <v>325</v>
      </c>
      <c r="AB222" s="95" t="s">
        <v>60</v>
      </c>
      <c r="AC222" s="95" t="s">
        <v>60</v>
      </c>
      <c r="AD222" s="95" t="s">
        <v>60</v>
      </c>
      <c r="AE222" s="95" t="s">
        <v>60</v>
      </c>
      <c r="AF222" s="95" t="s">
        <v>60</v>
      </c>
      <c r="AG222" s="95"/>
    </row>
    <row r="223" spans="1:33">
      <c r="A223" s="116" t="s">
        <v>743</v>
      </c>
      <c r="B223" s="116" t="s">
        <v>324</v>
      </c>
      <c r="C223" s="98">
        <v>43784</v>
      </c>
      <c r="D223" s="95" t="s">
        <v>60</v>
      </c>
      <c r="E223" s="116">
        <v>64</v>
      </c>
      <c r="F223" s="117">
        <v>20398</v>
      </c>
      <c r="G223" s="116" t="s">
        <v>58</v>
      </c>
      <c r="H223" s="116" t="s">
        <v>116</v>
      </c>
      <c r="I223" s="116" t="s">
        <v>62</v>
      </c>
      <c r="J223" s="118" t="s">
        <v>324</v>
      </c>
      <c r="K223" s="116" t="s">
        <v>62</v>
      </c>
      <c r="L223" s="118" t="s">
        <v>324</v>
      </c>
      <c r="M223" s="116" t="s">
        <v>62</v>
      </c>
      <c r="N223" s="116" t="s">
        <v>324</v>
      </c>
      <c r="O223" s="116" t="s">
        <v>62</v>
      </c>
      <c r="P223" s="116" t="s">
        <v>324</v>
      </c>
      <c r="Q223" s="116" t="s">
        <v>362</v>
      </c>
      <c r="R223" s="116" t="s">
        <v>348</v>
      </c>
      <c r="S223" s="116"/>
      <c r="T223" s="116"/>
      <c r="U223" s="95" t="s">
        <v>60</v>
      </c>
      <c r="V223" s="95" t="s">
        <v>60</v>
      </c>
      <c r="W223" s="95" t="s">
        <v>60</v>
      </c>
      <c r="X223" s="95">
        <v>169.9</v>
      </c>
      <c r="Y223" s="95">
        <v>76.2</v>
      </c>
      <c r="Z223" s="95">
        <f t="shared" si="7"/>
        <v>26.397829142302658</v>
      </c>
      <c r="AA223" s="95" t="s">
        <v>325</v>
      </c>
      <c r="AB223" s="95" t="s">
        <v>60</v>
      </c>
      <c r="AC223" s="95" t="s">
        <v>60</v>
      </c>
      <c r="AD223" s="95" t="s">
        <v>60</v>
      </c>
      <c r="AE223" s="95" t="s">
        <v>60</v>
      </c>
      <c r="AF223" s="95" t="s">
        <v>60</v>
      </c>
      <c r="AG223" s="95"/>
    </row>
    <row r="224" spans="1:33" ht="57.6">
      <c r="A224" s="116" t="s">
        <v>744</v>
      </c>
      <c r="B224" s="116" t="s">
        <v>324</v>
      </c>
      <c r="C224" s="98">
        <v>43781</v>
      </c>
      <c r="D224" s="95" t="s">
        <v>60</v>
      </c>
      <c r="E224" s="116">
        <v>72</v>
      </c>
      <c r="F224" s="117">
        <v>17425</v>
      </c>
      <c r="G224" s="116" t="s">
        <v>61</v>
      </c>
      <c r="H224" s="116" t="s">
        <v>116</v>
      </c>
      <c r="I224" s="116" t="s">
        <v>62</v>
      </c>
      <c r="J224" s="118" t="s">
        <v>324</v>
      </c>
      <c r="K224" s="116" t="s">
        <v>60</v>
      </c>
      <c r="L224" s="118" t="s">
        <v>745</v>
      </c>
      <c r="M224" s="116" t="s">
        <v>62</v>
      </c>
      <c r="N224" s="116" t="s">
        <v>324</v>
      </c>
      <c r="O224" s="116" t="s">
        <v>62</v>
      </c>
      <c r="P224" s="116" t="s">
        <v>324</v>
      </c>
      <c r="Q224" s="116" t="s">
        <v>369</v>
      </c>
      <c r="R224" s="116"/>
      <c r="S224" s="116"/>
      <c r="T224" s="116"/>
      <c r="U224" s="95" t="s">
        <v>60</v>
      </c>
      <c r="V224" s="95" t="s">
        <v>60</v>
      </c>
      <c r="W224" s="95" t="s">
        <v>60</v>
      </c>
      <c r="X224" s="95">
        <v>159.19999999999999</v>
      </c>
      <c r="Y224" s="95">
        <v>91.8</v>
      </c>
      <c r="Z224" s="95">
        <f t="shared" si="7"/>
        <v>36.220676245549363</v>
      </c>
      <c r="AA224" s="95" t="s">
        <v>355</v>
      </c>
      <c r="AB224" s="95" t="s">
        <v>60</v>
      </c>
      <c r="AC224" s="95"/>
      <c r="AD224" s="95" t="s">
        <v>60</v>
      </c>
      <c r="AE224" s="95" t="s">
        <v>60</v>
      </c>
      <c r="AF224" s="95"/>
      <c r="AG224" s="95"/>
    </row>
    <row r="225" spans="1:33">
      <c r="A225" s="116" t="s">
        <v>746</v>
      </c>
      <c r="B225" s="116" t="s">
        <v>324</v>
      </c>
      <c r="C225" s="98">
        <v>43781</v>
      </c>
      <c r="D225" s="95" t="s">
        <v>60</v>
      </c>
      <c r="E225" s="116">
        <v>52</v>
      </c>
      <c r="F225" s="117">
        <v>24498</v>
      </c>
      <c r="G225" s="116" t="s">
        <v>61</v>
      </c>
      <c r="H225" s="116" t="s">
        <v>146</v>
      </c>
      <c r="I225" s="116" t="s">
        <v>62</v>
      </c>
      <c r="J225" s="118" t="s">
        <v>324</v>
      </c>
      <c r="K225" s="116" t="s">
        <v>62</v>
      </c>
      <c r="L225" s="118" t="s">
        <v>324</v>
      </c>
      <c r="M225" s="116" t="s">
        <v>62</v>
      </c>
      <c r="N225" s="116" t="s">
        <v>324</v>
      </c>
      <c r="O225" s="116" t="s">
        <v>62</v>
      </c>
      <c r="P225" s="116" t="s">
        <v>324</v>
      </c>
      <c r="Q225" s="116"/>
      <c r="R225" s="116"/>
      <c r="S225" s="116"/>
      <c r="T225" s="116"/>
      <c r="U225" s="95" t="s">
        <v>62</v>
      </c>
      <c r="V225" s="95" t="s">
        <v>60</v>
      </c>
      <c r="W225" s="95" t="s">
        <v>390</v>
      </c>
      <c r="X225" s="95">
        <v>165.3</v>
      </c>
      <c r="Y225" s="95">
        <v>78.099999999999994</v>
      </c>
      <c r="Z225" s="95">
        <f t="shared" si="7"/>
        <v>28.58283661047815</v>
      </c>
      <c r="AA225" s="95" t="s">
        <v>325</v>
      </c>
      <c r="AB225" s="95" t="s">
        <v>60</v>
      </c>
      <c r="AC225" s="95" t="s">
        <v>60</v>
      </c>
      <c r="AD225" s="95" t="s">
        <v>60</v>
      </c>
      <c r="AE225" s="95" t="s">
        <v>60</v>
      </c>
      <c r="AF225" s="95" t="s">
        <v>60</v>
      </c>
      <c r="AG225" s="95"/>
    </row>
    <row r="226" spans="1:33">
      <c r="A226" s="116" t="s">
        <v>747</v>
      </c>
      <c r="B226" s="116" t="s">
        <v>324</v>
      </c>
      <c r="C226" s="98">
        <v>43781</v>
      </c>
      <c r="D226" s="95" t="s">
        <v>60</v>
      </c>
      <c r="E226" s="116">
        <v>61</v>
      </c>
      <c r="F226" s="117">
        <v>21213</v>
      </c>
      <c r="G226" s="116" t="s">
        <v>61</v>
      </c>
      <c r="H226" s="116" t="s">
        <v>116</v>
      </c>
      <c r="I226" s="116" t="s">
        <v>62</v>
      </c>
      <c r="J226" s="118" t="s">
        <v>324</v>
      </c>
      <c r="K226" s="116" t="s">
        <v>62</v>
      </c>
      <c r="L226" s="118" t="s">
        <v>324</v>
      </c>
      <c r="M226" s="116" t="s">
        <v>62</v>
      </c>
      <c r="N226" s="116" t="s">
        <v>324</v>
      </c>
      <c r="O226" s="116" t="s">
        <v>62</v>
      </c>
      <c r="P226" s="116" t="s">
        <v>324</v>
      </c>
      <c r="Q226" s="116" t="s">
        <v>348</v>
      </c>
      <c r="R226" s="116" t="s">
        <v>362</v>
      </c>
      <c r="S226" s="116"/>
      <c r="T226" s="116"/>
      <c r="U226" s="95" t="s">
        <v>60</v>
      </c>
      <c r="V226" s="95" t="s">
        <v>60</v>
      </c>
      <c r="W226" s="95" t="s">
        <v>60</v>
      </c>
      <c r="X226" s="95">
        <v>169.5</v>
      </c>
      <c r="Y226" s="95">
        <v>88.2</v>
      </c>
      <c r="Z226" s="95">
        <f t="shared" si="7"/>
        <v>30.699349988252798</v>
      </c>
      <c r="AA226" s="95" t="s">
        <v>325</v>
      </c>
      <c r="AB226" s="95" t="s">
        <v>60</v>
      </c>
      <c r="AC226" s="95"/>
      <c r="AD226" s="95" t="s">
        <v>60</v>
      </c>
      <c r="AE226" s="95" t="s">
        <v>60</v>
      </c>
      <c r="AF226" s="95" t="s">
        <v>60</v>
      </c>
      <c r="AG226" s="95"/>
    </row>
    <row r="227" spans="1:33">
      <c r="A227" s="116" t="s">
        <v>748</v>
      </c>
      <c r="B227" s="116" t="s">
        <v>324</v>
      </c>
      <c r="C227" s="98">
        <v>43777</v>
      </c>
      <c r="D227" s="95" t="s">
        <v>60</v>
      </c>
      <c r="E227" s="116">
        <v>58</v>
      </c>
      <c r="F227" s="117">
        <v>22475</v>
      </c>
      <c r="G227" s="116" t="s">
        <v>61</v>
      </c>
      <c r="H227" s="116" t="s">
        <v>116</v>
      </c>
      <c r="I227" s="116" t="s">
        <v>62</v>
      </c>
      <c r="J227" s="118" t="s">
        <v>324</v>
      </c>
      <c r="K227" s="116" t="s">
        <v>60</v>
      </c>
      <c r="L227" s="118" t="s">
        <v>749</v>
      </c>
      <c r="M227" s="116" t="s">
        <v>62</v>
      </c>
      <c r="N227" s="116" t="s">
        <v>324</v>
      </c>
      <c r="O227" s="116" t="s">
        <v>750</v>
      </c>
      <c r="P227" s="116" t="s">
        <v>60</v>
      </c>
      <c r="Q227" s="116" t="s">
        <v>425</v>
      </c>
      <c r="R227" s="116"/>
      <c r="S227" s="116"/>
      <c r="T227" s="116"/>
      <c r="U227" s="95" t="s">
        <v>62</v>
      </c>
      <c r="V227" s="95" t="s">
        <v>62</v>
      </c>
      <c r="W227" s="95" t="s">
        <v>62</v>
      </c>
      <c r="X227" s="95">
        <v>153.5</v>
      </c>
      <c r="Y227" s="95">
        <v>87.7</v>
      </c>
      <c r="Z227" s="95">
        <f t="shared" si="7"/>
        <v>37.220554064234108</v>
      </c>
      <c r="AA227" s="95" t="s">
        <v>325</v>
      </c>
      <c r="AB227" s="95" t="s">
        <v>60</v>
      </c>
      <c r="AC227" s="95" t="s">
        <v>60</v>
      </c>
      <c r="AD227" s="95" t="s">
        <v>60</v>
      </c>
      <c r="AE227" s="95" t="s">
        <v>60</v>
      </c>
      <c r="AF227" s="95" t="s">
        <v>60</v>
      </c>
      <c r="AG227" s="95"/>
    </row>
    <row r="228" spans="1:33">
      <c r="A228" s="116" t="s">
        <v>751</v>
      </c>
      <c r="B228" s="116" t="s">
        <v>324</v>
      </c>
      <c r="C228" s="98">
        <v>43783</v>
      </c>
      <c r="D228" s="95" t="s">
        <v>60</v>
      </c>
      <c r="E228" s="116">
        <v>58</v>
      </c>
      <c r="F228" s="117">
        <v>22437</v>
      </c>
      <c r="G228" s="116" t="s">
        <v>61</v>
      </c>
      <c r="H228" s="116" t="s">
        <v>116</v>
      </c>
      <c r="I228" s="116" t="s">
        <v>62</v>
      </c>
      <c r="J228" s="118" t="s">
        <v>324</v>
      </c>
      <c r="K228" s="116" t="s">
        <v>62</v>
      </c>
      <c r="L228" s="118" t="s">
        <v>324</v>
      </c>
      <c r="M228" s="116" t="s">
        <v>62</v>
      </c>
      <c r="N228" s="116" t="s">
        <v>324</v>
      </c>
      <c r="O228" s="116" t="s">
        <v>62</v>
      </c>
      <c r="P228" s="116" t="s">
        <v>324</v>
      </c>
      <c r="Q228" s="116"/>
      <c r="R228" s="116"/>
      <c r="S228" s="116"/>
      <c r="T228" s="116"/>
      <c r="U228" s="95" t="s">
        <v>62</v>
      </c>
      <c r="V228" s="95" t="s">
        <v>62</v>
      </c>
      <c r="W228" s="95" t="s">
        <v>62</v>
      </c>
      <c r="X228" s="95">
        <v>170.2</v>
      </c>
      <c r="Y228" s="95">
        <v>73.3</v>
      </c>
      <c r="Z228" s="95">
        <f t="shared" si="7"/>
        <v>25.303748544948157</v>
      </c>
      <c r="AA228" s="95" t="s">
        <v>325</v>
      </c>
      <c r="AB228" s="95" t="s">
        <v>60</v>
      </c>
      <c r="AC228" s="95" t="s">
        <v>60</v>
      </c>
      <c r="AD228" s="95" t="s">
        <v>60</v>
      </c>
      <c r="AE228" s="95" t="s">
        <v>60</v>
      </c>
      <c r="AF228" s="95" t="s">
        <v>60</v>
      </c>
      <c r="AG228" s="95"/>
    </row>
    <row r="229" spans="1:33">
      <c r="A229" s="116" t="s">
        <v>752</v>
      </c>
      <c r="B229" s="116" t="s">
        <v>324</v>
      </c>
      <c r="C229" s="98">
        <v>43801</v>
      </c>
      <c r="D229" s="95" t="s">
        <v>60</v>
      </c>
      <c r="E229" s="116">
        <v>44</v>
      </c>
      <c r="F229" s="117">
        <v>27457</v>
      </c>
      <c r="G229" s="116" t="s">
        <v>61</v>
      </c>
      <c r="H229" s="116" t="s">
        <v>116</v>
      </c>
      <c r="I229" s="116" t="s">
        <v>62</v>
      </c>
      <c r="J229" s="118" t="s">
        <v>324</v>
      </c>
      <c r="K229" s="116" t="s">
        <v>62</v>
      </c>
      <c r="L229" s="118" t="s">
        <v>324</v>
      </c>
      <c r="M229" s="116" t="s">
        <v>62</v>
      </c>
      <c r="N229" s="116" t="s">
        <v>324</v>
      </c>
      <c r="O229" s="116" t="s">
        <v>62</v>
      </c>
      <c r="P229" s="116" t="s">
        <v>324</v>
      </c>
      <c r="Q229" s="116"/>
      <c r="R229" s="116"/>
      <c r="S229" s="116"/>
      <c r="T229" s="116"/>
      <c r="U229" s="95" t="s">
        <v>60</v>
      </c>
      <c r="V229" s="95" t="s">
        <v>60</v>
      </c>
      <c r="W229" s="95" t="s">
        <v>60</v>
      </c>
      <c r="X229" s="95">
        <v>165.3</v>
      </c>
      <c r="Y229" s="95">
        <v>86.2</v>
      </c>
      <c r="Z229" s="95">
        <f t="shared" si="7"/>
        <v>31.547253723728769</v>
      </c>
      <c r="AA229" s="95" t="s">
        <v>325</v>
      </c>
      <c r="AB229" s="95" t="s">
        <v>60</v>
      </c>
      <c r="AC229" s="95" t="s">
        <v>60</v>
      </c>
      <c r="AD229" s="95" t="s">
        <v>60</v>
      </c>
      <c r="AE229" s="95" t="s">
        <v>60</v>
      </c>
      <c r="AF229" s="95"/>
      <c r="AG229" s="95"/>
    </row>
    <row r="230" spans="1:33" ht="57.6">
      <c r="A230" s="116" t="s">
        <v>1118</v>
      </c>
      <c r="B230" s="116" t="s">
        <v>324</v>
      </c>
      <c r="C230" s="98">
        <v>43776</v>
      </c>
      <c r="D230" s="95" t="s">
        <v>60</v>
      </c>
      <c r="E230" s="116">
        <v>43</v>
      </c>
      <c r="F230" s="117">
        <v>27831</v>
      </c>
      <c r="G230" s="116" t="s">
        <v>58</v>
      </c>
      <c r="H230" s="116" t="s">
        <v>116</v>
      </c>
      <c r="I230" s="116" t="s">
        <v>62</v>
      </c>
      <c r="J230" s="118" t="s">
        <v>324</v>
      </c>
      <c r="K230" s="116" t="s">
        <v>60</v>
      </c>
      <c r="L230" s="118" t="s">
        <v>753</v>
      </c>
      <c r="M230" s="116" t="s">
        <v>62</v>
      </c>
      <c r="N230" s="116" t="s">
        <v>324</v>
      </c>
      <c r="O230" s="116" t="s">
        <v>62</v>
      </c>
      <c r="P230" s="116" t="s">
        <v>324</v>
      </c>
      <c r="Q230" s="116"/>
      <c r="R230" s="116"/>
      <c r="S230" s="116"/>
      <c r="T230" s="116"/>
      <c r="U230" s="95" t="s">
        <v>60</v>
      </c>
      <c r="V230" s="95" t="s">
        <v>60</v>
      </c>
      <c r="W230" s="95" t="s">
        <v>60</v>
      </c>
      <c r="X230" s="95">
        <v>188.9</v>
      </c>
      <c r="Y230" s="95">
        <v>96.9</v>
      </c>
      <c r="Z230" s="95">
        <f t="shared" si="7"/>
        <v>27.155628655605817</v>
      </c>
      <c r="AA230" s="95" t="s">
        <v>325</v>
      </c>
      <c r="AB230" s="95" t="s">
        <v>60</v>
      </c>
      <c r="AC230" s="95" t="s">
        <v>60</v>
      </c>
      <c r="AD230" s="95"/>
      <c r="AE230" s="95" t="s">
        <v>60</v>
      </c>
      <c r="AF230" s="95" t="s">
        <v>60</v>
      </c>
      <c r="AG230" s="95"/>
    </row>
    <row r="231" spans="1:33">
      <c r="A231" s="116" t="s">
        <v>1119</v>
      </c>
      <c r="B231" s="116" t="s">
        <v>324</v>
      </c>
      <c r="C231" s="98">
        <v>43783</v>
      </c>
      <c r="D231" s="95" t="s">
        <v>60</v>
      </c>
      <c r="E231" s="116">
        <v>53</v>
      </c>
      <c r="F231" s="117">
        <v>24151</v>
      </c>
      <c r="G231" s="116" t="s">
        <v>61</v>
      </c>
      <c r="H231" s="116" t="s">
        <v>116</v>
      </c>
      <c r="I231" s="116" t="s">
        <v>62</v>
      </c>
      <c r="J231" s="118" t="s">
        <v>324</v>
      </c>
      <c r="K231" s="116" t="s">
        <v>62</v>
      </c>
      <c r="L231" s="118" t="s">
        <v>324</v>
      </c>
      <c r="M231" s="116" t="s">
        <v>62</v>
      </c>
      <c r="N231" s="116" t="s">
        <v>324</v>
      </c>
      <c r="O231" s="116" t="s">
        <v>62</v>
      </c>
      <c r="P231" s="116" t="s">
        <v>324</v>
      </c>
      <c r="Q231" s="116"/>
      <c r="R231" s="116"/>
      <c r="S231" s="116"/>
      <c r="T231" s="116"/>
      <c r="U231" s="95" t="s">
        <v>60</v>
      </c>
      <c r="V231" s="95" t="s">
        <v>390</v>
      </c>
      <c r="W231" s="95" t="s">
        <v>390</v>
      </c>
      <c r="X231" s="95">
        <v>164</v>
      </c>
      <c r="Y231" s="95">
        <v>75.8</v>
      </c>
      <c r="Z231" s="95">
        <f t="shared" si="7"/>
        <v>28.182629387269486</v>
      </c>
      <c r="AA231" s="95" t="s">
        <v>325</v>
      </c>
      <c r="AB231" s="95" t="s">
        <v>60</v>
      </c>
      <c r="AC231" s="95"/>
      <c r="AD231" s="95" t="s">
        <v>60</v>
      </c>
      <c r="AE231" s="95" t="s">
        <v>60</v>
      </c>
      <c r="AF231" s="95"/>
      <c r="AG231" s="95"/>
    </row>
    <row r="232" spans="1:33">
      <c r="A232" s="116" t="s">
        <v>754</v>
      </c>
      <c r="B232" s="116" t="s">
        <v>324</v>
      </c>
      <c r="C232" s="98">
        <v>43774</v>
      </c>
      <c r="D232" s="95" t="s">
        <v>60</v>
      </c>
      <c r="E232" s="116">
        <v>67</v>
      </c>
      <c r="F232" s="117">
        <v>19190</v>
      </c>
      <c r="G232" s="116" t="s">
        <v>61</v>
      </c>
      <c r="H232" s="116" t="s">
        <v>126</v>
      </c>
      <c r="I232" s="116" t="s">
        <v>62</v>
      </c>
      <c r="J232" s="118" t="s">
        <v>324</v>
      </c>
      <c r="K232" s="116" t="s">
        <v>62</v>
      </c>
      <c r="L232" s="118" t="s">
        <v>324</v>
      </c>
      <c r="M232" s="116" t="s">
        <v>62</v>
      </c>
      <c r="N232" s="116" t="s">
        <v>324</v>
      </c>
      <c r="O232" s="116" t="s">
        <v>62</v>
      </c>
      <c r="P232" s="116" t="s">
        <v>324</v>
      </c>
      <c r="Q232" s="116"/>
      <c r="R232" s="116"/>
      <c r="S232" s="116"/>
      <c r="T232" s="116"/>
      <c r="U232" s="95" t="s">
        <v>60</v>
      </c>
      <c r="V232" s="95" t="s">
        <v>60</v>
      </c>
      <c r="W232" s="95" t="s">
        <v>60</v>
      </c>
      <c r="X232" s="95">
        <v>161.5</v>
      </c>
      <c r="Y232" s="95">
        <v>55.4</v>
      </c>
      <c r="Z232" s="95">
        <f t="shared" si="7"/>
        <v>21.240498806659701</v>
      </c>
      <c r="AA232" s="95" t="s">
        <v>355</v>
      </c>
      <c r="AB232" s="95" t="s">
        <v>60</v>
      </c>
      <c r="AC232" s="95"/>
      <c r="AD232" s="95" t="s">
        <v>60</v>
      </c>
      <c r="AE232" s="95" t="s">
        <v>60</v>
      </c>
      <c r="AF232" s="95"/>
      <c r="AG232" s="95"/>
    </row>
    <row r="233" spans="1:33">
      <c r="A233" s="116" t="s">
        <v>755</v>
      </c>
      <c r="B233" s="116" t="s">
        <v>324</v>
      </c>
      <c r="C233" s="98">
        <v>43777</v>
      </c>
      <c r="D233" s="95" t="s">
        <v>60</v>
      </c>
      <c r="E233" s="116">
        <v>59</v>
      </c>
      <c r="F233" s="117">
        <v>21872</v>
      </c>
      <c r="G233" s="116" t="s">
        <v>58</v>
      </c>
      <c r="H233" s="116" t="s">
        <v>116</v>
      </c>
      <c r="I233" s="116" t="s">
        <v>62</v>
      </c>
      <c r="J233" s="118" t="s">
        <v>324</v>
      </c>
      <c r="K233" s="116" t="s">
        <v>62</v>
      </c>
      <c r="L233" s="118" t="s">
        <v>324</v>
      </c>
      <c r="M233" s="116" t="s">
        <v>62</v>
      </c>
      <c r="N233" s="116" t="s">
        <v>324</v>
      </c>
      <c r="O233" s="116" t="s">
        <v>62</v>
      </c>
      <c r="P233" s="116" t="s">
        <v>324</v>
      </c>
      <c r="Q233" s="116"/>
      <c r="R233" s="116"/>
      <c r="S233" s="116"/>
      <c r="T233" s="116"/>
      <c r="U233" s="95" t="s">
        <v>60</v>
      </c>
      <c r="V233" s="95" t="s">
        <v>60</v>
      </c>
      <c r="W233" s="95" t="s">
        <v>60</v>
      </c>
      <c r="X233" s="95">
        <v>174.5</v>
      </c>
      <c r="Y233" s="95">
        <v>64.2</v>
      </c>
      <c r="Z233" s="95">
        <f t="shared" si="7"/>
        <v>21.083570742440536</v>
      </c>
      <c r="AA233" s="95" t="s">
        <v>325</v>
      </c>
      <c r="AB233" s="95" t="s">
        <v>60</v>
      </c>
      <c r="AC233" s="95"/>
      <c r="AD233" s="95" t="s">
        <v>60</v>
      </c>
      <c r="AE233" s="95" t="s">
        <v>60</v>
      </c>
      <c r="AF233" s="95"/>
      <c r="AG233" s="95"/>
    </row>
    <row r="234" spans="1:33">
      <c r="A234" s="116" t="s">
        <v>756</v>
      </c>
      <c r="B234" s="116" t="s">
        <v>324</v>
      </c>
      <c r="C234" s="98">
        <v>43781</v>
      </c>
      <c r="D234" s="95" t="s">
        <v>60</v>
      </c>
      <c r="E234" s="116">
        <v>65</v>
      </c>
      <c r="F234" s="117">
        <v>20001</v>
      </c>
      <c r="G234" s="116" t="s">
        <v>61</v>
      </c>
      <c r="H234" s="116" t="s">
        <v>116</v>
      </c>
      <c r="I234" s="116" t="s">
        <v>62</v>
      </c>
      <c r="J234" s="118" t="s">
        <v>324</v>
      </c>
      <c r="K234" s="116" t="s">
        <v>62</v>
      </c>
      <c r="L234" s="118" t="s">
        <v>324</v>
      </c>
      <c r="M234" s="116" t="s">
        <v>62</v>
      </c>
      <c r="N234" s="116" t="s">
        <v>324</v>
      </c>
      <c r="O234" s="116" t="s">
        <v>62</v>
      </c>
      <c r="P234" s="116" t="s">
        <v>324</v>
      </c>
      <c r="Q234" s="116" t="s">
        <v>483</v>
      </c>
      <c r="R234" s="116"/>
      <c r="S234" s="116"/>
      <c r="T234" s="116"/>
      <c r="U234" s="95" t="s">
        <v>60</v>
      </c>
      <c r="V234" s="95" t="s">
        <v>60</v>
      </c>
      <c r="W234" s="95" t="s">
        <v>60</v>
      </c>
      <c r="X234" s="95">
        <v>160.1</v>
      </c>
      <c r="Y234" s="95">
        <v>56.9</v>
      </c>
      <c r="Z234" s="95">
        <f t="shared" si="7"/>
        <v>22.198805321939247</v>
      </c>
      <c r="AA234" s="95" t="s">
        <v>355</v>
      </c>
      <c r="AB234" s="95" t="s">
        <v>60</v>
      </c>
      <c r="AC234" s="95"/>
      <c r="AD234" s="95" t="s">
        <v>60</v>
      </c>
      <c r="AE234" s="95" t="s">
        <v>60</v>
      </c>
      <c r="AF234" s="95"/>
      <c r="AG234" s="95"/>
    </row>
    <row r="235" spans="1:33">
      <c r="A235" s="116" t="s">
        <v>1120</v>
      </c>
      <c r="B235" s="116" t="s">
        <v>324</v>
      </c>
      <c r="C235" s="98">
        <v>43775</v>
      </c>
      <c r="D235" s="95" t="s">
        <v>60</v>
      </c>
      <c r="E235" s="116">
        <v>48</v>
      </c>
      <c r="F235" s="117">
        <v>26142</v>
      </c>
      <c r="G235" s="116" t="s">
        <v>61</v>
      </c>
      <c r="H235" s="116" t="s">
        <v>116</v>
      </c>
      <c r="I235" s="116" t="s">
        <v>62</v>
      </c>
      <c r="J235" s="118" t="s">
        <v>324</v>
      </c>
      <c r="K235" s="116" t="s">
        <v>62</v>
      </c>
      <c r="L235" s="118" t="s">
        <v>324</v>
      </c>
      <c r="M235" s="116" t="s">
        <v>62</v>
      </c>
      <c r="N235" s="116" t="s">
        <v>324</v>
      </c>
      <c r="O235" s="116" t="s">
        <v>62</v>
      </c>
      <c r="P235" s="116" t="s">
        <v>324</v>
      </c>
      <c r="Q235" s="116" t="s">
        <v>757</v>
      </c>
      <c r="R235" s="116"/>
      <c r="S235" s="116"/>
      <c r="T235" s="116"/>
      <c r="U235" s="95" t="s">
        <v>62</v>
      </c>
      <c r="V235" s="95" t="s">
        <v>62</v>
      </c>
      <c r="W235" s="95" t="s">
        <v>62</v>
      </c>
      <c r="X235" s="95">
        <v>166.7</v>
      </c>
      <c r="Y235" s="95">
        <v>62.6</v>
      </c>
      <c r="Z235" s="95">
        <f t="shared" si="7"/>
        <v>22.526988303599033</v>
      </c>
      <c r="AA235" s="95" t="s">
        <v>325</v>
      </c>
      <c r="AB235" s="95" t="s">
        <v>60</v>
      </c>
      <c r="AC235" s="95"/>
      <c r="AD235" s="95" t="s">
        <v>60</v>
      </c>
      <c r="AE235" s="95" t="s">
        <v>60</v>
      </c>
      <c r="AF235" s="95"/>
      <c r="AG235" s="95"/>
    </row>
    <row r="236" spans="1:33" ht="43.2">
      <c r="A236" s="116" t="s">
        <v>1121</v>
      </c>
      <c r="B236" s="116"/>
      <c r="C236" s="125">
        <v>43787</v>
      </c>
      <c r="D236" s="126" t="s">
        <v>60</v>
      </c>
      <c r="E236" s="116">
        <v>52</v>
      </c>
      <c r="F236" s="117">
        <v>24557</v>
      </c>
      <c r="G236" s="116" t="s">
        <v>58</v>
      </c>
      <c r="H236" s="116" t="s">
        <v>116</v>
      </c>
      <c r="I236" s="116" t="s">
        <v>62</v>
      </c>
      <c r="J236" s="118" t="s">
        <v>324</v>
      </c>
      <c r="K236" s="116" t="s">
        <v>60</v>
      </c>
      <c r="L236" s="118" t="s">
        <v>758</v>
      </c>
      <c r="M236" s="116" t="s">
        <v>62</v>
      </c>
      <c r="N236" s="116" t="s">
        <v>324</v>
      </c>
      <c r="O236" s="116" t="s">
        <v>62</v>
      </c>
      <c r="P236" s="116" t="s">
        <v>324</v>
      </c>
      <c r="Q236" s="116"/>
      <c r="R236" s="116"/>
      <c r="S236" s="116"/>
      <c r="T236" s="116"/>
      <c r="U236" s="126" t="s">
        <v>62</v>
      </c>
      <c r="V236" s="126" t="s">
        <v>60</v>
      </c>
      <c r="W236" s="126" t="s">
        <v>60</v>
      </c>
      <c r="X236" s="126">
        <v>185.3</v>
      </c>
      <c r="Y236" s="126">
        <v>106.4</v>
      </c>
      <c r="Z236" s="104">
        <f t="shared" si="7"/>
        <v>30.987803212305185</v>
      </c>
      <c r="AA236" s="126" t="s">
        <v>325</v>
      </c>
      <c r="AB236" s="126" t="s">
        <v>60</v>
      </c>
      <c r="AC236" s="126" t="s">
        <v>60</v>
      </c>
      <c r="AD236" s="126" t="s">
        <v>60</v>
      </c>
      <c r="AE236" s="126" t="s">
        <v>60</v>
      </c>
      <c r="AF236" s="126" t="s">
        <v>60</v>
      </c>
      <c r="AG236" s="126" t="s">
        <v>1149</v>
      </c>
    </row>
    <row r="237" spans="1:33">
      <c r="A237" s="116" t="s">
        <v>1122</v>
      </c>
      <c r="B237" s="116" t="s">
        <v>324</v>
      </c>
      <c r="C237" s="98">
        <v>43790</v>
      </c>
      <c r="D237" s="95" t="s">
        <v>60</v>
      </c>
      <c r="E237" s="116">
        <v>42</v>
      </c>
      <c r="F237" s="117">
        <v>28371</v>
      </c>
      <c r="G237" s="116" t="s">
        <v>61</v>
      </c>
      <c r="H237" s="116" t="s">
        <v>116</v>
      </c>
      <c r="I237" s="116" t="s">
        <v>62</v>
      </c>
      <c r="J237" s="118" t="s">
        <v>324</v>
      </c>
      <c r="K237" s="116" t="s">
        <v>60</v>
      </c>
      <c r="L237" s="118" t="s">
        <v>759</v>
      </c>
      <c r="M237" s="116" t="s">
        <v>60</v>
      </c>
      <c r="N237" s="116" t="s">
        <v>760</v>
      </c>
      <c r="O237" s="116" t="s">
        <v>62</v>
      </c>
      <c r="P237" s="116" t="s">
        <v>324</v>
      </c>
      <c r="Q237" s="116" t="s">
        <v>348</v>
      </c>
      <c r="R237" s="116" t="s">
        <v>545</v>
      </c>
      <c r="S237" s="116"/>
      <c r="T237" s="116"/>
      <c r="U237" s="95" t="s">
        <v>60</v>
      </c>
      <c r="V237" s="95" t="s">
        <v>60</v>
      </c>
      <c r="W237" s="95" t="s">
        <v>60</v>
      </c>
      <c r="X237" s="95">
        <v>168.4</v>
      </c>
      <c r="Y237" s="95">
        <v>102.55</v>
      </c>
      <c r="Z237" s="95">
        <f t="shared" ref="Z237:Z268" si="8">Y237/((X237/100)^2)</f>
        <v>36.161920774538615</v>
      </c>
      <c r="AA237" s="95" t="s">
        <v>325</v>
      </c>
      <c r="AB237" s="95" t="s">
        <v>60</v>
      </c>
      <c r="AC237" s="95"/>
      <c r="AD237" s="95" t="s">
        <v>60</v>
      </c>
      <c r="AE237" s="95" t="s">
        <v>60</v>
      </c>
      <c r="AF237" s="95"/>
      <c r="AG237" s="95"/>
    </row>
    <row r="238" spans="1:33" ht="57.6">
      <c r="A238" s="116" t="s">
        <v>1123</v>
      </c>
      <c r="B238" s="116" t="s">
        <v>1150</v>
      </c>
      <c r="C238" s="98">
        <v>43792</v>
      </c>
      <c r="D238" s="95" t="s">
        <v>60</v>
      </c>
      <c r="E238" s="116">
        <v>46</v>
      </c>
      <c r="F238" s="117">
        <v>26813</v>
      </c>
      <c r="G238" s="116" t="s">
        <v>61</v>
      </c>
      <c r="H238" s="116" t="s">
        <v>116</v>
      </c>
      <c r="I238" s="116" t="s">
        <v>62</v>
      </c>
      <c r="J238" s="118" t="s">
        <v>324</v>
      </c>
      <c r="K238" s="116" t="s">
        <v>60</v>
      </c>
      <c r="L238" s="118" t="s">
        <v>761</v>
      </c>
      <c r="M238" s="116" t="s">
        <v>62</v>
      </c>
      <c r="N238" s="116" t="s">
        <v>324</v>
      </c>
      <c r="O238" s="116" t="s">
        <v>62</v>
      </c>
      <c r="P238" s="116" t="s">
        <v>324</v>
      </c>
      <c r="Q238" s="116"/>
      <c r="R238" s="116"/>
      <c r="S238" s="116"/>
      <c r="T238" s="116"/>
      <c r="U238" s="95" t="s">
        <v>60</v>
      </c>
      <c r="V238" s="95" t="s">
        <v>60</v>
      </c>
      <c r="W238" s="95" t="s">
        <v>390</v>
      </c>
      <c r="X238" s="95">
        <v>162.4</v>
      </c>
      <c r="Y238" s="95">
        <v>79.3</v>
      </c>
      <c r="Z238" s="95">
        <f t="shared" si="8"/>
        <v>30.067764323327424</v>
      </c>
      <c r="AA238" s="95" t="s">
        <v>325</v>
      </c>
      <c r="AB238" s="95" t="s">
        <v>60</v>
      </c>
      <c r="AC238" s="95"/>
      <c r="AD238" s="95" t="s">
        <v>60</v>
      </c>
      <c r="AE238" s="95" t="s">
        <v>60</v>
      </c>
      <c r="AF238" s="95"/>
      <c r="AG238" s="95"/>
    </row>
    <row r="239" spans="1:33">
      <c r="A239" s="116" t="s">
        <v>1124</v>
      </c>
      <c r="B239" s="116" t="s">
        <v>324</v>
      </c>
      <c r="C239" s="98">
        <v>43780</v>
      </c>
      <c r="D239" s="95" t="s">
        <v>60</v>
      </c>
      <c r="E239" s="116">
        <v>34</v>
      </c>
      <c r="F239" s="117">
        <v>31311</v>
      </c>
      <c r="G239" s="116" t="s">
        <v>61</v>
      </c>
      <c r="H239" s="116" t="s">
        <v>116</v>
      </c>
      <c r="I239" s="116" t="s">
        <v>62</v>
      </c>
      <c r="J239" s="118" t="s">
        <v>324</v>
      </c>
      <c r="K239" s="116" t="s">
        <v>62</v>
      </c>
      <c r="L239" s="118" t="s">
        <v>324</v>
      </c>
      <c r="M239" s="116" t="s">
        <v>62</v>
      </c>
      <c r="N239" s="116" t="s">
        <v>324</v>
      </c>
      <c r="O239" s="116" t="s">
        <v>62</v>
      </c>
      <c r="P239" s="116" t="s">
        <v>324</v>
      </c>
      <c r="Q239" s="116"/>
      <c r="R239" s="116"/>
      <c r="S239" s="116"/>
      <c r="T239" s="116"/>
      <c r="U239" s="95" t="s">
        <v>62</v>
      </c>
      <c r="V239" s="95" t="s">
        <v>62</v>
      </c>
      <c r="W239" s="95" t="s">
        <v>62</v>
      </c>
      <c r="X239" s="95">
        <v>172.5</v>
      </c>
      <c r="Y239" s="95">
        <v>68.900000000000006</v>
      </c>
      <c r="Z239" s="95">
        <f t="shared" si="8"/>
        <v>23.154799411888259</v>
      </c>
      <c r="AA239" s="95" t="s">
        <v>325</v>
      </c>
      <c r="AB239" s="95" t="s">
        <v>60</v>
      </c>
      <c r="AC239" s="95" t="s">
        <v>60</v>
      </c>
      <c r="AD239" s="95" t="s">
        <v>60</v>
      </c>
      <c r="AE239" s="95" t="s">
        <v>60</v>
      </c>
      <c r="AF239" s="95" t="s">
        <v>60</v>
      </c>
      <c r="AG239" s="95"/>
    </row>
    <row r="240" spans="1:33">
      <c r="A240" s="116" t="s">
        <v>1125</v>
      </c>
      <c r="B240" s="116" t="s">
        <v>324</v>
      </c>
      <c r="C240" s="98">
        <v>43771</v>
      </c>
      <c r="D240" s="95" t="s">
        <v>60</v>
      </c>
      <c r="E240" s="116">
        <v>47</v>
      </c>
      <c r="F240" s="117">
        <v>26530</v>
      </c>
      <c r="G240" s="116" t="s">
        <v>61</v>
      </c>
      <c r="H240" s="116" t="s">
        <v>117</v>
      </c>
      <c r="I240" s="116" t="s">
        <v>62</v>
      </c>
      <c r="J240" s="118" t="s">
        <v>324</v>
      </c>
      <c r="K240" s="116" t="s">
        <v>62</v>
      </c>
      <c r="L240" s="118" t="s">
        <v>324</v>
      </c>
      <c r="M240" s="116" t="s">
        <v>62</v>
      </c>
      <c r="N240" s="116" t="s">
        <v>324</v>
      </c>
      <c r="O240" s="116" t="s">
        <v>62</v>
      </c>
      <c r="P240" s="116" t="s">
        <v>324</v>
      </c>
      <c r="Q240" s="116" t="s">
        <v>363</v>
      </c>
      <c r="R240" s="116" t="s">
        <v>425</v>
      </c>
      <c r="S240" s="116"/>
      <c r="T240" s="116"/>
      <c r="U240" s="95" t="s">
        <v>60</v>
      </c>
      <c r="V240" s="95" t="s">
        <v>60</v>
      </c>
      <c r="W240" s="95" t="s">
        <v>60</v>
      </c>
      <c r="X240" s="95">
        <v>159.1</v>
      </c>
      <c r="Y240" s="95">
        <v>93.6</v>
      </c>
      <c r="Z240" s="95">
        <f t="shared" si="8"/>
        <v>36.977324919675056</v>
      </c>
      <c r="AA240" s="95" t="s">
        <v>325</v>
      </c>
      <c r="AB240" s="95" t="s">
        <v>60</v>
      </c>
      <c r="AC240" s="95" t="s">
        <v>60</v>
      </c>
      <c r="AD240" s="95" t="s">
        <v>60</v>
      </c>
      <c r="AE240" s="95" t="s">
        <v>60</v>
      </c>
      <c r="AF240" s="95" t="s">
        <v>60</v>
      </c>
      <c r="AG240" s="95"/>
    </row>
    <row r="241" spans="1:33">
      <c r="A241" s="116" t="s">
        <v>762</v>
      </c>
      <c r="B241" s="116" t="s">
        <v>324</v>
      </c>
      <c r="C241" s="127">
        <v>43782</v>
      </c>
      <c r="D241" s="120" t="s">
        <v>60</v>
      </c>
      <c r="E241" s="116">
        <v>63</v>
      </c>
      <c r="F241" s="117">
        <v>20729</v>
      </c>
      <c r="G241" s="116" t="s">
        <v>61</v>
      </c>
      <c r="H241" s="116" t="s">
        <v>116</v>
      </c>
      <c r="I241" s="116" t="s">
        <v>62</v>
      </c>
      <c r="J241" s="118" t="s">
        <v>324</v>
      </c>
      <c r="K241" s="116" t="s">
        <v>62</v>
      </c>
      <c r="L241" s="118" t="s">
        <v>324</v>
      </c>
      <c r="M241" s="116" t="s">
        <v>62</v>
      </c>
      <c r="N241" s="116" t="s">
        <v>324</v>
      </c>
      <c r="O241" s="116" t="s">
        <v>62</v>
      </c>
      <c r="P241" s="116" t="s">
        <v>324</v>
      </c>
      <c r="Q241" s="116" t="s">
        <v>369</v>
      </c>
      <c r="R241" s="116" t="s">
        <v>763</v>
      </c>
      <c r="S241" s="116"/>
      <c r="T241" s="116"/>
      <c r="U241" s="120" t="s">
        <v>60</v>
      </c>
      <c r="V241" s="120" t="s">
        <v>60</v>
      </c>
      <c r="W241" s="120" t="s">
        <v>60</v>
      </c>
      <c r="X241" s="120">
        <v>164.8</v>
      </c>
      <c r="Y241" s="120">
        <v>77.3</v>
      </c>
      <c r="Z241" s="120">
        <f t="shared" si="8"/>
        <v>28.461978037515312</v>
      </c>
      <c r="AA241" s="120" t="s">
        <v>325</v>
      </c>
      <c r="AB241" s="120" t="s">
        <v>60</v>
      </c>
      <c r="AC241" s="120" t="s">
        <v>62</v>
      </c>
      <c r="AD241" s="120" t="s">
        <v>62</v>
      </c>
      <c r="AE241" s="120" t="s">
        <v>62</v>
      </c>
      <c r="AF241" s="120" t="s">
        <v>62</v>
      </c>
      <c r="AG241" s="120" t="s">
        <v>764</v>
      </c>
    </row>
    <row r="242" spans="1:33">
      <c r="A242" s="116" t="s">
        <v>765</v>
      </c>
      <c r="B242" s="116" t="s">
        <v>324</v>
      </c>
      <c r="C242" s="98">
        <v>43782</v>
      </c>
      <c r="D242" s="95" t="s">
        <v>60</v>
      </c>
      <c r="E242" s="116">
        <v>61</v>
      </c>
      <c r="F242" s="117">
        <v>21311</v>
      </c>
      <c r="G242" s="116" t="s">
        <v>58</v>
      </c>
      <c r="H242" s="116" t="s">
        <v>116</v>
      </c>
      <c r="I242" s="116" t="s">
        <v>62</v>
      </c>
      <c r="J242" s="118" t="s">
        <v>324</v>
      </c>
      <c r="K242" s="116" t="s">
        <v>62</v>
      </c>
      <c r="L242" s="118" t="s">
        <v>324</v>
      </c>
      <c r="M242" s="116" t="s">
        <v>62</v>
      </c>
      <c r="N242" s="116" t="s">
        <v>324</v>
      </c>
      <c r="O242" s="116" t="s">
        <v>62</v>
      </c>
      <c r="P242" s="116" t="s">
        <v>324</v>
      </c>
      <c r="Q242" s="116" t="s">
        <v>457</v>
      </c>
      <c r="R242" s="116" t="s">
        <v>363</v>
      </c>
      <c r="S242" s="116"/>
      <c r="T242" s="116"/>
      <c r="U242" s="95" t="s">
        <v>62</v>
      </c>
      <c r="V242" s="95" t="s">
        <v>62</v>
      </c>
      <c r="W242" s="95" t="s">
        <v>62</v>
      </c>
      <c r="X242" s="95">
        <v>174.1</v>
      </c>
      <c r="Y242" s="95">
        <v>132.6</v>
      </c>
      <c r="Z242" s="95">
        <f t="shared" si="8"/>
        <v>43.746768892022359</v>
      </c>
      <c r="AA242" s="95" t="s">
        <v>325</v>
      </c>
      <c r="AB242" s="95" t="s">
        <v>60</v>
      </c>
      <c r="AC242" s="95"/>
      <c r="AD242" s="95" t="s">
        <v>60</v>
      </c>
      <c r="AE242" s="95" t="s">
        <v>60</v>
      </c>
      <c r="AF242" s="95"/>
      <c r="AG242" s="95"/>
    </row>
    <row r="243" spans="1:33">
      <c r="A243" s="116" t="s">
        <v>766</v>
      </c>
      <c r="B243" s="116" t="s">
        <v>324</v>
      </c>
      <c r="C243" s="98">
        <v>43780</v>
      </c>
      <c r="D243" s="95" t="s">
        <v>60</v>
      </c>
      <c r="E243" s="116">
        <v>59</v>
      </c>
      <c r="F243" s="117">
        <v>21901</v>
      </c>
      <c r="G243" s="116" t="s">
        <v>58</v>
      </c>
      <c r="H243" s="116" t="s">
        <v>116</v>
      </c>
      <c r="I243" s="116" t="s">
        <v>62</v>
      </c>
      <c r="J243" s="118" t="s">
        <v>324</v>
      </c>
      <c r="K243" s="116" t="s">
        <v>62</v>
      </c>
      <c r="L243" s="118" t="s">
        <v>324</v>
      </c>
      <c r="M243" s="116" t="s">
        <v>62</v>
      </c>
      <c r="N243" s="116" t="s">
        <v>324</v>
      </c>
      <c r="O243" s="116" t="s">
        <v>60</v>
      </c>
      <c r="P243" s="116" t="s">
        <v>60</v>
      </c>
      <c r="Q243" s="116" t="s">
        <v>348</v>
      </c>
      <c r="R243" s="116"/>
      <c r="S243" s="116"/>
      <c r="T243" s="116"/>
      <c r="U243" s="95" t="s">
        <v>60</v>
      </c>
      <c r="V243" s="95" t="s">
        <v>60</v>
      </c>
      <c r="W243" s="95" t="s">
        <v>60</v>
      </c>
      <c r="X243" s="95">
        <v>172</v>
      </c>
      <c r="Y243" s="95">
        <v>76.8</v>
      </c>
      <c r="Z243" s="95">
        <f t="shared" si="8"/>
        <v>25.959978366684695</v>
      </c>
      <c r="AA243" s="95" t="s">
        <v>325</v>
      </c>
      <c r="AB243" s="95" t="s">
        <v>60</v>
      </c>
      <c r="AC243" s="95" t="s">
        <v>60</v>
      </c>
      <c r="AD243" s="95" t="s">
        <v>60</v>
      </c>
      <c r="AE243" s="104" t="s">
        <v>60</v>
      </c>
      <c r="AF243" s="104" t="s">
        <v>60</v>
      </c>
      <c r="AG243" s="95"/>
    </row>
    <row r="244" spans="1:33" ht="43.2">
      <c r="A244" s="116" t="s">
        <v>767</v>
      </c>
      <c r="B244" s="116" t="s">
        <v>324</v>
      </c>
      <c r="C244" s="128">
        <v>43782</v>
      </c>
      <c r="D244" s="124" t="s">
        <v>60</v>
      </c>
      <c r="E244" s="116">
        <v>65</v>
      </c>
      <c r="F244" s="117">
        <v>19939</v>
      </c>
      <c r="G244" s="116" t="s">
        <v>58</v>
      </c>
      <c r="H244" s="116" t="s">
        <v>117</v>
      </c>
      <c r="I244" s="116" t="s">
        <v>62</v>
      </c>
      <c r="J244" s="118" t="s">
        <v>324</v>
      </c>
      <c r="K244" s="116" t="s">
        <v>60</v>
      </c>
      <c r="L244" s="118" t="s">
        <v>768</v>
      </c>
      <c r="M244" s="116" t="s">
        <v>62</v>
      </c>
      <c r="N244" s="116" t="s">
        <v>324</v>
      </c>
      <c r="O244" s="116" t="s">
        <v>62</v>
      </c>
      <c r="P244" s="116" t="s">
        <v>324</v>
      </c>
      <c r="Q244" s="116" t="s">
        <v>362</v>
      </c>
      <c r="R244" s="116" t="s">
        <v>348</v>
      </c>
      <c r="S244" s="116" t="s">
        <v>424</v>
      </c>
      <c r="T244" s="116"/>
      <c r="U244" s="124" t="s">
        <v>60</v>
      </c>
      <c r="V244" s="124"/>
      <c r="W244" s="124" t="s">
        <v>60</v>
      </c>
      <c r="X244" s="124">
        <v>171.1</v>
      </c>
      <c r="Y244" s="124">
        <v>110.3</v>
      </c>
      <c r="Z244" s="124">
        <f t="shared" si="8"/>
        <v>37.676928705208269</v>
      </c>
      <c r="AA244" s="124" t="s">
        <v>355</v>
      </c>
      <c r="AB244" s="124" t="s">
        <v>60</v>
      </c>
      <c r="AC244" s="124" t="s">
        <v>62</v>
      </c>
      <c r="AD244" s="124" t="s">
        <v>62</v>
      </c>
      <c r="AE244" s="124" t="s">
        <v>60</v>
      </c>
      <c r="AF244" s="124"/>
      <c r="AG244" s="124" t="s">
        <v>769</v>
      </c>
    </row>
    <row r="245" spans="1:33">
      <c r="A245" s="116" t="s">
        <v>770</v>
      </c>
      <c r="B245" s="116" t="s">
        <v>324</v>
      </c>
      <c r="C245" s="98">
        <v>43784</v>
      </c>
      <c r="D245" s="95" t="s">
        <v>60</v>
      </c>
      <c r="E245" s="116">
        <v>55</v>
      </c>
      <c r="F245" s="117">
        <v>23557</v>
      </c>
      <c r="G245" s="116" t="s">
        <v>58</v>
      </c>
      <c r="H245" s="116" t="s">
        <v>116</v>
      </c>
      <c r="I245" s="116" t="s">
        <v>62</v>
      </c>
      <c r="J245" s="118" t="s">
        <v>324</v>
      </c>
      <c r="K245" s="116" t="s">
        <v>62</v>
      </c>
      <c r="L245" s="118" t="s">
        <v>324</v>
      </c>
      <c r="M245" s="116" t="s">
        <v>62</v>
      </c>
      <c r="N245" s="116" t="s">
        <v>324</v>
      </c>
      <c r="O245" s="116" t="s">
        <v>62</v>
      </c>
      <c r="P245" s="116" t="s">
        <v>324</v>
      </c>
      <c r="Q245" s="116" t="s">
        <v>348</v>
      </c>
      <c r="R245" s="116" t="s">
        <v>477</v>
      </c>
      <c r="S245" s="116" t="s">
        <v>369</v>
      </c>
      <c r="T245" s="116"/>
      <c r="U245" s="95" t="s">
        <v>62</v>
      </c>
      <c r="V245" s="95" t="s">
        <v>62</v>
      </c>
      <c r="W245" s="95" t="s">
        <v>62</v>
      </c>
      <c r="X245" s="95">
        <v>180</v>
      </c>
      <c r="Y245" s="95">
        <v>105.6</v>
      </c>
      <c r="Z245" s="95">
        <f t="shared" si="8"/>
        <v>32.592592592592588</v>
      </c>
      <c r="AA245" s="95" t="s">
        <v>325</v>
      </c>
      <c r="AB245" s="95" t="s">
        <v>60</v>
      </c>
      <c r="AC245" s="95" t="s">
        <v>60</v>
      </c>
      <c r="AD245" s="95" t="s">
        <v>60</v>
      </c>
      <c r="AE245" s="95" t="s">
        <v>60</v>
      </c>
      <c r="AF245" s="95" t="s">
        <v>60</v>
      </c>
      <c r="AG245" s="95"/>
    </row>
    <row r="246" spans="1:33">
      <c r="A246" s="116" t="s">
        <v>771</v>
      </c>
      <c r="B246" s="116" t="s">
        <v>324</v>
      </c>
      <c r="C246" s="98">
        <v>43781</v>
      </c>
      <c r="D246" s="95" t="s">
        <v>60</v>
      </c>
      <c r="E246" s="116">
        <v>58</v>
      </c>
      <c r="F246" s="117">
        <v>22443</v>
      </c>
      <c r="G246" s="116" t="s">
        <v>61</v>
      </c>
      <c r="H246" s="116" t="s">
        <v>116</v>
      </c>
      <c r="I246" s="116" t="s">
        <v>62</v>
      </c>
      <c r="J246" s="118" t="s">
        <v>324</v>
      </c>
      <c r="K246" s="116" t="s">
        <v>62</v>
      </c>
      <c r="L246" s="118" t="s">
        <v>324</v>
      </c>
      <c r="M246" s="116" t="s">
        <v>62</v>
      </c>
      <c r="N246" s="116" t="s">
        <v>324</v>
      </c>
      <c r="O246" s="116" t="s">
        <v>62</v>
      </c>
      <c r="P246" s="116" t="s">
        <v>324</v>
      </c>
      <c r="Q246" s="116" t="s">
        <v>348</v>
      </c>
      <c r="R246" s="116"/>
      <c r="S246" s="116"/>
      <c r="T246" s="116"/>
      <c r="U246" s="95" t="s">
        <v>60</v>
      </c>
      <c r="V246" s="95" t="s">
        <v>60</v>
      </c>
      <c r="W246" s="95" t="s">
        <v>390</v>
      </c>
      <c r="X246" s="95">
        <v>168.4</v>
      </c>
      <c r="Y246" s="95">
        <v>84.8</v>
      </c>
      <c r="Z246" s="95">
        <f t="shared" si="8"/>
        <v>29.902787729701359</v>
      </c>
      <c r="AA246" s="95" t="s">
        <v>325</v>
      </c>
      <c r="AB246" s="95" t="s">
        <v>60</v>
      </c>
      <c r="AC246" s="95" t="s">
        <v>60</v>
      </c>
      <c r="AD246" s="95" t="s">
        <v>60</v>
      </c>
      <c r="AE246" s="95" t="s">
        <v>60</v>
      </c>
      <c r="AF246" s="95" t="s">
        <v>60</v>
      </c>
      <c r="AG246" s="95"/>
    </row>
    <row r="247" spans="1:33">
      <c r="A247" s="116" t="s">
        <v>1126</v>
      </c>
      <c r="B247" s="116" t="s">
        <v>324</v>
      </c>
      <c r="C247" s="98">
        <v>43794</v>
      </c>
      <c r="D247" s="95" t="s">
        <v>60</v>
      </c>
      <c r="E247" s="116">
        <v>48</v>
      </c>
      <c r="F247" s="117">
        <v>25901</v>
      </c>
      <c r="G247" s="116" t="s">
        <v>61</v>
      </c>
      <c r="H247" s="116" t="s">
        <v>116</v>
      </c>
      <c r="I247" s="116" t="s">
        <v>62</v>
      </c>
      <c r="J247" s="118" t="s">
        <v>324</v>
      </c>
      <c r="K247" s="116" t="s">
        <v>62</v>
      </c>
      <c r="L247" s="118" t="s">
        <v>324</v>
      </c>
      <c r="M247" s="116" t="s">
        <v>62</v>
      </c>
      <c r="N247" s="116" t="s">
        <v>324</v>
      </c>
      <c r="O247" s="116" t="s">
        <v>62</v>
      </c>
      <c r="P247" s="116" t="s">
        <v>324</v>
      </c>
      <c r="Q247" s="116" t="s">
        <v>362</v>
      </c>
      <c r="R247" s="116"/>
      <c r="S247" s="116"/>
      <c r="T247" s="116"/>
      <c r="U247" s="95" t="s">
        <v>60</v>
      </c>
      <c r="V247" s="95" t="s">
        <v>60</v>
      </c>
      <c r="W247" s="95" t="s">
        <v>60</v>
      </c>
      <c r="X247" s="95">
        <v>168.5</v>
      </c>
      <c r="Y247" s="95">
        <v>115.8</v>
      </c>
      <c r="Z247" s="95">
        <f t="shared" si="8"/>
        <v>40.785777809085218</v>
      </c>
      <c r="AA247" s="95" t="s">
        <v>325</v>
      </c>
      <c r="AB247" s="95" t="s">
        <v>60</v>
      </c>
      <c r="AC247" s="95"/>
      <c r="AD247" s="95" t="s">
        <v>60</v>
      </c>
      <c r="AE247" s="95" t="s">
        <v>60</v>
      </c>
      <c r="AF247" s="95"/>
      <c r="AG247" s="95"/>
    </row>
    <row r="248" spans="1:33" ht="72">
      <c r="A248" s="116" t="s">
        <v>772</v>
      </c>
      <c r="B248" s="116" t="s">
        <v>324</v>
      </c>
      <c r="C248" s="103">
        <v>43776</v>
      </c>
      <c r="D248" s="104" t="s">
        <v>60</v>
      </c>
      <c r="E248" s="116">
        <v>56</v>
      </c>
      <c r="F248" s="117">
        <v>23149</v>
      </c>
      <c r="G248" s="116" t="s">
        <v>61</v>
      </c>
      <c r="H248" s="116" t="s">
        <v>116</v>
      </c>
      <c r="I248" s="116" t="s">
        <v>62</v>
      </c>
      <c r="J248" s="118" t="s">
        <v>324</v>
      </c>
      <c r="K248" s="116" t="s">
        <v>60</v>
      </c>
      <c r="L248" s="118" t="s">
        <v>773</v>
      </c>
      <c r="M248" s="116" t="s">
        <v>62</v>
      </c>
      <c r="N248" s="116" t="s">
        <v>324</v>
      </c>
      <c r="O248" s="116" t="s">
        <v>62</v>
      </c>
      <c r="P248" s="116" t="s">
        <v>324</v>
      </c>
      <c r="Q248" s="116"/>
      <c r="R248" s="116"/>
      <c r="S248" s="116"/>
      <c r="T248" s="116"/>
      <c r="U248" s="104" t="s">
        <v>62</v>
      </c>
      <c r="V248" s="104" t="s">
        <v>62</v>
      </c>
      <c r="W248" s="104" t="s">
        <v>62</v>
      </c>
      <c r="X248" s="104">
        <v>163.30000000000001</v>
      </c>
      <c r="Y248" s="104">
        <v>69.900000000000006</v>
      </c>
      <c r="Z248" s="104">
        <f t="shared" si="8"/>
        <v>26.212280472151051</v>
      </c>
      <c r="AA248" s="104" t="s">
        <v>325</v>
      </c>
      <c r="AB248" s="104" t="s">
        <v>60</v>
      </c>
      <c r="AC248" s="104" t="s">
        <v>60</v>
      </c>
      <c r="AD248" s="104" t="s">
        <v>60</v>
      </c>
      <c r="AE248" s="104" t="s">
        <v>60</v>
      </c>
      <c r="AF248" s="104" t="s">
        <v>60</v>
      </c>
      <c r="AG248" s="104"/>
    </row>
    <row r="249" spans="1:33">
      <c r="A249" s="116" t="s">
        <v>774</v>
      </c>
      <c r="B249" s="116" t="s">
        <v>324</v>
      </c>
      <c r="C249" s="98">
        <v>43787</v>
      </c>
      <c r="D249" s="95" t="s">
        <v>60</v>
      </c>
      <c r="E249" s="116">
        <v>73</v>
      </c>
      <c r="F249" s="117">
        <v>16809</v>
      </c>
      <c r="G249" s="116" t="s">
        <v>61</v>
      </c>
      <c r="H249" s="116" t="s">
        <v>116</v>
      </c>
      <c r="I249" s="116" t="s">
        <v>62</v>
      </c>
      <c r="J249" s="118" t="s">
        <v>324</v>
      </c>
      <c r="K249" s="116" t="s">
        <v>62</v>
      </c>
      <c r="L249" s="118" t="s">
        <v>324</v>
      </c>
      <c r="M249" s="116" t="s">
        <v>62</v>
      </c>
      <c r="N249" s="116" t="s">
        <v>324</v>
      </c>
      <c r="O249" s="116" t="s">
        <v>62</v>
      </c>
      <c r="P249" s="116" t="s">
        <v>324</v>
      </c>
      <c r="Q249" s="116" t="s">
        <v>424</v>
      </c>
      <c r="R249" s="116" t="s">
        <v>483</v>
      </c>
      <c r="S249" s="116" t="s">
        <v>363</v>
      </c>
      <c r="T249" s="116"/>
      <c r="U249" s="95" t="s">
        <v>62</v>
      </c>
      <c r="V249" s="95" t="s">
        <v>62</v>
      </c>
      <c r="W249" s="95" t="s">
        <v>62</v>
      </c>
      <c r="X249" s="95">
        <v>165.8</v>
      </c>
      <c r="Y249" s="95">
        <v>71.400000000000006</v>
      </c>
      <c r="Z249" s="95">
        <f t="shared" si="8"/>
        <v>25.97342125979096</v>
      </c>
      <c r="AA249" s="95" t="s">
        <v>325</v>
      </c>
      <c r="AB249" s="95" t="s">
        <v>60</v>
      </c>
      <c r="AC249" s="95"/>
      <c r="AD249" s="95" t="s">
        <v>60</v>
      </c>
      <c r="AE249" s="95" t="s">
        <v>60</v>
      </c>
      <c r="AF249" s="95"/>
      <c r="AG249" s="95"/>
    </row>
    <row r="250" spans="1:33">
      <c r="A250" s="116" t="s">
        <v>775</v>
      </c>
      <c r="B250" s="116" t="s">
        <v>324</v>
      </c>
      <c r="C250" s="98">
        <v>43784</v>
      </c>
      <c r="D250" s="95" t="s">
        <v>60</v>
      </c>
      <c r="E250" s="116">
        <v>41</v>
      </c>
      <c r="F250" s="117">
        <v>28799</v>
      </c>
      <c r="G250" s="116" t="s">
        <v>58</v>
      </c>
      <c r="H250" s="116" t="s">
        <v>116</v>
      </c>
      <c r="I250" s="116" t="s">
        <v>62</v>
      </c>
      <c r="J250" s="118" t="s">
        <v>324</v>
      </c>
      <c r="K250" s="116" t="s">
        <v>62</v>
      </c>
      <c r="L250" s="118" t="s">
        <v>324</v>
      </c>
      <c r="M250" s="116" t="s">
        <v>62</v>
      </c>
      <c r="N250" s="116" t="s">
        <v>324</v>
      </c>
      <c r="O250" s="116" t="s">
        <v>62</v>
      </c>
      <c r="P250" s="116" t="s">
        <v>324</v>
      </c>
      <c r="Q250" s="116" t="s">
        <v>363</v>
      </c>
      <c r="R250" s="116"/>
      <c r="S250" s="116"/>
      <c r="T250" s="116"/>
      <c r="U250" s="95" t="s">
        <v>60</v>
      </c>
      <c r="V250" s="95" t="s">
        <v>60</v>
      </c>
      <c r="W250" s="95" t="s">
        <v>390</v>
      </c>
      <c r="X250" s="95">
        <v>184.4</v>
      </c>
      <c r="Y250" s="95">
        <v>101.9</v>
      </c>
      <c r="Z250" s="95">
        <f t="shared" si="8"/>
        <v>29.967626728652696</v>
      </c>
      <c r="AA250" s="95" t="s">
        <v>325</v>
      </c>
      <c r="AB250" s="95" t="s">
        <v>60</v>
      </c>
      <c r="AC250" s="95" t="s">
        <v>60</v>
      </c>
      <c r="AD250" s="95" t="s">
        <v>60</v>
      </c>
      <c r="AE250" s="95" t="s">
        <v>60</v>
      </c>
      <c r="AF250" s="95" t="s">
        <v>60</v>
      </c>
      <c r="AG250" s="95"/>
    </row>
    <row r="251" spans="1:33">
      <c r="A251" s="116" t="s">
        <v>776</v>
      </c>
      <c r="B251" s="116" t="s">
        <v>324</v>
      </c>
      <c r="C251" s="98">
        <v>43812</v>
      </c>
      <c r="D251" s="95" t="s">
        <v>60</v>
      </c>
      <c r="E251" s="116">
        <v>19</v>
      </c>
      <c r="F251" s="117">
        <v>36830</v>
      </c>
      <c r="G251" s="116" t="s">
        <v>61</v>
      </c>
      <c r="H251" s="116" t="s">
        <v>116</v>
      </c>
      <c r="I251" s="116" t="s">
        <v>62</v>
      </c>
      <c r="J251" s="118" t="s">
        <v>324</v>
      </c>
      <c r="K251" s="116" t="s">
        <v>62</v>
      </c>
      <c r="L251" s="118" t="s">
        <v>324</v>
      </c>
      <c r="M251" s="116" t="s">
        <v>62</v>
      </c>
      <c r="N251" s="116" t="s">
        <v>324</v>
      </c>
      <c r="O251" s="116" t="s">
        <v>62</v>
      </c>
      <c r="P251" s="116" t="s">
        <v>324</v>
      </c>
      <c r="Q251" s="116"/>
      <c r="R251" s="116"/>
      <c r="S251" s="116"/>
      <c r="T251" s="116"/>
      <c r="U251" s="95" t="s">
        <v>60</v>
      </c>
      <c r="V251" s="95" t="s">
        <v>60</v>
      </c>
      <c r="W251" s="95" t="s">
        <v>390</v>
      </c>
      <c r="X251" s="95">
        <v>158.30000000000001</v>
      </c>
      <c r="Y251" s="95">
        <v>50.8</v>
      </c>
      <c r="Z251" s="95">
        <f t="shared" si="8"/>
        <v>20.272246695683641</v>
      </c>
      <c r="AA251" s="95" t="s">
        <v>325</v>
      </c>
      <c r="AB251" s="95" t="s">
        <v>60</v>
      </c>
      <c r="AC251" s="95" t="s">
        <v>60</v>
      </c>
      <c r="AD251" s="95"/>
      <c r="AE251" s="95" t="s">
        <v>60</v>
      </c>
      <c r="AF251" s="95"/>
      <c r="AG251" s="95"/>
    </row>
    <row r="252" spans="1:33">
      <c r="A252" s="116" t="s">
        <v>777</v>
      </c>
      <c r="B252" s="116" t="s">
        <v>324</v>
      </c>
      <c r="C252" s="98">
        <v>43782</v>
      </c>
      <c r="D252" s="95" t="s">
        <v>60</v>
      </c>
      <c r="E252" s="116">
        <v>44</v>
      </c>
      <c r="F252" s="117">
        <v>27363</v>
      </c>
      <c r="G252" s="116" t="s">
        <v>61</v>
      </c>
      <c r="H252" s="116" t="s">
        <v>117</v>
      </c>
      <c r="I252" s="116" t="s">
        <v>62</v>
      </c>
      <c r="J252" s="118" t="s">
        <v>324</v>
      </c>
      <c r="K252" s="116" t="s">
        <v>62</v>
      </c>
      <c r="L252" s="118" t="s">
        <v>324</v>
      </c>
      <c r="M252" s="116" t="s">
        <v>62</v>
      </c>
      <c r="N252" s="116" t="s">
        <v>324</v>
      </c>
      <c r="O252" s="116" t="s">
        <v>62</v>
      </c>
      <c r="P252" s="116" t="s">
        <v>324</v>
      </c>
      <c r="Q252" s="116" t="s">
        <v>327</v>
      </c>
      <c r="R252" s="116" t="s">
        <v>348</v>
      </c>
      <c r="S252" s="116"/>
      <c r="T252" s="116"/>
      <c r="U252" s="95" t="s">
        <v>60</v>
      </c>
      <c r="V252" s="95" t="s">
        <v>62</v>
      </c>
      <c r="W252" s="95" t="s">
        <v>62</v>
      </c>
      <c r="X252" s="95">
        <v>168.05</v>
      </c>
      <c r="Y252" s="95">
        <v>100.6</v>
      </c>
      <c r="Z252" s="95">
        <f t="shared" si="8"/>
        <v>35.622217180266034</v>
      </c>
      <c r="AA252" s="95" t="s">
        <v>325</v>
      </c>
      <c r="AB252" s="95" t="s">
        <v>60</v>
      </c>
      <c r="AC252" s="95"/>
      <c r="AD252" s="95" t="s">
        <v>60</v>
      </c>
      <c r="AE252" s="95" t="s">
        <v>60</v>
      </c>
      <c r="AF252" s="95"/>
      <c r="AG252" s="95"/>
    </row>
    <row r="253" spans="1:33">
      <c r="A253" s="116" t="s">
        <v>778</v>
      </c>
      <c r="B253" s="116" t="s">
        <v>324</v>
      </c>
      <c r="C253" s="98">
        <v>43802</v>
      </c>
      <c r="D253" s="95" t="s">
        <v>60</v>
      </c>
      <c r="E253" s="116">
        <v>42</v>
      </c>
      <c r="F253" s="117">
        <v>28249</v>
      </c>
      <c r="G253" s="116" t="s">
        <v>61</v>
      </c>
      <c r="H253" s="116" t="s">
        <v>116</v>
      </c>
      <c r="I253" s="116" t="s">
        <v>62</v>
      </c>
      <c r="J253" s="118" t="s">
        <v>324</v>
      </c>
      <c r="K253" s="116" t="s">
        <v>62</v>
      </c>
      <c r="L253" s="118" t="s">
        <v>324</v>
      </c>
      <c r="M253" s="116" t="s">
        <v>62</v>
      </c>
      <c r="N253" s="116" t="s">
        <v>324</v>
      </c>
      <c r="O253" s="116" t="s">
        <v>62</v>
      </c>
      <c r="P253" s="116" t="s">
        <v>324</v>
      </c>
      <c r="Q253" s="116" t="s">
        <v>445</v>
      </c>
      <c r="R253" s="116"/>
      <c r="S253" s="116"/>
      <c r="T253" s="116"/>
      <c r="U253" s="95" t="s">
        <v>60</v>
      </c>
      <c r="V253" s="95" t="s">
        <v>60</v>
      </c>
      <c r="W253" s="95" t="s">
        <v>60</v>
      </c>
      <c r="X253" s="95">
        <v>170</v>
      </c>
      <c r="Y253" s="95">
        <v>61.1</v>
      </c>
      <c r="Z253" s="95">
        <f t="shared" si="8"/>
        <v>21.141868512110729</v>
      </c>
      <c r="AA253" s="95" t="s">
        <v>325</v>
      </c>
      <c r="AB253" s="95" t="s">
        <v>60</v>
      </c>
      <c r="AC253" s="95" t="s">
        <v>60</v>
      </c>
      <c r="AD253" s="95" t="s">
        <v>60</v>
      </c>
      <c r="AE253" s="95" t="s">
        <v>60</v>
      </c>
      <c r="AF253" s="95" t="s">
        <v>60</v>
      </c>
      <c r="AG253" s="95"/>
    </row>
    <row r="254" spans="1:33">
      <c r="A254" s="116" t="s">
        <v>779</v>
      </c>
      <c r="B254" s="116" t="s">
        <v>324</v>
      </c>
      <c r="C254" s="98">
        <v>43780</v>
      </c>
      <c r="D254" s="95" t="s">
        <v>60</v>
      </c>
      <c r="E254" s="116">
        <v>38</v>
      </c>
      <c r="F254" s="117">
        <v>29545</v>
      </c>
      <c r="G254" s="116" t="s">
        <v>58</v>
      </c>
      <c r="H254" s="116" t="s">
        <v>116</v>
      </c>
      <c r="I254" s="116" t="s">
        <v>62</v>
      </c>
      <c r="J254" s="118" t="s">
        <v>324</v>
      </c>
      <c r="K254" s="116" t="s">
        <v>62</v>
      </c>
      <c r="L254" s="118" t="s">
        <v>324</v>
      </c>
      <c r="M254" s="116" t="s">
        <v>62</v>
      </c>
      <c r="N254" s="116" t="s">
        <v>324</v>
      </c>
      <c r="O254" s="116" t="s">
        <v>62</v>
      </c>
      <c r="P254" s="116" t="s">
        <v>324</v>
      </c>
      <c r="Q254" s="116" t="s">
        <v>780</v>
      </c>
      <c r="R254" s="116"/>
      <c r="S254" s="116"/>
      <c r="T254" s="116"/>
      <c r="U254" s="95" t="s">
        <v>62</v>
      </c>
      <c r="V254" s="95" t="s">
        <v>62</v>
      </c>
      <c r="W254" s="95" t="s">
        <v>62</v>
      </c>
      <c r="X254" s="95">
        <v>167.1</v>
      </c>
      <c r="Y254" s="95">
        <v>91</v>
      </c>
      <c r="Z254" s="95">
        <f t="shared" si="8"/>
        <v>32.590310077102941</v>
      </c>
      <c r="AA254" s="95" t="s">
        <v>325</v>
      </c>
      <c r="AB254" s="95" t="s">
        <v>60</v>
      </c>
      <c r="AC254" s="95" t="s">
        <v>60</v>
      </c>
      <c r="AD254" s="95" t="s">
        <v>60</v>
      </c>
      <c r="AE254" s="95" t="s">
        <v>60</v>
      </c>
      <c r="AF254" s="95" t="s">
        <v>60</v>
      </c>
      <c r="AG254" s="95"/>
    </row>
    <row r="255" spans="1:33">
      <c r="A255" s="116" t="s">
        <v>781</v>
      </c>
      <c r="B255" s="116" t="s">
        <v>324</v>
      </c>
      <c r="C255" s="98">
        <v>43802</v>
      </c>
      <c r="D255" s="95" t="s">
        <v>60</v>
      </c>
      <c r="E255" s="116">
        <v>50</v>
      </c>
      <c r="F255" s="117">
        <v>25262</v>
      </c>
      <c r="G255" s="116" t="s">
        <v>61</v>
      </c>
      <c r="H255" s="116" t="s">
        <v>116</v>
      </c>
      <c r="I255" s="116" t="s">
        <v>62</v>
      </c>
      <c r="J255" s="118" t="s">
        <v>324</v>
      </c>
      <c r="K255" s="116" t="s">
        <v>62</v>
      </c>
      <c r="L255" s="118" t="s">
        <v>324</v>
      </c>
      <c r="M255" s="116" t="s">
        <v>62</v>
      </c>
      <c r="N255" s="116" t="s">
        <v>324</v>
      </c>
      <c r="O255" s="116" t="s">
        <v>62</v>
      </c>
      <c r="P255" s="116" t="s">
        <v>324</v>
      </c>
      <c r="Q255" s="116"/>
      <c r="R255" s="116"/>
      <c r="S255" s="116"/>
      <c r="T255" s="116"/>
      <c r="U255" s="95" t="s">
        <v>60</v>
      </c>
      <c r="V255" s="95" t="s">
        <v>60</v>
      </c>
      <c r="W255" s="95" t="s">
        <v>60</v>
      </c>
      <c r="X255" s="95">
        <v>150.19999999999999</v>
      </c>
      <c r="Y255" s="95">
        <v>50.3</v>
      </c>
      <c r="Z255" s="95">
        <f t="shared" si="8"/>
        <v>22.296059758759299</v>
      </c>
      <c r="AA255" s="95" t="s">
        <v>325</v>
      </c>
      <c r="AB255" s="95" t="s">
        <v>60</v>
      </c>
      <c r="AC255" s="95" t="s">
        <v>60</v>
      </c>
      <c r="AD255" s="95" t="s">
        <v>60</v>
      </c>
      <c r="AE255" s="95" t="s">
        <v>60</v>
      </c>
      <c r="AF255" s="95"/>
      <c r="AG255" s="95"/>
    </row>
    <row r="256" spans="1:33" ht="57.6">
      <c r="A256" s="116" t="s">
        <v>782</v>
      </c>
      <c r="B256" s="116" t="s">
        <v>324</v>
      </c>
      <c r="C256" s="98">
        <v>43809</v>
      </c>
      <c r="D256" s="95" t="s">
        <v>60</v>
      </c>
      <c r="E256" s="116">
        <v>42</v>
      </c>
      <c r="F256" s="117">
        <v>28277</v>
      </c>
      <c r="G256" s="116" t="s">
        <v>58</v>
      </c>
      <c r="H256" s="116" t="s">
        <v>116</v>
      </c>
      <c r="I256" s="116" t="s">
        <v>62</v>
      </c>
      <c r="J256" s="118" t="s">
        <v>324</v>
      </c>
      <c r="K256" s="116" t="s">
        <v>60</v>
      </c>
      <c r="L256" s="118" t="s">
        <v>783</v>
      </c>
      <c r="M256" s="116" t="s">
        <v>62</v>
      </c>
      <c r="N256" s="116" t="s">
        <v>324</v>
      </c>
      <c r="O256" s="116" t="s">
        <v>62</v>
      </c>
      <c r="P256" s="116" t="s">
        <v>324</v>
      </c>
      <c r="Q256" s="116" t="s">
        <v>369</v>
      </c>
      <c r="R256" s="116"/>
      <c r="S256" s="116"/>
      <c r="T256" s="116"/>
      <c r="U256" s="95" t="s">
        <v>60</v>
      </c>
      <c r="V256" s="95" t="s">
        <v>62</v>
      </c>
      <c r="W256" s="95" t="s">
        <v>62</v>
      </c>
      <c r="X256" s="95">
        <v>172.2</v>
      </c>
      <c r="Y256" s="95">
        <v>75.3</v>
      </c>
      <c r="Z256" s="95">
        <f t="shared" si="8"/>
        <v>25.393857721553818</v>
      </c>
      <c r="AA256" s="95" t="s">
        <v>325</v>
      </c>
      <c r="AB256" s="95" t="s">
        <v>60</v>
      </c>
      <c r="AC256" s="95" t="s">
        <v>60</v>
      </c>
      <c r="AD256" s="95" t="s">
        <v>60</v>
      </c>
      <c r="AE256" s="95" t="s">
        <v>60</v>
      </c>
      <c r="AF256" s="95"/>
      <c r="AG256" s="95"/>
    </row>
    <row r="257" spans="1:33">
      <c r="A257" s="116" t="s">
        <v>784</v>
      </c>
      <c r="B257" s="116" t="s">
        <v>324</v>
      </c>
      <c r="C257" s="98">
        <v>43788</v>
      </c>
      <c r="D257" s="95" t="s">
        <v>60</v>
      </c>
      <c r="E257" s="116">
        <v>57</v>
      </c>
      <c r="F257" s="117">
        <v>22687</v>
      </c>
      <c r="G257" s="116" t="s">
        <v>61</v>
      </c>
      <c r="H257" s="116" t="s">
        <v>116</v>
      </c>
      <c r="I257" s="116" t="s">
        <v>62</v>
      </c>
      <c r="J257" s="118" t="s">
        <v>324</v>
      </c>
      <c r="K257" s="116" t="s">
        <v>62</v>
      </c>
      <c r="L257" s="118" t="s">
        <v>324</v>
      </c>
      <c r="M257" s="116" t="s">
        <v>62</v>
      </c>
      <c r="N257" s="116" t="s">
        <v>324</v>
      </c>
      <c r="O257" s="116" t="s">
        <v>60</v>
      </c>
      <c r="P257" s="116" t="s">
        <v>60</v>
      </c>
      <c r="Q257" s="116" t="s">
        <v>348</v>
      </c>
      <c r="R257" s="116"/>
      <c r="S257" s="116"/>
      <c r="T257" s="116"/>
      <c r="U257" s="95" t="s">
        <v>60</v>
      </c>
      <c r="V257" s="95" t="s">
        <v>60</v>
      </c>
      <c r="W257" s="95" t="s">
        <v>390</v>
      </c>
      <c r="X257" s="95">
        <v>160.4</v>
      </c>
      <c r="Y257" s="95">
        <v>103.3</v>
      </c>
      <c r="Z257" s="95">
        <f t="shared" si="8"/>
        <v>40.150558765181799</v>
      </c>
      <c r="AA257" s="95" t="s">
        <v>325</v>
      </c>
      <c r="AB257" s="95" t="s">
        <v>60</v>
      </c>
      <c r="AC257" s="95"/>
      <c r="AD257" s="95" t="s">
        <v>60</v>
      </c>
      <c r="AE257" s="95" t="s">
        <v>60</v>
      </c>
      <c r="AF257" s="95"/>
      <c r="AG257" s="95"/>
    </row>
    <row r="258" spans="1:33">
      <c r="A258" s="116" t="s">
        <v>785</v>
      </c>
      <c r="B258" s="116" t="s">
        <v>324</v>
      </c>
      <c r="C258" s="98">
        <v>43781</v>
      </c>
      <c r="D258" s="95" t="s">
        <v>60</v>
      </c>
      <c r="E258" s="116">
        <v>64</v>
      </c>
      <c r="F258" s="117">
        <v>20213</v>
      </c>
      <c r="G258" s="116" t="s">
        <v>58</v>
      </c>
      <c r="H258" s="116" t="s">
        <v>116</v>
      </c>
      <c r="I258" s="116" t="s">
        <v>62</v>
      </c>
      <c r="J258" s="118" t="s">
        <v>324</v>
      </c>
      <c r="K258" s="116" t="s">
        <v>62</v>
      </c>
      <c r="L258" s="118" t="s">
        <v>324</v>
      </c>
      <c r="M258" s="116" t="s">
        <v>62</v>
      </c>
      <c r="N258" s="116" t="s">
        <v>324</v>
      </c>
      <c r="O258" s="116" t="s">
        <v>60</v>
      </c>
      <c r="P258" s="116" t="s">
        <v>60</v>
      </c>
      <c r="Q258" s="116"/>
      <c r="R258" s="116"/>
      <c r="S258" s="116"/>
      <c r="T258" s="116"/>
      <c r="U258" s="95" t="s">
        <v>62</v>
      </c>
      <c r="V258" s="95" t="s">
        <v>62</v>
      </c>
      <c r="W258" s="95" t="s">
        <v>62</v>
      </c>
      <c r="X258" s="95">
        <v>187.5</v>
      </c>
      <c r="Y258" s="95">
        <v>112.8</v>
      </c>
      <c r="Z258" s="95">
        <f t="shared" si="8"/>
        <v>32.085333333333331</v>
      </c>
      <c r="AA258" s="95" t="s">
        <v>325</v>
      </c>
      <c r="AB258" s="95" t="s">
        <v>60</v>
      </c>
      <c r="AC258" s="95" t="s">
        <v>60</v>
      </c>
      <c r="AD258" s="95" t="s">
        <v>60</v>
      </c>
      <c r="AE258" s="95" t="s">
        <v>60</v>
      </c>
      <c r="AF258" s="95" t="s">
        <v>60</v>
      </c>
      <c r="AG258" s="95"/>
    </row>
    <row r="259" spans="1:33">
      <c r="A259" s="116" t="s">
        <v>786</v>
      </c>
      <c r="B259" s="116" t="s">
        <v>324</v>
      </c>
      <c r="C259" s="98">
        <v>43802</v>
      </c>
      <c r="D259" s="95" t="s">
        <v>60</v>
      </c>
      <c r="E259" s="116">
        <v>56</v>
      </c>
      <c r="F259" s="117">
        <v>23295</v>
      </c>
      <c r="G259" s="116" t="s">
        <v>61</v>
      </c>
      <c r="H259" s="116" t="s">
        <v>116</v>
      </c>
      <c r="I259" s="116" t="s">
        <v>62</v>
      </c>
      <c r="J259" s="118" t="s">
        <v>324</v>
      </c>
      <c r="K259" s="116" t="s">
        <v>62</v>
      </c>
      <c r="L259" s="118" t="s">
        <v>324</v>
      </c>
      <c r="M259" s="116" t="s">
        <v>62</v>
      </c>
      <c r="N259" s="116" t="s">
        <v>324</v>
      </c>
      <c r="O259" s="116" t="s">
        <v>62</v>
      </c>
      <c r="P259" s="116" t="s">
        <v>324</v>
      </c>
      <c r="Q259" s="116" t="s">
        <v>410</v>
      </c>
      <c r="R259" s="116"/>
      <c r="S259" s="116"/>
      <c r="T259" s="116"/>
      <c r="U259" s="95" t="s">
        <v>60</v>
      </c>
      <c r="V259" s="95" t="s">
        <v>60</v>
      </c>
      <c r="W259" s="95" t="s">
        <v>60</v>
      </c>
      <c r="X259" s="95">
        <v>166</v>
      </c>
      <c r="Y259" s="95">
        <v>58.8</v>
      </c>
      <c r="Z259" s="95">
        <f t="shared" si="8"/>
        <v>21.338365510233707</v>
      </c>
      <c r="AA259" s="95" t="s">
        <v>325</v>
      </c>
      <c r="AB259" s="95" t="s">
        <v>60</v>
      </c>
      <c r="AC259" s="95" t="s">
        <v>60</v>
      </c>
      <c r="AD259" s="95" t="s">
        <v>60</v>
      </c>
      <c r="AE259" s="95" t="s">
        <v>60</v>
      </c>
      <c r="AF259" s="95"/>
      <c r="AG259" s="95"/>
    </row>
    <row r="260" spans="1:33" ht="86.4">
      <c r="A260" s="116" t="s">
        <v>787</v>
      </c>
      <c r="B260" s="116" t="s">
        <v>324</v>
      </c>
      <c r="C260" s="98">
        <v>43788</v>
      </c>
      <c r="D260" s="95" t="s">
        <v>60</v>
      </c>
      <c r="E260" s="116">
        <v>52</v>
      </c>
      <c r="F260" s="117">
        <v>24717</v>
      </c>
      <c r="G260" s="116" t="s">
        <v>58</v>
      </c>
      <c r="H260" s="116" t="s">
        <v>116</v>
      </c>
      <c r="I260" s="116" t="s">
        <v>62</v>
      </c>
      <c r="J260" s="118" t="s">
        <v>324</v>
      </c>
      <c r="K260" s="116" t="s">
        <v>60</v>
      </c>
      <c r="L260" s="118" t="s">
        <v>788</v>
      </c>
      <c r="M260" s="116" t="s">
        <v>62</v>
      </c>
      <c r="N260" s="116" t="s">
        <v>324</v>
      </c>
      <c r="O260" s="116" t="s">
        <v>60</v>
      </c>
      <c r="P260" s="116" t="s">
        <v>62</v>
      </c>
      <c r="Q260" s="116"/>
      <c r="R260" s="116"/>
      <c r="S260" s="116"/>
      <c r="T260" s="116"/>
      <c r="U260" s="95" t="s">
        <v>60</v>
      </c>
      <c r="V260" s="95" t="s">
        <v>60</v>
      </c>
      <c r="W260" s="95" t="s">
        <v>60</v>
      </c>
      <c r="X260" s="95">
        <v>189</v>
      </c>
      <c r="Y260" s="95">
        <v>98.2</v>
      </c>
      <c r="Z260" s="95">
        <f t="shared" si="8"/>
        <v>27.49083172363596</v>
      </c>
      <c r="AA260" s="95" t="s">
        <v>325</v>
      </c>
      <c r="AB260" s="95" t="s">
        <v>60</v>
      </c>
      <c r="AC260" s="95" t="s">
        <v>60</v>
      </c>
      <c r="AD260" s="95" t="s">
        <v>60</v>
      </c>
      <c r="AE260" s="95" t="s">
        <v>60</v>
      </c>
      <c r="AF260" s="95"/>
      <c r="AG260" s="95"/>
    </row>
    <row r="261" spans="1:33" ht="43.2">
      <c r="A261" s="116" t="s">
        <v>789</v>
      </c>
      <c r="B261" s="116" t="s">
        <v>324</v>
      </c>
      <c r="C261" s="98">
        <v>43802</v>
      </c>
      <c r="D261" s="95" t="s">
        <v>60</v>
      </c>
      <c r="E261" s="116">
        <v>18</v>
      </c>
      <c r="F261" s="117">
        <v>37116</v>
      </c>
      <c r="G261" s="116" t="s">
        <v>58</v>
      </c>
      <c r="H261" s="116" t="s">
        <v>116</v>
      </c>
      <c r="I261" s="116" t="s">
        <v>62</v>
      </c>
      <c r="J261" s="118" t="s">
        <v>324</v>
      </c>
      <c r="K261" s="116" t="s">
        <v>60</v>
      </c>
      <c r="L261" s="118" t="s">
        <v>790</v>
      </c>
      <c r="M261" s="116" t="s">
        <v>62</v>
      </c>
      <c r="N261" s="116" t="s">
        <v>324</v>
      </c>
      <c r="O261" s="116" t="s">
        <v>62</v>
      </c>
      <c r="P261" s="116" t="s">
        <v>324</v>
      </c>
      <c r="Q261" s="116"/>
      <c r="R261" s="116"/>
      <c r="S261" s="116"/>
      <c r="T261" s="116"/>
      <c r="U261" s="95" t="s">
        <v>60</v>
      </c>
      <c r="V261" s="95" t="s">
        <v>60</v>
      </c>
      <c r="W261" s="95" t="s">
        <v>390</v>
      </c>
      <c r="X261" s="95">
        <v>179.1</v>
      </c>
      <c r="Y261" s="95">
        <v>55.9</v>
      </c>
      <c r="Z261" s="95">
        <f t="shared" si="8"/>
        <v>17.4269199462166</v>
      </c>
      <c r="AA261" s="95" t="s">
        <v>325</v>
      </c>
      <c r="AB261" s="95" t="s">
        <v>60</v>
      </c>
      <c r="AC261" s="95" t="s">
        <v>60</v>
      </c>
      <c r="AD261" s="95" t="s">
        <v>60</v>
      </c>
      <c r="AE261" s="95" t="s">
        <v>60</v>
      </c>
      <c r="AF261" s="95" t="s">
        <v>60</v>
      </c>
      <c r="AG261" s="95"/>
    </row>
    <row r="262" spans="1:33">
      <c r="A262" s="116" t="s">
        <v>791</v>
      </c>
      <c r="B262" s="116" t="s">
        <v>324</v>
      </c>
      <c r="C262" s="98">
        <v>43782</v>
      </c>
      <c r="D262" s="95" t="s">
        <v>60</v>
      </c>
      <c r="E262" s="116">
        <v>20</v>
      </c>
      <c r="F262" s="117">
        <v>36357</v>
      </c>
      <c r="G262" s="116" t="s">
        <v>61</v>
      </c>
      <c r="H262" s="116" t="s">
        <v>116</v>
      </c>
      <c r="I262" s="116" t="s">
        <v>62</v>
      </c>
      <c r="J262" s="118" t="s">
        <v>324</v>
      </c>
      <c r="K262" s="116" t="s">
        <v>62</v>
      </c>
      <c r="L262" s="118" t="s">
        <v>324</v>
      </c>
      <c r="M262" s="116" t="s">
        <v>62</v>
      </c>
      <c r="N262" s="116" t="s">
        <v>324</v>
      </c>
      <c r="O262" s="116" t="s">
        <v>62</v>
      </c>
      <c r="P262" s="116" t="s">
        <v>324</v>
      </c>
      <c r="Q262" s="116"/>
      <c r="R262" s="116"/>
      <c r="S262" s="116"/>
      <c r="T262" s="116"/>
      <c r="U262" s="95" t="s">
        <v>60</v>
      </c>
      <c r="V262" s="95" t="s">
        <v>62</v>
      </c>
      <c r="W262" s="95" t="s">
        <v>62</v>
      </c>
      <c r="X262" s="95">
        <v>173</v>
      </c>
      <c r="Y262" s="95">
        <v>69.099999999999994</v>
      </c>
      <c r="Z262" s="95">
        <f t="shared" si="8"/>
        <v>23.087974873868152</v>
      </c>
      <c r="AA262" s="95" t="s">
        <v>325</v>
      </c>
      <c r="AB262" s="95" t="s">
        <v>60</v>
      </c>
      <c r="AC262" s="95"/>
      <c r="AD262" s="95"/>
      <c r="AE262" s="95" t="s">
        <v>60</v>
      </c>
      <c r="AF262" s="95"/>
      <c r="AG262" s="95"/>
    </row>
    <row r="263" spans="1:33">
      <c r="A263" s="116" t="s">
        <v>792</v>
      </c>
      <c r="B263" s="116" t="s">
        <v>793</v>
      </c>
      <c r="C263" s="98">
        <v>43789</v>
      </c>
      <c r="D263" s="95" t="s">
        <v>60</v>
      </c>
      <c r="E263" s="116">
        <v>44</v>
      </c>
      <c r="F263" s="117">
        <v>27631</v>
      </c>
      <c r="G263" s="116" t="s">
        <v>61</v>
      </c>
      <c r="H263" s="116" t="s">
        <v>117</v>
      </c>
      <c r="I263" s="116" t="s">
        <v>62</v>
      </c>
      <c r="J263" s="118" t="s">
        <v>324</v>
      </c>
      <c r="K263" s="116" t="s">
        <v>62</v>
      </c>
      <c r="L263" s="118" t="s">
        <v>324</v>
      </c>
      <c r="M263" s="116" t="s">
        <v>62</v>
      </c>
      <c r="N263" s="116" t="s">
        <v>324</v>
      </c>
      <c r="O263" s="116" t="s">
        <v>62</v>
      </c>
      <c r="P263" s="116" t="s">
        <v>324</v>
      </c>
      <c r="Q263" s="116" t="s">
        <v>794</v>
      </c>
      <c r="R263" s="116"/>
      <c r="S263" s="116"/>
      <c r="T263" s="116"/>
      <c r="U263" s="95" t="s">
        <v>60</v>
      </c>
      <c r="V263" s="95" t="s">
        <v>60</v>
      </c>
      <c r="W263" s="95" t="s">
        <v>60</v>
      </c>
      <c r="X263" s="95">
        <v>168.6</v>
      </c>
      <c r="Y263" s="95">
        <v>69.400000000000006</v>
      </c>
      <c r="Z263" s="95">
        <f t="shared" si="8"/>
        <v>24.414302982203594</v>
      </c>
      <c r="AA263" s="95" t="s">
        <v>325</v>
      </c>
      <c r="AB263" s="95" t="s">
        <v>60</v>
      </c>
      <c r="AC263" s="95" t="s">
        <v>60</v>
      </c>
      <c r="AD263" s="95" t="s">
        <v>60</v>
      </c>
      <c r="AE263" s="95" t="s">
        <v>60</v>
      </c>
      <c r="AF263" s="95" t="s">
        <v>60</v>
      </c>
      <c r="AG263" s="95"/>
    </row>
    <row r="264" spans="1:33" ht="43.2">
      <c r="A264" s="116" t="s">
        <v>795</v>
      </c>
      <c r="B264" s="116" t="s">
        <v>796</v>
      </c>
      <c r="C264" s="98">
        <v>43789</v>
      </c>
      <c r="D264" s="95" t="s">
        <v>60</v>
      </c>
      <c r="E264" s="116">
        <v>30</v>
      </c>
      <c r="F264" s="117">
        <v>32820</v>
      </c>
      <c r="G264" s="116" t="s">
        <v>58</v>
      </c>
      <c r="H264" s="116" t="s">
        <v>333</v>
      </c>
      <c r="I264" s="116" t="s">
        <v>62</v>
      </c>
      <c r="J264" s="118" t="s">
        <v>324</v>
      </c>
      <c r="K264" s="116" t="s">
        <v>60</v>
      </c>
      <c r="L264" s="118" t="s">
        <v>797</v>
      </c>
      <c r="M264" s="116" t="s">
        <v>62</v>
      </c>
      <c r="N264" s="116" t="s">
        <v>324</v>
      </c>
      <c r="O264" s="116" t="s">
        <v>62</v>
      </c>
      <c r="P264" s="116" t="s">
        <v>324</v>
      </c>
      <c r="Q264" s="116"/>
      <c r="R264" s="116"/>
      <c r="S264" s="116"/>
      <c r="T264" s="116"/>
      <c r="U264" s="95" t="s">
        <v>60</v>
      </c>
      <c r="V264" s="95" t="s">
        <v>62</v>
      </c>
      <c r="W264" s="95" t="s">
        <v>62</v>
      </c>
      <c r="X264" s="95">
        <v>160.5</v>
      </c>
      <c r="Y264" s="95">
        <v>61.3</v>
      </c>
      <c r="Z264" s="95">
        <f t="shared" si="8"/>
        <v>23.796352908065721</v>
      </c>
      <c r="AA264" s="95" t="s">
        <v>325</v>
      </c>
      <c r="AB264" s="95" t="s">
        <v>60</v>
      </c>
      <c r="AC264" s="95"/>
      <c r="AD264" s="95" t="s">
        <v>60</v>
      </c>
      <c r="AE264" s="95" t="s">
        <v>60</v>
      </c>
      <c r="AF264" s="95"/>
      <c r="AG264" s="95"/>
    </row>
    <row r="265" spans="1:33">
      <c r="A265" s="116" t="s">
        <v>1127</v>
      </c>
      <c r="B265" s="116" t="s">
        <v>324</v>
      </c>
      <c r="C265" s="98">
        <v>43787</v>
      </c>
      <c r="D265" s="95" t="s">
        <v>60</v>
      </c>
      <c r="E265" s="116">
        <v>44</v>
      </c>
      <c r="F265" s="117">
        <v>27603</v>
      </c>
      <c r="G265" s="116" t="s">
        <v>61</v>
      </c>
      <c r="H265" s="116" t="s">
        <v>116</v>
      </c>
      <c r="I265" s="116" t="s">
        <v>62</v>
      </c>
      <c r="J265" s="118" t="s">
        <v>324</v>
      </c>
      <c r="K265" s="116" t="s">
        <v>62</v>
      </c>
      <c r="L265" s="118" t="s">
        <v>324</v>
      </c>
      <c r="M265" s="116" t="s">
        <v>62</v>
      </c>
      <c r="N265" s="116" t="s">
        <v>324</v>
      </c>
      <c r="O265" s="116" t="s">
        <v>62</v>
      </c>
      <c r="P265" s="116" t="s">
        <v>324</v>
      </c>
      <c r="Q265" s="116"/>
      <c r="R265" s="116"/>
      <c r="S265" s="116"/>
      <c r="T265" s="116"/>
      <c r="U265" s="95" t="s">
        <v>62</v>
      </c>
      <c r="V265" s="95" t="s">
        <v>62</v>
      </c>
      <c r="W265" s="95" t="s">
        <v>62</v>
      </c>
      <c r="X265" s="95">
        <v>176.8</v>
      </c>
      <c r="Y265" s="95">
        <v>70.900000000000006</v>
      </c>
      <c r="Z265" s="95">
        <f t="shared" si="8"/>
        <v>22.68201920517598</v>
      </c>
      <c r="AA265" s="95" t="s">
        <v>325</v>
      </c>
      <c r="AB265" s="95" t="s">
        <v>60</v>
      </c>
      <c r="AC265" s="95" t="s">
        <v>60</v>
      </c>
      <c r="AD265" s="95" t="s">
        <v>60</v>
      </c>
      <c r="AE265" s="95" t="s">
        <v>60</v>
      </c>
      <c r="AF265" s="95" t="s">
        <v>60</v>
      </c>
      <c r="AG265" s="95"/>
    </row>
    <row r="266" spans="1:33" ht="57.6">
      <c r="A266" s="116" t="s">
        <v>1128</v>
      </c>
      <c r="B266" s="116" t="s">
        <v>324</v>
      </c>
      <c r="C266" s="98">
        <v>43783</v>
      </c>
      <c r="D266" s="95" t="s">
        <v>60</v>
      </c>
      <c r="E266" s="116">
        <v>53</v>
      </c>
      <c r="F266" s="117">
        <v>24062</v>
      </c>
      <c r="G266" s="116" t="s">
        <v>61</v>
      </c>
      <c r="H266" s="116" t="s">
        <v>116</v>
      </c>
      <c r="I266" s="116" t="s">
        <v>62</v>
      </c>
      <c r="J266" s="118" t="s">
        <v>324</v>
      </c>
      <c r="K266" s="116" t="s">
        <v>60</v>
      </c>
      <c r="L266" s="118" t="s">
        <v>798</v>
      </c>
      <c r="M266" s="116" t="s">
        <v>341</v>
      </c>
      <c r="N266" s="116" t="s">
        <v>324</v>
      </c>
      <c r="O266" s="116" t="s">
        <v>62</v>
      </c>
      <c r="P266" s="116" t="s">
        <v>324</v>
      </c>
      <c r="Q266" s="116" t="s">
        <v>445</v>
      </c>
      <c r="R266" s="116" t="s">
        <v>545</v>
      </c>
      <c r="S266" s="116"/>
      <c r="T266" s="116"/>
      <c r="U266" s="95" t="s">
        <v>62</v>
      </c>
      <c r="V266" s="95" t="s">
        <v>60</v>
      </c>
      <c r="W266" s="95" t="s">
        <v>60</v>
      </c>
      <c r="X266" s="95">
        <v>159.6</v>
      </c>
      <c r="Y266" s="95">
        <v>84.3</v>
      </c>
      <c r="Z266" s="95">
        <f t="shared" si="8"/>
        <v>33.094955433697024</v>
      </c>
      <c r="AA266" s="95" t="s">
        <v>325</v>
      </c>
      <c r="AB266" s="95" t="s">
        <v>60</v>
      </c>
      <c r="AC266" s="95"/>
      <c r="AD266" s="95" t="s">
        <v>60</v>
      </c>
      <c r="AE266" s="95" t="s">
        <v>60</v>
      </c>
      <c r="AF266" s="95"/>
      <c r="AG266" s="95"/>
    </row>
    <row r="267" spans="1:33" ht="28.8">
      <c r="A267" s="116" t="s">
        <v>799</v>
      </c>
      <c r="B267" s="116" t="s">
        <v>324</v>
      </c>
      <c r="C267" s="98">
        <v>43810</v>
      </c>
      <c r="D267" s="95" t="s">
        <v>60</v>
      </c>
      <c r="E267" s="116">
        <v>36</v>
      </c>
      <c r="F267" s="117">
        <v>30657</v>
      </c>
      <c r="G267" s="116" t="s">
        <v>58</v>
      </c>
      <c r="H267" s="116" t="s">
        <v>116</v>
      </c>
      <c r="I267" s="116" t="s">
        <v>62</v>
      </c>
      <c r="J267" s="118" t="s">
        <v>324</v>
      </c>
      <c r="K267" s="116" t="s">
        <v>60</v>
      </c>
      <c r="L267" s="118" t="s">
        <v>800</v>
      </c>
      <c r="M267" s="116" t="s">
        <v>62</v>
      </c>
      <c r="N267" s="116" t="s">
        <v>324</v>
      </c>
      <c r="O267" s="116" t="s">
        <v>60</v>
      </c>
      <c r="P267" s="116" t="s">
        <v>801</v>
      </c>
      <c r="Q267" s="116" t="s">
        <v>457</v>
      </c>
      <c r="R267" s="116"/>
      <c r="S267" s="116"/>
      <c r="T267" s="116"/>
      <c r="U267" s="95" t="s">
        <v>62</v>
      </c>
      <c r="V267" s="95" t="s">
        <v>62</v>
      </c>
      <c r="W267" s="95" t="s">
        <v>62</v>
      </c>
      <c r="X267" s="95">
        <v>179.8</v>
      </c>
      <c r="Y267" s="95">
        <v>123</v>
      </c>
      <c r="Z267" s="95">
        <f t="shared" si="8"/>
        <v>38.047465915038458</v>
      </c>
      <c r="AA267" s="95" t="s">
        <v>325</v>
      </c>
      <c r="AB267" s="95" t="s">
        <v>60</v>
      </c>
      <c r="AC267" s="95" t="s">
        <v>60</v>
      </c>
      <c r="AD267" s="95" t="s">
        <v>60</v>
      </c>
      <c r="AE267" s="95" t="s">
        <v>60</v>
      </c>
      <c r="AF267" s="95"/>
      <c r="AG267" s="95"/>
    </row>
    <row r="268" spans="1:33">
      <c r="A268" s="116" t="s">
        <v>802</v>
      </c>
      <c r="B268" s="116" t="s">
        <v>324</v>
      </c>
      <c r="C268" s="98">
        <v>43801</v>
      </c>
      <c r="D268" s="95" t="s">
        <v>60</v>
      </c>
      <c r="E268" s="116">
        <v>58</v>
      </c>
      <c r="F268" s="117">
        <v>22270</v>
      </c>
      <c r="G268" s="116" t="s">
        <v>61</v>
      </c>
      <c r="H268" s="116" t="s">
        <v>116</v>
      </c>
      <c r="I268" s="116" t="s">
        <v>62</v>
      </c>
      <c r="J268" s="118" t="s">
        <v>324</v>
      </c>
      <c r="K268" s="116" t="s">
        <v>62</v>
      </c>
      <c r="L268" s="118" t="s">
        <v>324</v>
      </c>
      <c r="M268" s="116" t="s">
        <v>62</v>
      </c>
      <c r="N268" s="116" t="s">
        <v>324</v>
      </c>
      <c r="O268" s="116" t="s">
        <v>62</v>
      </c>
      <c r="P268" s="116" t="s">
        <v>324</v>
      </c>
      <c r="Q268" s="116" t="s">
        <v>803</v>
      </c>
      <c r="R268" s="116"/>
      <c r="S268" s="116"/>
      <c r="T268" s="116"/>
      <c r="U268" s="95" t="s">
        <v>62</v>
      </c>
      <c r="V268" s="95" t="s">
        <v>62</v>
      </c>
      <c r="W268" s="95" t="s">
        <v>62</v>
      </c>
      <c r="X268" s="95">
        <v>165.5</v>
      </c>
      <c r="Y268" s="95">
        <v>117</v>
      </c>
      <c r="Z268" s="95">
        <f t="shared" si="8"/>
        <v>42.715929938573026</v>
      </c>
      <c r="AA268" s="95" t="s">
        <v>325</v>
      </c>
      <c r="AB268" s="95" t="s">
        <v>60</v>
      </c>
      <c r="AC268" s="95" t="s">
        <v>60</v>
      </c>
      <c r="AD268" s="95" t="s">
        <v>60</v>
      </c>
      <c r="AE268" s="95" t="s">
        <v>60</v>
      </c>
      <c r="AF268" s="95" t="s">
        <v>60</v>
      </c>
      <c r="AG268" s="95"/>
    </row>
    <row r="269" spans="1:33">
      <c r="A269" s="116" t="s">
        <v>804</v>
      </c>
      <c r="B269" s="116" t="s">
        <v>324</v>
      </c>
      <c r="C269" s="98">
        <v>43794</v>
      </c>
      <c r="D269" s="95" t="s">
        <v>60</v>
      </c>
      <c r="E269" s="116">
        <v>18</v>
      </c>
      <c r="F269" s="117">
        <v>37189</v>
      </c>
      <c r="G269" s="116" t="s">
        <v>61</v>
      </c>
      <c r="H269" s="116" t="s">
        <v>116</v>
      </c>
      <c r="I269" s="116" t="s">
        <v>62</v>
      </c>
      <c r="J269" s="118" t="s">
        <v>324</v>
      </c>
      <c r="K269" s="116" t="s">
        <v>62</v>
      </c>
      <c r="L269" s="118" t="s">
        <v>324</v>
      </c>
      <c r="M269" s="116" t="s">
        <v>62</v>
      </c>
      <c r="N269" s="116" t="s">
        <v>324</v>
      </c>
      <c r="O269" s="116" t="s">
        <v>62</v>
      </c>
      <c r="P269" s="116" t="s">
        <v>324</v>
      </c>
      <c r="Q269" s="116"/>
      <c r="R269" s="116"/>
      <c r="S269" s="116"/>
      <c r="T269" s="116"/>
      <c r="U269" s="95" t="s">
        <v>60</v>
      </c>
      <c r="V269" s="95" t="s">
        <v>60</v>
      </c>
      <c r="W269" s="95" t="s">
        <v>60</v>
      </c>
      <c r="X269" s="95">
        <v>173.5</v>
      </c>
      <c r="Y269" s="95">
        <v>66.599999999999994</v>
      </c>
      <c r="Z269" s="95">
        <f t="shared" ref="Z269:Z300" si="9">Y269/((X269/100)^2)</f>
        <v>22.124592015547009</v>
      </c>
      <c r="AA269" s="95" t="s">
        <v>325</v>
      </c>
      <c r="AB269" s="95" t="s">
        <v>60</v>
      </c>
      <c r="AC269" s="95"/>
      <c r="AD269" s="95" t="s">
        <v>60</v>
      </c>
      <c r="AE269" s="95" t="s">
        <v>60</v>
      </c>
      <c r="AF269" s="95"/>
      <c r="AG269" s="95"/>
    </row>
    <row r="270" spans="1:33" ht="43.2">
      <c r="A270" s="116" t="s">
        <v>805</v>
      </c>
      <c r="B270" s="116" t="s">
        <v>324</v>
      </c>
      <c r="C270" s="98">
        <v>43803</v>
      </c>
      <c r="D270" s="95" t="s">
        <v>60</v>
      </c>
      <c r="E270" s="116">
        <v>44</v>
      </c>
      <c r="F270" s="117">
        <v>27464</v>
      </c>
      <c r="G270" s="116" t="s">
        <v>61</v>
      </c>
      <c r="H270" s="116" t="s">
        <v>116</v>
      </c>
      <c r="I270" s="116" t="s">
        <v>60</v>
      </c>
      <c r="J270" s="118" t="s">
        <v>806</v>
      </c>
      <c r="K270" s="116" t="s">
        <v>60</v>
      </c>
      <c r="L270" s="118" t="s">
        <v>806</v>
      </c>
      <c r="M270" s="116" t="s">
        <v>62</v>
      </c>
      <c r="N270" s="116" t="s">
        <v>324</v>
      </c>
      <c r="O270" s="116" t="s">
        <v>62</v>
      </c>
      <c r="P270" s="116" t="s">
        <v>324</v>
      </c>
      <c r="Q270" s="116" t="s">
        <v>807</v>
      </c>
      <c r="R270" s="116"/>
      <c r="S270" s="116"/>
      <c r="T270" s="116"/>
      <c r="U270" s="95" t="s">
        <v>60</v>
      </c>
      <c r="V270" s="95" t="s">
        <v>60</v>
      </c>
      <c r="W270" s="95" t="s">
        <v>60</v>
      </c>
      <c r="X270" s="95">
        <v>162.1</v>
      </c>
      <c r="Y270" s="95">
        <v>57.2</v>
      </c>
      <c r="Z270" s="95">
        <f t="shared" si="9"/>
        <v>21.768574930898094</v>
      </c>
      <c r="AA270" s="95" t="s">
        <v>325</v>
      </c>
      <c r="AB270" s="95" t="s">
        <v>60</v>
      </c>
      <c r="AC270" s="95"/>
      <c r="AD270" s="95" t="s">
        <v>60</v>
      </c>
      <c r="AE270" s="95" t="s">
        <v>60</v>
      </c>
      <c r="AF270" s="95"/>
      <c r="AG270" s="95"/>
    </row>
    <row r="271" spans="1:33" ht="28.8">
      <c r="A271" s="116" t="s">
        <v>808</v>
      </c>
      <c r="B271" s="116" t="s">
        <v>324</v>
      </c>
      <c r="C271" s="98">
        <v>43787</v>
      </c>
      <c r="D271" s="95" t="s">
        <v>60</v>
      </c>
      <c r="E271" s="116">
        <v>33</v>
      </c>
      <c r="F271" s="117">
        <v>31589</v>
      </c>
      <c r="G271" s="116" t="s">
        <v>61</v>
      </c>
      <c r="H271" s="116" t="s">
        <v>116</v>
      </c>
      <c r="I271" s="116" t="s">
        <v>60</v>
      </c>
      <c r="J271" s="118" t="s">
        <v>389</v>
      </c>
      <c r="K271" s="116" t="s">
        <v>60</v>
      </c>
      <c r="L271" s="118" t="s">
        <v>809</v>
      </c>
      <c r="M271" s="116" t="s">
        <v>62</v>
      </c>
      <c r="N271" s="116" t="s">
        <v>324</v>
      </c>
      <c r="O271" s="116" t="s">
        <v>62</v>
      </c>
      <c r="P271" s="116" t="s">
        <v>324</v>
      </c>
      <c r="Q271" s="116"/>
      <c r="R271" s="116"/>
      <c r="S271" s="116"/>
      <c r="T271" s="116"/>
      <c r="U271" s="95" t="s">
        <v>60</v>
      </c>
      <c r="V271" s="95" t="s">
        <v>62</v>
      </c>
      <c r="W271" s="95" t="s">
        <v>62</v>
      </c>
      <c r="X271" s="95">
        <v>168</v>
      </c>
      <c r="Y271" s="95">
        <v>129.30000000000001</v>
      </c>
      <c r="Z271" s="95">
        <f t="shared" si="9"/>
        <v>45.812074829931987</v>
      </c>
      <c r="AA271" s="95" t="s">
        <v>325</v>
      </c>
      <c r="AB271" s="95" t="s">
        <v>60</v>
      </c>
      <c r="AC271" s="95"/>
      <c r="AD271" s="95" t="s">
        <v>60</v>
      </c>
      <c r="AE271" s="95" t="s">
        <v>60</v>
      </c>
      <c r="AF271" s="95"/>
      <c r="AG271" s="95"/>
    </row>
    <row r="272" spans="1:33">
      <c r="A272" s="116" t="s">
        <v>810</v>
      </c>
      <c r="B272" s="116" t="s">
        <v>324</v>
      </c>
      <c r="C272" s="98">
        <v>43836</v>
      </c>
      <c r="D272" s="95" t="s">
        <v>60</v>
      </c>
      <c r="E272" s="116">
        <v>36</v>
      </c>
      <c r="F272" s="117">
        <v>30667</v>
      </c>
      <c r="G272" s="116" t="s">
        <v>61</v>
      </c>
      <c r="H272" s="116" t="s">
        <v>116</v>
      </c>
      <c r="I272" s="116" t="s">
        <v>62</v>
      </c>
      <c r="J272" s="118" t="s">
        <v>324</v>
      </c>
      <c r="K272" s="116" t="s">
        <v>62</v>
      </c>
      <c r="L272" s="118" t="s">
        <v>324</v>
      </c>
      <c r="M272" s="116" t="s">
        <v>62</v>
      </c>
      <c r="N272" s="116" t="s">
        <v>324</v>
      </c>
      <c r="O272" s="116" t="s">
        <v>62</v>
      </c>
      <c r="P272" s="116" t="s">
        <v>62</v>
      </c>
      <c r="Q272" s="116"/>
      <c r="R272" s="116"/>
      <c r="S272" s="116"/>
      <c r="T272" s="116"/>
      <c r="U272" s="95" t="s">
        <v>60</v>
      </c>
      <c r="V272" s="95" t="s">
        <v>62</v>
      </c>
      <c r="W272" s="95" t="s">
        <v>60</v>
      </c>
      <c r="X272" s="95">
        <v>163.1</v>
      </c>
      <c r="Y272" s="95">
        <v>81.400000000000006</v>
      </c>
      <c r="Z272" s="95">
        <f t="shared" si="9"/>
        <v>30.599651675218155</v>
      </c>
      <c r="AA272" s="95" t="s">
        <v>325</v>
      </c>
      <c r="AB272" s="95" t="s">
        <v>60</v>
      </c>
      <c r="AC272" s="95"/>
      <c r="AD272" s="95" t="s">
        <v>60</v>
      </c>
      <c r="AE272" s="95" t="s">
        <v>60</v>
      </c>
      <c r="AF272" s="95"/>
      <c r="AG272" s="95"/>
    </row>
    <row r="273" spans="1:33" ht="43.2">
      <c r="A273" s="116" t="s">
        <v>811</v>
      </c>
      <c r="B273" s="116" t="s">
        <v>324</v>
      </c>
      <c r="C273" s="98">
        <v>43804</v>
      </c>
      <c r="D273" s="95" t="s">
        <v>60</v>
      </c>
      <c r="E273" s="116">
        <v>19</v>
      </c>
      <c r="F273" s="117">
        <v>36620</v>
      </c>
      <c r="G273" s="116" t="s">
        <v>61</v>
      </c>
      <c r="H273" s="116" t="s">
        <v>117</v>
      </c>
      <c r="I273" s="116" t="s">
        <v>62</v>
      </c>
      <c r="J273" s="118" t="s">
        <v>324</v>
      </c>
      <c r="K273" s="116" t="s">
        <v>60</v>
      </c>
      <c r="L273" s="118" t="s">
        <v>812</v>
      </c>
      <c r="M273" s="116" t="s">
        <v>62</v>
      </c>
      <c r="N273" s="116" t="s">
        <v>324</v>
      </c>
      <c r="O273" s="116" t="s">
        <v>62</v>
      </c>
      <c r="P273" s="116" t="s">
        <v>324</v>
      </c>
      <c r="Q273" s="116"/>
      <c r="R273" s="116"/>
      <c r="S273" s="116"/>
      <c r="T273" s="116"/>
      <c r="U273" s="95" t="s">
        <v>62</v>
      </c>
      <c r="V273" s="95" t="s">
        <v>62</v>
      </c>
      <c r="W273" s="95" t="s">
        <v>62</v>
      </c>
      <c r="X273" s="95">
        <v>168.9</v>
      </c>
      <c r="Y273" s="95">
        <v>89.6</v>
      </c>
      <c r="Z273" s="95">
        <f t="shared" si="9"/>
        <v>31.408609534546134</v>
      </c>
      <c r="AA273" s="95" t="s">
        <v>325</v>
      </c>
      <c r="AB273" s="95" t="s">
        <v>60</v>
      </c>
      <c r="AC273" s="95" t="s">
        <v>60</v>
      </c>
      <c r="AD273" s="95" t="s">
        <v>60</v>
      </c>
      <c r="AE273" s="95" t="s">
        <v>60</v>
      </c>
      <c r="AF273" s="95"/>
      <c r="AG273" s="95"/>
    </row>
    <row r="274" spans="1:33">
      <c r="A274" s="116" t="s">
        <v>813</v>
      </c>
      <c r="B274" s="116" t="s">
        <v>324</v>
      </c>
      <c r="C274" s="98">
        <v>43783</v>
      </c>
      <c r="D274" s="95" t="s">
        <v>60</v>
      </c>
      <c r="E274" s="116">
        <v>47</v>
      </c>
      <c r="F274" s="117">
        <v>26282</v>
      </c>
      <c r="G274" s="116" t="s">
        <v>61</v>
      </c>
      <c r="H274" s="116" t="s">
        <v>116</v>
      </c>
      <c r="I274" s="116" t="s">
        <v>62</v>
      </c>
      <c r="J274" s="118" t="s">
        <v>324</v>
      </c>
      <c r="K274" s="116" t="s">
        <v>62</v>
      </c>
      <c r="L274" s="118" t="s">
        <v>324</v>
      </c>
      <c r="M274" s="116" t="s">
        <v>62</v>
      </c>
      <c r="N274" s="116" t="s">
        <v>324</v>
      </c>
      <c r="O274" s="116" t="s">
        <v>62</v>
      </c>
      <c r="P274" s="116" t="s">
        <v>324</v>
      </c>
      <c r="Q274" s="116"/>
      <c r="R274" s="116"/>
      <c r="S274" s="116"/>
      <c r="T274" s="116"/>
      <c r="U274" s="95" t="s">
        <v>60</v>
      </c>
      <c r="V274" s="95" t="s">
        <v>60</v>
      </c>
      <c r="W274" s="95" t="s">
        <v>60</v>
      </c>
      <c r="X274" s="95">
        <v>160.6</v>
      </c>
      <c r="Y274" s="95">
        <v>69.599999999999994</v>
      </c>
      <c r="Z274" s="95">
        <f t="shared" si="9"/>
        <v>26.984735014554701</v>
      </c>
      <c r="AA274" s="95" t="s">
        <v>325</v>
      </c>
      <c r="AB274" s="95" t="s">
        <v>60</v>
      </c>
      <c r="AC274" s="95" t="s">
        <v>60</v>
      </c>
      <c r="AD274" s="95" t="s">
        <v>60</v>
      </c>
      <c r="AE274" s="95" t="s">
        <v>60</v>
      </c>
      <c r="AF274" s="95" t="s">
        <v>60</v>
      </c>
      <c r="AG274" s="95"/>
    </row>
    <row r="275" spans="1:33">
      <c r="A275" s="116" t="s">
        <v>814</v>
      </c>
      <c r="B275" s="116" t="s">
        <v>324</v>
      </c>
      <c r="C275" s="98">
        <v>43789</v>
      </c>
      <c r="D275" s="95" t="s">
        <v>60</v>
      </c>
      <c r="E275" s="116">
        <v>56</v>
      </c>
      <c r="F275" s="117">
        <v>23334</v>
      </c>
      <c r="G275" s="116" t="s">
        <v>58</v>
      </c>
      <c r="H275" s="116" t="s">
        <v>116</v>
      </c>
      <c r="I275" s="116" t="s">
        <v>62</v>
      </c>
      <c r="J275" s="118" t="s">
        <v>324</v>
      </c>
      <c r="K275" s="116" t="s">
        <v>62</v>
      </c>
      <c r="L275" s="118" t="s">
        <v>324</v>
      </c>
      <c r="M275" s="116" t="s">
        <v>62</v>
      </c>
      <c r="N275" s="116" t="s">
        <v>324</v>
      </c>
      <c r="O275" s="116" t="s">
        <v>60</v>
      </c>
      <c r="P275" s="116" t="s">
        <v>60</v>
      </c>
      <c r="Q275" s="116" t="s">
        <v>660</v>
      </c>
      <c r="R275" s="116"/>
      <c r="S275" s="116"/>
      <c r="T275" s="116"/>
      <c r="U275" s="95" t="s">
        <v>62</v>
      </c>
      <c r="V275" s="95" t="s">
        <v>62</v>
      </c>
      <c r="W275" s="95" t="s">
        <v>62</v>
      </c>
      <c r="X275" s="95">
        <v>176.4</v>
      </c>
      <c r="Y275" s="95">
        <v>89.7</v>
      </c>
      <c r="Z275" s="95">
        <f t="shared" si="9"/>
        <v>28.826723433137428</v>
      </c>
      <c r="AA275" s="95" t="s">
        <v>325</v>
      </c>
      <c r="AB275" s="95" t="s">
        <v>60</v>
      </c>
      <c r="AC275" s="95"/>
      <c r="AD275" s="95" t="s">
        <v>60</v>
      </c>
      <c r="AE275" s="95" t="s">
        <v>60</v>
      </c>
      <c r="AF275" s="95"/>
      <c r="AG275" s="95"/>
    </row>
    <row r="276" spans="1:33" ht="43.2">
      <c r="A276" s="116" t="s">
        <v>815</v>
      </c>
      <c r="B276" s="116" t="s">
        <v>324</v>
      </c>
      <c r="C276" s="98">
        <v>43789</v>
      </c>
      <c r="D276" s="95" t="s">
        <v>60</v>
      </c>
      <c r="E276" s="116">
        <v>73</v>
      </c>
      <c r="F276" s="117">
        <v>16983</v>
      </c>
      <c r="G276" s="116" t="s">
        <v>58</v>
      </c>
      <c r="H276" s="116" t="s">
        <v>116</v>
      </c>
      <c r="I276" s="116" t="s">
        <v>62</v>
      </c>
      <c r="J276" s="118" t="s">
        <v>324</v>
      </c>
      <c r="K276" s="116" t="s">
        <v>60</v>
      </c>
      <c r="L276" s="118" t="s">
        <v>816</v>
      </c>
      <c r="M276" s="116" t="s">
        <v>62</v>
      </c>
      <c r="N276" s="116" t="s">
        <v>324</v>
      </c>
      <c r="O276" s="116" t="s">
        <v>60</v>
      </c>
      <c r="P276" s="116" t="s">
        <v>62</v>
      </c>
      <c r="Q276" s="116" t="s">
        <v>457</v>
      </c>
      <c r="R276" s="116" t="s">
        <v>362</v>
      </c>
      <c r="S276" s="116" t="s">
        <v>363</v>
      </c>
      <c r="T276" s="116" t="s">
        <v>817</v>
      </c>
      <c r="U276" s="95" t="s">
        <v>60</v>
      </c>
      <c r="V276" s="95" t="s">
        <v>60</v>
      </c>
      <c r="W276" s="95" t="s">
        <v>60</v>
      </c>
      <c r="X276" s="95">
        <v>169.3</v>
      </c>
      <c r="Y276" s="95">
        <v>93.9</v>
      </c>
      <c r="Z276" s="95">
        <f t="shared" si="9"/>
        <v>32.76058709484068</v>
      </c>
      <c r="AA276" s="95" t="s">
        <v>355</v>
      </c>
      <c r="AB276" s="95" t="s">
        <v>60</v>
      </c>
      <c r="AC276" s="95"/>
      <c r="AD276" s="95" t="s">
        <v>60</v>
      </c>
      <c r="AE276" s="95" t="s">
        <v>60</v>
      </c>
      <c r="AF276" s="95"/>
      <c r="AG276" s="95"/>
    </row>
    <row r="277" spans="1:33">
      <c r="A277" s="116" t="s">
        <v>818</v>
      </c>
      <c r="B277" s="116" t="s">
        <v>324</v>
      </c>
      <c r="C277" s="98">
        <v>43783</v>
      </c>
      <c r="D277" s="95" t="s">
        <v>60</v>
      </c>
      <c r="E277" s="116">
        <v>40</v>
      </c>
      <c r="F277" s="117">
        <v>28986</v>
      </c>
      <c r="G277" s="116" t="s">
        <v>61</v>
      </c>
      <c r="H277" s="116" t="s">
        <v>116</v>
      </c>
      <c r="I277" s="116" t="s">
        <v>62</v>
      </c>
      <c r="J277" s="118" t="s">
        <v>324</v>
      </c>
      <c r="K277" s="116" t="s">
        <v>62</v>
      </c>
      <c r="L277" s="118" t="s">
        <v>324</v>
      </c>
      <c r="M277" s="116" t="s">
        <v>62</v>
      </c>
      <c r="N277" s="116" t="s">
        <v>324</v>
      </c>
      <c r="O277" s="116" t="s">
        <v>62</v>
      </c>
      <c r="P277" s="116" t="s">
        <v>324</v>
      </c>
      <c r="Q277" s="116" t="s">
        <v>581</v>
      </c>
      <c r="R277" s="116"/>
      <c r="S277" s="116"/>
      <c r="T277" s="116"/>
      <c r="U277" s="95" t="s">
        <v>60</v>
      </c>
      <c r="V277" s="95" t="s">
        <v>60</v>
      </c>
      <c r="W277" s="95" t="s">
        <v>60</v>
      </c>
      <c r="X277" s="95">
        <v>167.4</v>
      </c>
      <c r="Y277" s="95">
        <v>58.7</v>
      </c>
      <c r="Z277" s="95">
        <f t="shared" si="9"/>
        <v>20.947258585521194</v>
      </c>
      <c r="AA277" s="95" t="s">
        <v>325</v>
      </c>
      <c r="AB277" s="95" t="s">
        <v>60</v>
      </c>
      <c r="AC277" s="95"/>
      <c r="AD277" s="95" t="s">
        <v>60</v>
      </c>
      <c r="AE277" s="95" t="s">
        <v>60</v>
      </c>
      <c r="AF277" s="95"/>
      <c r="AG277" s="95"/>
    </row>
    <row r="278" spans="1:33" ht="57.6">
      <c r="A278" s="116" t="s">
        <v>819</v>
      </c>
      <c r="B278" s="116" t="s">
        <v>324</v>
      </c>
      <c r="C278" s="127">
        <v>43789</v>
      </c>
      <c r="D278" s="120" t="s">
        <v>60</v>
      </c>
      <c r="E278" s="116">
        <v>50</v>
      </c>
      <c r="F278" s="117">
        <v>25470</v>
      </c>
      <c r="G278" s="116" t="s">
        <v>61</v>
      </c>
      <c r="H278" s="116" t="s">
        <v>116</v>
      </c>
      <c r="I278" s="116" t="s">
        <v>62</v>
      </c>
      <c r="J278" s="118" t="s">
        <v>324</v>
      </c>
      <c r="K278" s="116" t="s">
        <v>60</v>
      </c>
      <c r="L278" s="118" t="s">
        <v>820</v>
      </c>
      <c r="M278" s="116" t="s">
        <v>62</v>
      </c>
      <c r="N278" s="116" t="s">
        <v>324</v>
      </c>
      <c r="O278" s="116" t="s">
        <v>62</v>
      </c>
      <c r="P278" s="116" t="s">
        <v>324</v>
      </c>
      <c r="Q278" s="116"/>
      <c r="R278" s="116"/>
      <c r="S278" s="116"/>
      <c r="T278" s="116"/>
      <c r="U278" s="120" t="s">
        <v>60</v>
      </c>
      <c r="V278" s="120" t="s">
        <v>60</v>
      </c>
      <c r="W278" s="120" t="s">
        <v>60</v>
      </c>
      <c r="X278" s="120">
        <v>165.5</v>
      </c>
      <c r="Y278" s="120">
        <v>75</v>
      </c>
      <c r="Z278" s="120">
        <f t="shared" si="9"/>
        <v>27.382006370880145</v>
      </c>
      <c r="AA278" s="120" t="s">
        <v>325</v>
      </c>
      <c r="AB278" s="120" t="s">
        <v>62</v>
      </c>
      <c r="AC278" s="120" t="s">
        <v>62</v>
      </c>
      <c r="AD278" s="120" t="s">
        <v>62</v>
      </c>
      <c r="AE278" s="120" t="s">
        <v>62</v>
      </c>
      <c r="AF278" s="120" t="s">
        <v>62</v>
      </c>
      <c r="AG278" s="120" t="s">
        <v>821</v>
      </c>
    </row>
    <row r="279" spans="1:33">
      <c r="A279" s="116" t="s">
        <v>822</v>
      </c>
      <c r="B279" s="116" t="s">
        <v>324</v>
      </c>
      <c r="C279" s="98">
        <v>43803</v>
      </c>
      <c r="D279" s="95" t="s">
        <v>60</v>
      </c>
      <c r="E279" s="116">
        <v>24</v>
      </c>
      <c r="F279" s="117">
        <v>34882</v>
      </c>
      <c r="G279" s="116" t="s">
        <v>61</v>
      </c>
      <c r="H279" s="116" t="s">
        <v>116</v>
      </c>
      <c r="I279" s="116" t="s">
        <v>62</v>
      </c>
      <c r="J279" s="118" t="s">
        <v>324</v>
      </c>
      <c r="K279" s="116" t="s">
        <v>62</v>
      </c>
      <c r="L279" s="118" t="s">
        <v>324</v>
      </c>
      <c r="M279" s="116" t="s">
        <v>62</v>
      </c>
      <c r="N279" s="116" t="s">
        <v>324</v>
      </c>
      <c r="O279" s="116" t="s">
        <v>62</v>
      </c>
      <c r="P279" s="116" t="s">
        <v>324</v>
      </c>
      <c r="Q279" s="116"/>
      <c r="R279" s="116"/>
      <c r="S279" s="116"/>
      <c r="T279" s="116"/>
      <c r="U279" s="95" t="s">
        <v>60</v>
      </c>
      <c r="V279" s="95" t="s">
        <v>62</v>
      </c>
      <c r="W279" s="95" t="s">
        <v>62</v>
      </c>
      <c r="X279" s="95">
        <v>172.7</v>
      </c>
      <c r="Y279" s="95">
        <v>67.599999999999994</v>
      </c>
      <c r="Z279" s="95">
        <f t="shared" si="9"/>
        <v>22.66532865229475</v>
      </c>
      <c r="AA279" s="95" t="s">
        <v>325</v>
      </c>
      <c r="AB279" s="95" t="s">
        <v>60</v>
      </c>
      <c r="AC279" s="95" t="s">
        <v>60</v>
      </c>
      <c r="AD279" s="95" t="s">
        <v>60</v>
      </c>
      <c r="AE279" s="95" t="s">
        <v>60</v>
      </c>
      <c r="AF279" s="95" t="s">
        <v>60</v>
      </c>
      <c r="AG279" s="95"/>
    </row>
    <row r="280" spans="1:33">
      <c r="A280" s="116" t="s">
        <v>823</v>
      </c>
      <c r="B280" s="116" t="s">
        <v>324</v>
      </c>
      <c r="C280" s="98">
        <v>43804</v>
      </c>
      <c r="D280" s="95" t="s">
        <v>60</v>
      </c>
      <c r="E280" s="116">
        <v>69</v>
      </c>
      <c r="F280" s="117">
        <v>18416</v>
      </c>
      <c r="G280" s="116" t="s">
        <v>61</v>
      </c>
      <c r="H280" s="116" t="s">
        <v>116</v>
      </c>
      <c r="I280" s="116" t="s">
        <v>62</v>
      </c>
      <c r="J280" s="118" t="s">
        <v>324</v>
      </c>
      <c r="K280" s="116" t="s">
        <v>62</v>
      </c>
      <c r="L280" s="118" t="s">
        <v>324</v>
      </c>
      <c r="M280" s="116" t="s">
        <v>62</v>
      </c>
      <c r="N280" s="116" t="s">
        <v>324</v>
      </c>
      <c r="O280" s="116" t="s">
        <v>62</v>
      </c>
      <c r="P280" s="116" t="s">
        <v>324</v>
      </c>
      <c r="Q280" s="116" t="s">
        <v>824</v>
      </c>
      <c r="R280" s="116" t="s">
        <v>740</v>
      </c>
      <c r="S280" s="116"/>
      <c r="T280" s="116"/>
      <c r="U280" s="95" t="s">
        <v>60</v>
      </c>
      <c r="V280" s="95" t="s">
        <v>60</v>
      </c>
      <c r="W280" s="95" t="s">
        <v>60</v>
      </c>
      <c r="X280" s="95">
        <v>169.5</v>
      </c>
      <c r="Y280" s="95">
        <v>111.2</v>
      </c>
      <c r="Z280" s="95">
        <f t="shared" si="9"/>
        <v>38.704849418296043</v>
      </c>
      <c r="AA280" s="95" t="s">
        <v>355</v>
      </c>
      <c r="AB280" s="95" t="s">
        <v>60</v>
      </c>
      <c r="AC280" s="95"/>
      <c r="AD280" s="95" t="s">
        <v>60</v>
      </c>
      <c r="AE280" s="95"/>
      <c r="AF280" s="95"/>
      <c r="AG280" s="95"/>
    </row>
    <row r="281" spans="1:33">
      <c r="A281" s="116" t="s">
        <v>825</v>
      </c>
      <c r="B281" s="116" t="s">
        <v>324</v>
      </c>
      <c r="C281" s="98">
        <v>43803</v>
      </c>
      <c r="D281" s="95" t="s">
        <v>60</v>
      </c>
      <c r="E281" s="116">
        <v>37</v>
      </c>
      <c r="F281" s="117">
        <v>29947</v>
      </c>
      <c r="G281" s="116" t="s">
        <v>58</v>
      </c>
      <c r="H281" s="116" t="s">
        <v>116</v>
      </c>
      <c r="I281" s="116" t="s">
        <v>62</v>
      </c>
      <c r="J281" s="118" t="s">
        <v>324</v>
      </c>
      <c r="K281" s="116" t="s">
        <v>62</v>
      </c>
      <c r="L281" s="118" t="s">
        <v>324</v>
      </c>
      <c r="M281" s="116" t="s">
        <v>62</v>
      </c>
      <c r="N281" s="116" t="s">
        <v>324</v>
      </c>
      <c r="O281" s="116" t="s">
        <v>62</v>
      </c>
      <c r="P281" s="116" t="s">
        <v>324</v>
      </c>
      <c r="Q281" s="116" t="s">
        <v>826</v>
      </c>
      <c r="R281" s="116"/>
      <c r="S281" s="116"/>
      <c r="T281" s="116"/>
      <c r="U281" s="95" t="s">
        <v>62</v>
      </c>
      <c r="V281" s="95" t="s">
        <v>62</v>
      </c>
      <c r="W281" s="95" t="s">
        <v>62</v>
      </c>
      <c r="X281" s="95">
        <v>184.3</v>
      </c>
      <c r="Y281" s="95">
        <v>106.4</v>
      </c>
      <c r="Z281" s="95">
        <f t="shared" si="9"/>
        <v>31.324991189846219</v>
      </c>
      <c r="AA281" s="95" t="s">
        <v>325</v>
      </c>
      <c r="AB281" s="95" t="s">
        <v>60</v>
      </c>
      <c r="AC281" s="95" t="s">
        <v>60</v>
      </c>
      <c r="AD281" s="95" t="s">
        <v>60</v>
      </c>
      <c r="AE281" s="95" t="s">
        <v>60</v>
      </c>
      <c r="AF281" s="95" t="s">
        <v>60</v>
      </c>
      <c r="AG281" s="95"/>
    </row>
    <row r="282" spans="1:33">
      <c r="A282" s="116" t="s">
        <v>827</v>
      </c>
      <c r="B282" s="116" t="s">
        <v>324</v>
      </c>
      <c r="C282" s="98">
        <v>43836</v>
      </c>
      <c r="D282" s="95" t="s">
        <v>60</v>
      </c>
      <c r="E282" s="116">
        <v>21</v>
      </c>
      <c r="F282" s="117">
        <v>35982</v>
      </c>
      <c r="G282" s="116" t="s">
        <v>61</v>
      </c>
      <c r="H282" s="116" t="s">
        <v>117</v>
      </c>
      <c r="I282" s="116" t="s">
        <v>62</v>
      </c>
      <c r="J282" s="118" t="s">
        <v>324</v>
      </c>
      <c r="K282" s="116" t="s">
        <v>62</v>
      </c>
      <c r="L282" s="118" t="s">
        <v>324</v>
      </c>
      <c r="M282" s="116" t="s">
        <v>62</v>
      </c>
      <c r="N282" s="116" t="s">
        <v>324</v>
      </c>
      <c r="O282" s="116" t="s">
        <v>62</v>
      </c>
      <c r="P282" s="116" t="s">
        <v>62</v>
      </c>
      <c r="Q282" s="116" t="s">
        <v>629</v>
      </c>
      <c r="R282" s="116"/>
      <c r="S282" s="116"/>
      <c r="T282" s="116"/>
      <c r="U282" s="95" t="s">
        <v>60</v>
      </c>
      <c r="V282" s="95" t="s">
        <v>60</v>
      </c>
      <c r="W282" s="95" t="s">
        <v>60</v>
      </c>
      <c r="X282" s="95">
        <v>163.6</v>
      </c>
      <c r="Y282" s="95">
        <v>66.5</v>
      </c>
      <c r="Z282" s="95">
        <f t="shared" si="9"/>
        <v>24.84591794644939</v>
      </c>
      <c r="AA282" s="95" t="s">
        <v>325</v>
      </c>
      <c r="AB282" s="95" t="s">
        <v>60</v>
      </c>
      <c r="AC282" s="95" t="s">
        <v>60</v>
      </c>
      <c r="AD282" s="95" t="s">
        <v>60</v>
      </c>
      <c r="AE282" s="95" t="s">
        <v>60</v>
      </c>
      <c r="AF282" s="95"/>
      <c r="AG282" s="95"/>
    </row>
    <row r="283" spans="1:33">
      <c r="A283" s="116" t="s">
        <v>828</v>
      </c>
      <c r="B283" s="116" t="s">
        <v>324</v>
      </c>
      <c r="C283" s="98">
        <v>43803</v>
      </c>
      <c r="D283" s="95" t="s">
        <v>60</v>
      </c>
      <c r="E283" s="116">
        <v>21</v>
      </c>
      <c r="F283" s="117">
        <v>35785</v>
      </c>
      <c r="G283" s="116" t="s">
        <v>61</v>
      </c>
      <c r="H283" s="116" t="s">
        <v>117</v>
      </c>
      <c r="I283" s="116" t="s">
        <v>62</v>
      </c>
      <c r="J283" s="118" t="s">
        <v>324</v>
      </c>
      <c r="K283" s="116" t="s">
        <v>62</v>
      </c>
      <c r="L283" s="118" t="s">
        <v>324</v>
      </c>
      <c r="M283" s="116" t="s">
        <v>62</v>
      </c>
      <c r="N283" s="116" t="s">
        <v>324</v>
      </c>
      <c r="O283" s="116" t="s">
        <v>62</v>
      </c>
      <c r="P283" s="116" t="s">
        <v>324</v>
      </c>
      <c r="Q283" s="116"/>
      <c r="R283" s="116"/>
      <c r="S283" s="116"/>
      <c r="T283" s="116"/>
      <c r="U283" s="95" t="s">
        <v>60</v>
      </c>
      <c r="V283" s="95" t="s">
        <v>62</v>
      </c>
      <c r="W283" s="95" t="s">
        <v>60</v>
      </c>
      <c r="X283" s="95">
        <v>167.7</v>
      </c>
      <c r="Y283" s="95">
        <v>74</v>
      </c>
      <c r="Z283" s="95">
        <f t="shared" si="9"/>
        <v>26.312710923935295</v>
      </c>
      <c r="AA283" s="95" t="s">
        <v>325</v>
      </c>
      <c r="AB283" s="95" t="s">
        <v>60</v>
      </c>
      <c r="AC283" s="95" t="s">
        <v>60</v>
      </c>
      <c r="AD283" s="95" t="s">
        <v>60</v>
      </c>
      <c r="AE283" s="95" t="s">
        <v>60</v>
      </c>
      <c r="AF283" s="95" t="s">
        <v>60</v>
      </c>
      <c r="AG283" s="95"/>
    </row>
    <row r="284" spans="1:33">
      <c r="A284" s="116" t="s">
        <v>829</v>
      </c>
      <c r="B284" s="116" t="s">
        <v>324</v>
      </c>
      <c r="C284" s="98">
        <v>43801</v>
      </c>
      <c r="D284" s="95" t="s">
        <v>60</v>
      </c>
      <c r="E284" s="116">
        <v>64</v>
      </c>
      <c r="F284" s="117">
        <v>20130</v>
      </c>
      <c r="G284" s="116" t="s">
        <v>61</v>
      </c>
      <c r="H284" s="116" t="s">
        <v>116</v>
      </c>
      <c r="I284" s="116" t="s">
        <v>62</v>
      </c>
      <c r="J284" s="118" t="s">
        <v>324</v>
      </c>
      <c r="K284" s="116" t="s">
        <v>62</v>
      </c>
      <c r="L284" s="118" t="s">
        <v>324</v>
      </c>
      <c r="M284" s="116" t="s">
        <v>62</v>
      </c>
      <c r="N284" s="116" t="s">
        <v>324</v>
      </c>
      <c r="O284" s="116" t="s">
        <v>62</v>
      </c>
      <c r="P284" s="116" t="s">
        <v>324</v>
      </c>
      <c r="Q284" s="116" t="s">
        <v>425</v>
      </c>
      <c r="R284" s="116"/>
      <c r="S284" s="116"/>
      <c r="T284" s="116"/>
      <c r="U284" s="95" t="s">
        <v>62</v>
      </c>
      <c r="V284" s="95" t="s">
        <v>62</v>
      </c>
      <c r="W284" s="95" t="s">
        <v>62</v>
      </c>
      <c r="X284" s="95">
        <v>166.1</v>
      </c>
      <c r="Y284" s="95">
        <v>66.099999999999994</v>
      </c>
      <c r="Z284" s="95">
        <f t="shared" si="9"/>
        <v>23.958641802356791</v>
      </c>
      <c r="AA284" s="95" t="s">
        <v>325</v>
      </c>
      <c r="AB284" s="95" t="s">
        <v>60</v>
      </c>
      <c r="AC284" s="95" t="s">
        <v>60</v>
      </c>
      <c r="AD284" s="95" t="s">
        <v>60</v>
      </c>
      <c r="AE284" s="95" t="s">
        <v>60</v>
      </c>
      <c r="AF284" s="95" t="s">
        <v>60</v>
      </c>
      <c r="AG284" s="95"/>
    </row>
    <row r="285" spans="1:33">
      <c r="A285" s="116" t="s">
        <v>830</v>
      </c>
      <c r="B285" s="116" t="s">
        <v>324</v>
      </c>
      <c r="C285" s="98">
        <v>43803</v>
      </c>
      <c r="D285" s="95" t="s">
        <v>60</v>
      </c>
      <c r="E285" s="116">
        <v>23</v>
      </c>
      <c r="F285" s="117">
        <v>35055</v>
      </c>
      <c r="G285" s="116" t="s">
        <v>61</v>
      </c>
      <c r="H285" s="116" t="s">
        <v>116</v>
      </c>
      <c r="I285" s="116" t="s">
        <v>62</v>
      </c>
      <c r="J285" s="118" t="s">
        <v>324</v>
      </c>
      <c r="K285" s="116" t="s">
        <v>62</v>
      </c>
      <c r="L285" s="118" t="s">
        <v>324</v>
      </c>
      <c r="M285" s="116" t="s">
        <v>62</v>
      </c>
      <c r="N285" s="116" t="s">
        <v>324</v>
      </c>
      <c r="O285" s="116" t="s">
        <v>62</v>
      </c>
      <c r="P285" s="116" t="s">
        <v>324</v>
      </c>
      <c r="Q285" s="116"/>
      <c r="R285" s="116"/>
      <c r="S285" s="116"/>
      <c r="T285" s="116"/>
      <c r="U285" s="95" t="s">
        <v>60</v>
      </c>
      <c r="V285" s="95" t="s">
        <v>62</v>
      </c>
      <c r="W285" s="95" t="s">
        <v>62</v>
      </c>
      <c r="X285" s="95">
        <v>176</v>
      </c>
      <c r="Y285" s="95">
        <v>110.7</v>
      </c>
      <c r="Z285" s="95">
        <f t="shared" si="9"/>
        <v>35.737345041322314</v>
      </c>
      <c r="AA285" s="95" t="s">
        <v>325</v>
      </c>
      <c r="AB285" s="95" t="s">
        <v>60</v>
      </c>
      <c r="AC285" s="95" t="s">
        <v>60</v>
      </c>
      <c r="AD285" s="95" t="s">
        <v>60</v>
      </c>
      <c r="AE285" s="95" t="s">
        <v>60</v>
      </c>
      <c r="AF285" s="95" t="s">
        <v>60</v>
      </c>
      <c r="AG285" s="95"/>
    </row>
    <row r="286" spans="1:33">
      <c r="A286" s="116" t="s">
        <v>831</v>
      </c>
      <c r="B286" s="116" t="s">
        <v>324</v>
      </c>
      <c r="C286" s="98">
        <v>43802</v>
      </c>
      <c r="D286" s="95" t="s">
        <v>60</v>
      </c>
      <c r="E286" s="116">
        <v>31</v>
      </c>
      <c r="F286" s="117">
        <v>32478</v>
      </c>
      <c r="G286" s="116" t="s">
        <v>61</v>
      </c>
      <c r="H286" s="116" t="s">
        <v>116</v>
      </c>
      <c r="I286" s="116" t="s">
        <v>62</v>
      </c>
      <c r="J286" s="118" t="s">
        <v>324</v>
      </c>
      <c r="K286" s="116" t="s">
        <v>62</v>
      </c>
      <c r="L286" s="118" t="s">
        <v>324</v>
      </c>
      <c r="M286" s="116" t="s">
        <v>62</v>
      </c>
      <c r="N286" s="116" t="s">
        <v>324</v>
      </c>
      <c r="O286" s="116" t="s">
        <v>62</v>
      </c>
      <c r="P286" s="116" t="s">
        <v>324</v>
      </c>
      <c r="Q286" s="116" t="s">
        <v>369</v>
      </c>
      <c r="R286" s="116"/>
      <c r="S286" s="116"/>
      <c r="T286" s="116"/>
      <c r="U286" s="95" t="s">
        <v>60</v>
      </c>
      <c r="V286" s="95" t="s">
        <v>390</v>
      </c>
      <c r="W286" s="95" t="s">
        <v>390</v>
      </c>
      <c r="X286" s="95">
        <v>157.1</v>
      </c>
      <c r="Y286" s="95">
        <v>77.8</v>
      </c>
      <c r="Z286" s="95">
        <f t="shared" si="9"/>
        <v>31.522977130444755</v>
      </c>
      <c r="AA286" s="95" t="s">
        <v>325</v>
      </c>
      <c r="AB286" s="95" t="s">
        <v>60</v>
      </c>
      <c r="AC286" s="95" t="s">
        <v>60</v>
      </c>
      <c r="AD286" s="95" t="s">
        <v>60</v>
      </c>
      <c r="AE286" s="95" t="s">
        <v>60</v>
      </c>
      <c r="AF286" s="95" t="s">
        <v>60</v>
      </c>
      <c r="AG286" s="95"/>
    </row>
    <row r="287" spans="1:33" ht="28.8">
      <c r="A287" s="116" t="s">
        <v>832</v>
      </c>
      <c r="B287" s="116" t="s">
        <v>324</v>
      </c>
      <c r="C287" s="98">
        <v>43811</v>
      </c>
      <c r="D287" s="95" t="s">
        <v>60</v>
      </c>
      <c r="E287" s="116">
        <v>40</v>
      </c>
      <c r="F287" s="117">
        <v>29144</v>
      </c>
      <c r="G287" s="116" t="s">
        <v>58</v>
      </c>
      <c r="H287" s="116" t="s">
        <v>116</v>
      </c>
      <c r="I287" s="116" t="s">
        <v>62</v>
      </c>
      <c r="J287" s="118" t="s">
        <v>324</v>
      </c>
      <c r="K287" s="116" t="s">
        <v>60</v>
      </c>
      <c r="L287" s="118" t="s">
        <v>833</v>
      </c>
      <c r="M287" s="116" t="s">
        <v>62</v>
      </c>
      <c r="N287" s="116" t="s">
        <v>324</v>
      </c>
      <c r="O287" s="116" t="s">
        <v>62</v>
      </c>
      <c r="P287" s="116" t="s">
        <v>324</v>
      </c>
      <c r="Q287" s="116"/>
      <c r="R287" s="116"/>
      <c r="S287" s="116"/>
      <c r="T287" s="116"/>
      <c r="U287" s="95" t="s">
        <v>62</v>
      </c>
      <c r="V287" s="95" t="s">
        <v>62</v>
      </c>
      <c r="W287" s="95" t="s">
        <v>62</v>
      </c>
      <c r="X287" s="95">
        <v>180</v>
      </c>
      <c r="Y287" s="95">
        <v>85.9</v>
      </c>
      <c r="Z287" s="95">
        <f t="shared" si="9"/>
        <v>26.512345679012345</v>
      </c>
      <c r="AA287" s="95" t="s">
        <v>325</v>
      </c>
      <c r="AB287" s="95" t="s">
        <v>60</v>
      </c>
      <c r="AC287" s="95" t="s">
        <v>60</v>
      </c>
      <c r="AD287" s="95"/>
      <c r="AE287" s="95" t="s">
        <v>60</v>
      </c>
      <c r="AF287" s="95"/>
      <c r="AG287" s="95"/>
    </row>
    <row r="288" spans="1:33">
      <c r="A288" s="116" t="s">
        <v>834</v>
      </c>
      <c r="B288" s="116" t="s">
        <v>324</v>
      </c>
      <c r="C288" s="98">
        <v>43805</v>
      </c>
      <c r="D288" s="95" t="s">
        <v>60</v>
      </c>
      <c r="E288" s="116">
        <v>40</v>
      </c>
      <c r="F288" s="117">
        <v>29020</v>
      </c>
      <c r="G288" s="116" t="s">
        <v>58</v>
      </c>
      <c r="H288" s="116" t="s">
        <v>127</v>
      </c>
      <c r="I288" s="116" t="s">
        <v>62</v>
      </c>
      <c r="J288" s="118" t="s">
        <v>324</v>
      </c>
      <c r="K288" s="116" t="s">
        <v>62</v>
      </c>
      <c r="L288" s="118" t="s">
        <v>324</v>
      </c>
      <c r="M288" s="116" t="s">
        <v>62</v>
      </c>
      <c r="N288" s="116" t="s">
        <v>324</v>
      </c>
      <c r="O288" s="116" t="s">
        <v>62</v>
      </c>
      <c r="P288" s="116" t="s">
        <v>324</v>
      </c>
      <c r="Q288" s="116"/>
      <c r="R288" s="116"/>
      <c r="S288" s="116"/>
      <c r="T288" s="116"/>
      <c r="U288" s="95" t="s">
        <v>62</v>
      </c>
      <c r="V288" s="95" t="s">
        <v>62</v>
      </c>
      <c r="W288" s="95" t="s">
        <v>62</v>
      </c>
      <c r="X288" s="95">
        <v>159</v>
      </c>
      <c r="Y288" s="95">
        <v>61.3</v>
      </c>
      <c r="Z288" s="95">
        <f t="shared" si="9"/>
        <v>24.247458565721288</v>
      </c>
      <c r="AA288" s="95" t="s">
        <v>325</v>
      </c>
      <c r="AB288" s="95" t="s">
        <v>60</v>
      </c>
      <c r="AC288" s="95" t="s">
        <v>60</v>
      </c>
      <c r="AD288" s="95" t="s">
        <v>60</v>
      </c>
      <c r="AE288" s="95" t="s">
        <v>60</v>
      </c>
      <c r="AF288" s="95"/>
      <c r="AG288" s="95"/>
    </row>
    <row r="289" spans="1:33">
      <c r="A289" s="116" t="s">
        <v>835</v>
      </c>
      <c r="B289" s="116" t="s">
        <v>324</v>
      </c>
      <c r="C289" s="98">
        <v>43805</v>
      </c>
      <c r="D289" s="95" t="s">
        <v>60</v>
      </c>
      <c r="E289" s="116">
        <v>39</v>
      </c>
      <c r="F289" s="117">
        <v>29424</v>
      </c>
      <c r="G289" s="116" t="s">
        <v>58</v>
      </c>
      <c r="H289" s="116" t="s">
        <v>116</v>
      </c>
      <c r="I289" s="116" t="s">
        <v>62</v>
      </c>
      <c r="J289" s="118" t="s">
        <v>324</v>
      </c>
      <c r="K289" s="116" t="s">
        <v>62</v>
      </c>
      <c r="L289" s="118" t="s">
        <v>324</v>
      </c>
      <c r="M289" s="116" t="s">
        <v>62</v>
      </c>
      <c r="N289" s="116" t="s">
        <v>324</v>
      </c>
      <c r="O289" s="116" t="s">
        <v>62</v>
      </c>
      <c r="P289" s="116" t="s">
        <v>324</v>
      </c>
      <c r="Q289" s="116" t="s">
        <v>369</v>
      </c>
      <c r="R289" s="116" t="s">
        <v>410</v>
      </c>
      <c r="S289" s="116"/>
      <c r="T289" s="116"/>
      <c r="U289" s="95" t="s">
        <v>62</v>
      </c>
      <c r="V289" s="95" t="s">
        <v>62</v>
      </c>
      <c r="W289" s="95" t="s">
        <v>62</v>
      </c>
      <c r="X289" s="95">
        <v>173.5</v>
      </c>
      <c r="Y289" s="95">
        <v>65.099999999999994</v>
      </c>
      <c r="Z289" s="95">
        <f t="shared" si="9"/>
        <v>21.626290393575228</v>
      </c>
      <c r="AA289" s="95" t="s">
        <v>325</v>
      </c>
      <c r="AB289" s="95" t="s">
        <v>60</v>
      </c>
      <c r="AC289" s="95" t="s">
        <v>60</v>
      </c>
      <c r="AD289" s="95" t="s">
        <v>60</v>
      </c>
      <c r="AE289" s="95" t="s">
        <v>60</v>
      </c>
      <c r="AF289" s="95"/>
      <c r="AG289" s="95"/>
    </row>
    <row r="290" spans="1:33">
      <c r="A290" s="116" t="s">
        <v>836</v>
      </c>
      <c r="B290" s="116" t="s">
        <v>324</v>
      </c>
      <c r="C290" s="98">
        <v>43836</v>
      </c>
      <c r="D290" s="95" t="s">
        <v>60</v>
      </c>
      <c r="E290" s="116">
        <v>41</v>
      </c>
      <c r="F290" s="117">
        <v>28804</v>
      </c>
      <c r="G290" s="116" t="s">
        <v>58</v>
      </c>
      <c r="H290" s="116" t="s">
        <v>116</v>
      </c>
      <c r="I290" s="116" t="s">
        <v>62</v>
      </c>
      <c r="J290" s="118" t="s">
        <v>324</v>
      </c>
      <c r="K290" s="116" t="s">
        <v>60</v>
      </c>
      <c r="L290" s="118" t="s">
        <v>837</v>
      </c>
      <c r="M290" s="116" t="s">
        <v>62</v>
      </c>
      <c r="N290" s="116" t="s">
        <v>324</v>
      </c>
      <c r="O290" s="116" t="s">
        <v>62</v>
      </c>
      <c r="P290" s="116" t="s">
        <v>62</v>
      </c>
      <c r="Q290" s="116"/>
      <c r="R290" s="116"/>
      <c r="S290" s="116"/>
      <c r="T290" s="116"/>
      <c r="U290" s="95" t="s">
        <v>60</v>
      </c>
      <c r="V290" s="95" t="s">
        <v>60</v>
      </c>
      <c r="W290" s="95" t="s">
        <v>390</v>
      </c>
      <c r="X290" s="95">
        <v>180.1</v>
      </c>
      <c r="Y290" s="95">
        <v>82.6</v>
      </c>
      <c r="Z290" s="95">
        <f t="shared" si="9"/>
        <v>25.465524273793232</v>
      </c>
      <c r="AA290" s="95" t="s">
        <v>325</v>
      </c>
      <c r="AB290" s="95" t="s">
        <v>60</v>
      </c>
      <c r="AC290" s="95" t="s">
        <v>60</v>
      </c>
      <c r="AD290" s="95" t="s">
        <v>60</v>
      </c>
      <c r="AE290" s="95" t="s">
        <v>60</v>
      </c>
      <c r="AF290" s="95"/>
      <c r="AG290" s="95"/>
    </row>
    <row r="291" spans="1:33" ht="28.8">
      <c r="A291" s="116" t="s">
        <v>838</v>
      </c>
      <c r="B291" s="116" t="s">
        <v>324</v>
      </c>
      <c r="C291" s="98">
        <v>43859</v>
      </c>
      <c r="D291" s="95" t="s">
        <v>60</v>
      </c>
      <c r="E291" s="116">
        <v>49</v>
      </c>
      <c r="F291" s="117">
        <v>28323</v>
      </c>
      <c r="G291" s="116" t="s">
        <v>58</v>
      </c>
      <c r="H291" s="116" t="s">
        <v>116</v>
      </c>
      <c r="I291" s="116" t="s">
        <v>62</v>
      </c>
      <c r="J291" s="118" t="s">
        <v>324</v>
      </c>
      <c r="K291" s="116" t="s">
        <v>60</v>
      </c>
      <c r="L291" s="118" t="s">
        <v>839</v>
      </c>
      <c r="M291" s="116" t="s">
        <v>62</v>
      </c>
      <c r="N291" s="116" t="s">
        <v>324</v>
      </c>
      <c r="O291" s="116" t="s">
        <v>62</v>
      </c>
      <c r="P291" s="116" t="s">
        <v>62</v>
      </c>
      <c r="Q291" s="116" t="s">
        <v>363</v>
      </c>
      <c r="R291" s="116" t="s">
        <v>362</v>
      </c>
      <c r="S291" s="116" t="s">
        <v>664</v>
      </c>
      <c r="T291" s="116"/>
      <c r="U291" s="95" t="s">
        <v>62</v>
      </c>
      <c r="V291" s="95" t="s">
        <v>62</v>
      </c>
      <c r="W291" s="95" t="s">
        <v>62</v>
      </c>
      <c r="X291" s="95">
        <v>176</v>
      </c>
      <c r="Y291" s="95">
        <v>109.8</v>
      </c>
      <c r="Z291" s="95">
        <f t="shared" si="9"/>
        <v>35.446797520661157</v>
      </c>
      <c r="AA291" s="95" t="s">
        <v>325</v>
      </c>
      <c r="AB291" s="95" t="s">
        <v>60</v>
      </c>
      <c r="AC291" s="95"/>
      <c r="AD291" s="95" t="s">
        <v>60</v>
      </c>
      <c r="AE291" s="95" t="s">
        <v>60</v>
      </c>
      <c r="AF291" s="95"/>
      <c r="AG291" s="95"/>
    </row>
    <row r="292" spans="1:33">
      <c r="A292" s="116" t="s">
        <v>840</v>
      </c>
      <c r="B292" s="116" t="s">
        <v>324</v>
      </c>
      <c r="C292" s="98">
        <v>43802</v>
      </c>
      <c r="D292" s="95" t="s">
        <v>60</v>
      </c>
      <c r="E292" s="116">
        <v>22</v>
      </c>
      <c r="F292" s="117">
        <v>35484</v>
      </c>
      <c r="G292" s="116" t="s">
        <v>61</v>
      </c>
      <c r="H292" s="116" t="s">
        <v>116</v>
      </c>
      <c r="I292" s="116" t="s">
        <v>62</v>
      </c>
      <c r="J292" s="118" t="s">
        <v>324</v>
      </c>
      <c r="K292" s="116" t="s">
        <v>62</v>
      </c>
      <c r="L292" s="118" t="s">
        <v>324</v>
      </c>
      <c r="M292" s="116" t="s">
        <v>62</v>
      </c>
      <c r="N292" s="116" t="s">
        <v>324</v>
      </c>
      <c r="O292" s="116" t="s">
        <v>62</v>
      </c>
      <c r="P292" s="116" t="s">
        <v>324</v>
      </c>
      <c r="Q292" s="116"/>
      <c r="R292" s="116"/>
      <c r="S292" s="116"/>
      <c r="T292" s="116"/>
      <c r="U292" s="95" t="s">
        <v>60</v>
      </c>
      <c r="V292" s="95" t="s">
        <v>62</v>
      </c>
      <c r="W292" s="95" t="s">
        <v>62</v>
      </c>
      <c r="X292" s="95">
        <v>173.9</v>
      </c>
      <c r="Y292" s="95">
        <v>88</v>
      </c>
      <c r="Z292" s="95">
        <f t="shared" si="9"/>
        <v>29.099364741027223</v>
      </c>
      <c r="AA292" s="95" t="s">
        <v>325</v>
      </c>
      <c r="AB292" s="95" t="s">
        <v>60</v>
      </c>
      <c r="AC292" s="95" t="s">
        <v>60</v>
      </c>
      <c r="AD292" s="95" t="s">
        <v>60</v>
      </c>
      <c r="AE292" s="95" t="s">
        <v>60</v>
      </c>
      <c r="AF292" s="95" t="s">
        <v>60</v>
      </c>
      <c r="AG292" s="95"/>
    </row>
    <row r="293" spans="1:33">
      <c r="A293" s="116" t="s">
        <v>841</v>
      </c>
      <c r="B293" s="116" t="s">
        <v>324</v>
      </c>
      <c r="C293" s="98">
        <v>43803</v>
      </c>
      <c r="D293" s="95" t="s">
        <v>60</v>
      </c>
      <c r="E293" s="116">
        <v>23</v>
      </c>
      <c r="F293" s="117">
        <v>35332</v>
      </c>
      <c r="G293" s="116" t="s">
        <v>61</v>
      </c>
      <c r="H293" s="116" t="s">
        <v>116</v>
      </c>
      <c r="I293" s="116" t="s">
        <v>62</v>
      </c>
      <c r="J293" s="118" t="s">
        <v>324</v>
      </c>
      <c r="K293" s="116" t="s">
        <v>62</v>
      </c>
      <c r="L293" s="118" t="s">
        <v>324</v>
      </c>
      <c r="M293" s="116" t="s">
        <v>62</v>
      </c>
      <c r="N293" s="116" t="s">
        <v>324</v>
      </c>
      <c r="O293" s="116" t="s">
        <v>62</v>
      </c>
      <c r="P293" s="116" t="s">
        <v>324</v>
      </c>
      <c r="Q293" s="116"/>
      <c r="R293" s="116"/>
      <c r="S293" s="116"/>
      <c r="T293" s="116"/>
      <c r="U293" s="95" t="s">
        <v>60</v>
      </c>
      <c r="V293" s="95" t="s">
        <v>62</v>
      </c>
      <c r="W293" s="95" t="s">
        <v>62</v>
      </c>
      <c r="X293" s="95">
        <v>183</v>
      </c>
      <c r="Y293" s="95">
        <v>64.2</v>
      </c>
      <c r="Z293" s="95">
        <f t="shared" si="9"/>
        <v>19.170473886947953</v>
      </c>
      <c r="AA293" s="95" t="s">
        <v>325</v>
      </c>
      <c r="AB293" s="95" t="s">
        <v>60</v>
      </c>
      <c r="AC293" s="95" t="s">
        <v>60</v>
      </c>
      <c r="AD293" s="95" t="s">
        <v>60</v>
      </c>
      <c r="AE293" s="95" t="s">
        <v>60</v>
      </c>
      <c r="AF293" s="95" t="s">
        <v>60</v>
      </c>
      <c r="AG293" s="95"/>
    </row>
    <row r="294" spans="1:33">
      <c r="A294" s="116" t="s">
        <v>842</v>
      </c>
      <c r="B294" s="116" t="s">
        <v>324</v>
      </c>
      <c r="C294" s="98">
        <v>43809</v>
      </c>
      <c r="D294" s="95" t="s">
        <v>60</v>
      </c>
      <c r="E294" s="116">
        <v>22</v>
      </c>
      <c r="F294" s="117">
        <v>35479</v>
      </c>
      <c r="G294" s="116" t="s">
        <v>61</v>
      </c>
      <c r="H294" s="116" t="s">
        <v>116</v>
      </c>
      <c r="I294" s="116" t="s">
        <v>62</v>
      </c>
      <c r="J294" s="118" t="s">
        <v>324</v>
      </c>
      <c r="K294" s="116" t="s">
        <v>62</v>
      </c>
      <c r="L294" s="118" t="s">
        <v>324</v>
      </c>
      <c r="M294" s="116" t="s">
        <v>62</v>
      </c>
      <c r="N294" s="116" t="s">
        <v>324</v>
      </c>
      <c r="O294" s="116" t="s">
        <v>62</v>
      </c>
      <c r="P294" s="116" t="s">
        <v>324</v>
      </c>
      <c r="Q294" s="116"/>
      <c r="R294" s="116"/>
      <c r="S294" s="116"/>
      <c r="T294" s="116"/>
      <c r="U294" s="95" t="s">
        <v>60</v>
      </c>
      <c r="V294" s="95" t="s">
        <v>62</v>
      </c>
      <c r="W294" s="95" t="s">
        <v>62</v>
      </c>
      <c r="X294" s="95">
        <v>165.6</v>
      </c>
      <c r="Y294" s="95">
        <v>69.400000000000006</v>
      </c>
      <c r="Z294" s="95">
        <f t="shared" si="9"/>
        <v>25.306891642745459</v>
      </c>
      <c r="AA294" s="95" t="s">
        <v>325</v>
      </c>
      <c r="AB294" s="95" t="s">
        <v>60</v>
      </c>
      <c r="AC294" s="95"/>
      <c r="AD294" s="95" t="s">
        <v>60</v>
      </c>
      <c r="AE294" s="95" t="s">
        <v>60</v>
      </c>
      <c r="AF294" s="95"/>
      <c r="AG294" s="95"/>
    </row>
    <row r="295" spans="1:33">
      <c r="A295" s="116" t="s">
        <v>843</v>
      </c>
      <c r="B295" s="116" t="s">
        <v>324</v>
      </c>
      <c r="C295" s="98">
        <v>43802</v>
      </c>
      <c r="D295" s="95" t="s">
        <v>60</v>
      </c>
      <c r="E295" s="116">
        <v>23</v>
      </c>
      <c r="F295" s="117">
        <v>35297</v>
      </c>
      <c r="G295" s="116" t="s">
        <v>61</v>
      </c>
      <c r="H295" s="116" t="s">
        <v>116</v>
      </c>
      <c r="I295" s="116" t="s">
        <v>62</v>
      </c>
      <c r="J295" s="118" t="s">
        <v>324</v>
      </c>
      <c r="K295" s="116" t="s">
        <v>62</v>
      </c>
      <c r="L295" s="118" t="s">
        <v>324</v>
      </c>
      <c r="M295" s="116" t="s">
        <v>62</v>
      </c>
      <c r="N295" s="116" t="s">
        <v>324</v>
      </c>
      <c r="O295" s="116" t="s">
        <v>62</v>
      </c>
      <c r="P295" s="116" t="s">
        <v>324</v>
      </c>
      <c r="Q295" s="116" t="s">
        <v>844</v>
      </c>
      <c r="R295" s="116"/>
      <c r="S295" s="116"/>
      <c r="T295" s="116"/>
      <c r="U295" s="95" t="s">
        <v>60</v>
      </c>
      <c r="V295" s="95" t="s">
        <v>62</v>
      </c>
      <c r="W295" s="95" t="s">
        <v>62</v>
      </c>
      <c r="X295" s="95">
        <v>166.6</v>
      </c>
      <c r="Y295" s="95">
        <v>88.9</v>
      </c>
      <c r="Z295" s="95">
        <f t="shared" si="9"/>
        <v>32.029618570117123</v>
      </c>
      <c r="AA295" s="95" t="s">
        <v>325</v>
      </c>
      <c r="AB295" s="95" t="s">
        <v>60</v>
      </c>
      <c r="AC295" s="95" t="s">
        <v>60</v>
      </c>
      <c r="AD295" s="95" t="s">
        <v>60</v>
      </c>
      <c r="AE295" s="95" t="s">
        <v>60</v>
      </c>
      <c r="AF295" s="95" t="s">
        <v>60</v>
      </c>
      <c r="AG295" s="95"/>
    </row>
    <row r="296" spans="1:33" ht="28.8">
      <c r="A296" s="116" t="s">
        <v>845</v>
      </c>
      <c r="B296" s="116" t="s">
        <v>324</v>
      </c>
      <c r="C296" s="98">
        <v>43812</v>
      </c>
      <c r="D296" s="95" t="s">
        <v>60</v>
      </c>
      <c r="E296" s="116">
        <v>26</v>
      </c>
      <c r="F296" s="117">
        <v>34216</v>
      </c>
      <c r="G296" s="116" t="s">
        <v>61</v>
      </c>
      <c r="H296" s="116" t="s">
        <v>117</v>
      </c>
      <c r="I296" s="116" t="s">
        <v>60</v>
      </c>
      <c r="J296" s="118" t="s">
        <v>846</v>
      </c>
      <c r="K296" s="116" t="s">
        <v>60</v>
      </c>
      <c r="L296" s="118" t="s">
        <v>847</v>
      </c>
      <c r="M296" s="116" t="s">
        <v>60</v>
      </c>
      <c r="N296" s="116" t="s">
        <v>848</v>
      </c>
      <c r="O296" s="116" t="s">
        <v>62</v>
      </c>
      <c r="P296" s="116" t="s">
        <v>324</v>
      </c>
      <c r="Q296" s="116" t="s">
        <v>849</v>
      </c>
      <c r="R296" s="116"/>
      <c r="S296" s="116"/>
      <c r="T296" s="116"/>
      <c r="U296" s="95" t="s">
        <v>60</v>
      </c>
      <c r="V296" s="95" t="s">
        <v>62</v>
      </c>
      <c r="W296" s="95" t="s">
        <v>62</v>
      </c>
      <c r="X296" s="95">
        <v>179</v>
      </c>
      <c r="Y296" s="95">
        <v>111.8</v>
      </c>
      <c r="Z296" s="95">
        <f t="shared" si="9"/>
        <v>34.892793608189507</v>
      </c>
      <c r="AA296" s="95" t="s">
        <v>325</v>
      </c>
      <c r="AB296" s="95" t="s">
        <v>60</v>
      </c>
      <c r="AC296" s="95" t="s">
        <v>60</v>
      </c>
      <c r="AD296" s="95" t="s">
        <v>60</v>
      </c>
      <c r="AE296" s="95" t="s">
        <v>60</v>
      </c>
      <c r="AF296" s="95"/>
      <c r="AG296" s="95"/>
    </row>
    <row r="297" spans="1:33">
      <c r="A297" s="116" t="s">
        <v>850</v>
      </c>
      <c r="B297" s="116" t="s">
        <v>324</v>
      </c>
      <c r="C297" s="98">
        <v>43812</v>
      </c>
      <c r="D297" s="95" t="s">
        <v>60</v>
      </c>
      <c r="E297" s="116">
        <v>28</v>
      </c>
      <c r="F297" s="117">
        <v>33260</v>
      </c>
      <c r="G297" s="116" t="s">
        <v>61</v>
      </c>
      <c r="H297" s="116" t="s">
        <v>117</v>
      </c>
      <c r="I297" s="116" t="s">
        <v>62</v>
      </c>
      <c r="J297" s="118" t="s">
        <v>324</v>
      </c>
      <c r="K297" s="116" t="s">
        <v>62</v>
      </c>
      <c r="L297" s="118" t="s">
        <v>324</v>
      </c>
      <c r="M297" s="116" t="s">
        <v>62</v>
      </c>
      <c r="N297" s="116" t="s">
        <v>324</v>
      </c>
      <c r="O297" s="116" t="s">
        <v>62</v>
      </c>
      <c r="P297" s="116" t="s">
        <v>324</v>
      </c>
      <c r="Q297" s="116"/>
      <c r="R297" s="116"/>
      <c r="S297" s="116"/>
      <c r="T297" s="116"/>
      <c r="U297" s="95" t="s">
        <v>60</v>
      </c>
      <c r="V297" s="95" t="s">
        <v>62</v>
      </c>
      <c r="W297" s="95" t="s">
        <v>62</v>
      </c>
      <c r="X297" s="95">
        <v>162.4</v>
      </c>
      <c r="Y297" s="95">
        <v>76.2</v>
      </c>
      <c r="Z297" s="95">
        <f t="shared" si="9"/>
        <v>28.892353612075031</v>
      </c>
      <c r="AA297" s="95" t="s">
        <v>325</v>
      </c>
      <c r="AB297" s="95" t="s">
        <v>60</v>
      </c>
      <c r="AC297" s="95" t="s">
        <v>60</v>
      </c>
      <c r="AD297" s="95" t="s">
        <v>60</v>
      </c>
      <c r="AE297" s="95" t="s">
        <v>60</v>
      </c>
      <c r="AF297" s="95"/>
      <c r="AG297" s="95"/>
    </row>
    <row r="298" spans="1:33">
      <c r="A298" s="116" t="s">
        <v>851</v>
      </c>
      <c r="B298" s="116" t="s">
        <v>324</v>
      </c>
      <c r="C298" s="98">
        <v>43803</v>
      </c>
      <c r="D298" s="95" t="s">
        <v>60</v>
      </c>
      <c r="E298" s="116">
        <v>85</v>
      </c>
      <c r="F298" s="117">
        <v>12727</v>
      </c>
      <c r="G298" s="116" t="s">
        <v>61</v>
      </c>
      <c r="H298" s="116" t="s">
        <v>116</v>
      </c>
      <c r="I298" s="116" t="s">
        <v>62</v>
      </c>
      <c r="J298" s="118" t="s">
        <v>324</v>
      </c>
      <c r="K298" s="116" t="s">
        <v>62</v>
      </c>
      <c r="L298" s="118" t="s">
        <v>324</v>
      </c>
      <c r="M298" s="116" t="s">
        <v>62</v>
      </c>
      <c r="N298" s="116" t="s">
        <v>324</v>
      </c>
      <c r="O298" s="116" t="s">
        <v>62</v>
      </c>
      <c r="P298" s="116" t="s">
        <v>324</v>
      </c>
      <c r="Q298" s="116" t="s">
        <v>610</v>
      </c>
      <c r="R298" s="116"/>
      <c r="S298" s="116"/>
      <c r="T298" s="116"/>
      <c r="U298" s="95" t="s">
        <v>62</v>
      </c>
      <c r="V298" s="95" t="s">
        <v>62</v>
      </c>
      <c r="W298" s="95" t="s">
        <v>62</v>
      </c>
      <c r="X298" s="95">
        <v>172</v>
      </c>
      <c r="Y298" s="95">
        <v>74.5</v>
      </c>
      <c r="Z298" s="95">
        <f t="shared" si="9"/>
        <v>25.182531097890756</v>
      </c>
      <c r="AA298" s="95" t="s">
        <v>325</v>
      </c>
      <c r="AB298" s="95" t="s">
        <v>60</v>
      </c>
      <c r="AC298" s="95"/>
      <c r="AD298" s="95" t="s">
        <v>60</v>
      </c>
      <c r="AE298" s="95" t="s">
        <v>60</v>
      </c>
      <c r="AF298" s="95"/>
      <c r="AG298" s="95"/>
    </row>
    <row r="299" spans="1:33">
      <c r="A299" s="116" t="s">
        <v>1129</v>
      </c>
      <c r="B299" s="116" t="s">
        <v>1130</v>
      </c>
      <c r="C299" s="98">
        <v>43802</v>
      </c>
      <c r="D299" s="95" t="s">
        <v>60</v>
      </c>
      <c r="E299" s="116">
        <v>26</v>
      </c>
      <c r="F299" s="117">
        <v>34192</v>
      </c>
      <c r="G299" s="116" t="s">
        <v>58</v>
      </c>
      <c r="H299" s="116" t="s">
        <v>116</v>
      </c>
      <c r="I299" s="116" t="s">
        <v>62</v>
      </c>
      <c r="J299" s="118" t="s">
        <v>324</v>
      </c>
      <c r="K299" s="116" t="s">
        <v>62</v>
      </c>
      <c r="L299" s="118" t="s">
        <v>324</v>
      </c>
      <c r="M299" s="116" t="s">
        <v>62</v>
      </c>
      <c r="N299" s="116" t="s">
        <v>324</v>
      </c>
      <c r="O299" s="116" t="s">
        <v>62</v>
      </c>
      <c r="P299" s="116" t="s">
        <v>324</v>
      </c>
      <c r="Q299" s="116" t="s">
        <v>852</v>
      </c>
      <c r="R299" s="116" t="s">
        <v>629</v>
      </c>
      <c r="S299" s="116"/>
      <c r="T299" s="116"/>
      <c r="U299" s="95" t="s">
        <v>60</v>
      </c>
      <c r="V299" s="95" t="s">
        <v>390</v>
      </c>
      <c r="W299" s="95" t="s">
        <v>390</v>
      </c>
      <c r="X299" s="95">
        <v>174.4</v>
      </c>
      <c r="Y299" s="95">
        <v>77</v>
      </c>
      <c r="Z299" s="95">
        <f t="shared" si="9"/>
        <v>25.316156047470752</v>
      </c>
      <c r="AA299" s="95" t="s">
        <v>325</v>
      </c>
      <c r="AB299" s="95" t="s">
        <v>60</v>
      </c>
      <c r="AC299" s="95" t="s">
        <v>60</v>
      </c>
      <c r="AD299" s="95" t="s">
        <v>60</v>
      </c>
      <c r="AE299" s="95" t="s">
        <v>60</v>
      </c>
      <c r="AF299" s="95" t="s">
        <v>60</v>
      </c>
      <c r="AG299" s="95"/>
    </row>
    <row r="300" spans="1:33">
      <c r="A300" s="116" t="s">
        <v>853</v>
      </c>
      <c r="B300" s="116" t="s">
        <v>324</v>
      </c>
      <c r="C300" s="98">
        <v>43860</v>
      </c>
      <c r="D300" s="95" t="s">
        <v>60</v>
      </c>
      <c r="E300" s="116">
        <v>45</v>
      </c>
      <c r="F300" s="117">
        <v>27367</v>
      </c>
      <c r="G300" s="116" t="s">
        <v>58</v>
      </c>
      <c r="H300" s="116" t="s">
        <v>116</v>
      </c>
      <c r="I300" s="116" t="s">
        <v>62</v>
      </c>
      <c r="J300" s="118" t="s">
        <v>324</v>
      </c>
      <c r="K300" s="116" t="s">
        <v>60</v>
      </c>
      <c r="L300" s="118" t="s">
        <v>854</v>
      </c>
      <c r="M300" s="116" t="s">
        <v>62</v>
      </c>
      <c r="N300" s="116" t="s">
        <v>324</v>
      </c>
      <c r="O300" s="116" t="s">
        <v>62</v>
      </c>
      <c r="P300" s="116" t="s">
        <v>62</v>
      </c>
      <c r="Q300" s="116"/>
      <c r="R300" s="116"/>
      <c r="S300" s="116"/>
      <c r="T300" s="116"/>
      <c r="U300" s="95" t="s">
        <v>60</v>
      </c>
      <c r="V300" s="95" t="s">
        <v>60</v>
      </c>
      <c r="W300" s="95" t="s">
        <v>60</v>
      </c>
      <c r="X300" s="95">
        <v>167.4</v>
      </c>
      <c r="Y300" s="95">
        <v>101.8</v>
      </c>
      <c r="Z300" s="95">
        <f t="shared" si="9"/>
        <v>36.327613696866401</v>
      </c>
      <c r="AA300" s="95" t="s">
        <v>325</v>
      </c>
      <c r="AB300" s="95" t="s">
        <v>60</v>
      </c>
      <c r="AC300" s="95"/>
      <c r="AD300" s="95" t="s">
        <v>60</v>
      </c>
      <c r="AE300" s="95" t="s">
        <v>60</v>
      </c>
      <c r="AF300" s="95"/>
      <c r="AG300" s="95"/>
    </row>
    <row r="301" spans="1:33">
      <c r="A301" s="116" t="s">
        <v>855</v>
      </c>
      <c r="B301" s="116" t="s">
        <v>324</v>
      </c>
      <c r="C301" s="103">
        <v>43808</v>
      </c>
      <c r="D301" s="104" t="s">
        <v>60</v>
      </c>
      <c r="E301" s="116">
        <v>32</v>
      </c>
      <c r="F301" s="117">
        <v>32057</v>
      </c>
      <c r="G301" s="116" t="s">
        <v>58</v>
      </c>
      <c r="H301" s="116" t="s">
        <v>116</v>
      </c>
      <c r="I301" s="116" t="s">
        <v>62</v>
      </c>
      <c r="J301" s="118" t="s">
        <v>324</v>
      </c>
      <c r="K301" s="116" t="s">
        <v>62</v>
      </c>
      <c r="L301" s="118" t="s">
        <v>324</v>
      </c>
      <c r="M301" s="116" t="s">
        <v>62</v>
      </c>
      <c r="N301" s="116" t="s">
        <v>324</v>
      </c>
      <c r="O301" s="116" t="s">
        <v>62</v>
      </c>
      <c r="P301" s="116" t="s">
        <v>324</v>
      </c>
      <c r="Q301" s="116"/>
      <c r="R301" s="116"/>
      <c r="S301" s="116"/>
      <c r="T301" s="116"/>
      <c r="U301" s="104" t="s">
        <v>60</v>
      </c>
      <c r="V301" s="104" t="s">
        <v>62</v>
      </c>
      <c r="W301" s="104" t="s">
        <v>62</v>
      </c>
      <c r="X301" s="104">
        <v>166.4</v>
      </c>
      <c r="Y301" s="104">
        <v>109</v>
      </c>
      <c r="Z301" s="104">
        <f t="shared" ref="Z301:Z332" si="10">Y301/((X301/100)^2)</f>
        <v>39.365870007396438</v>
      </c>
      <c r="AA301" s="104" t="s">
        <v>325</v>
      </c>
      <c r="AB301" s="104" t="s">
        <v>60</v>
      </c>
      <c r="AC301" s="104" t="s">
        <v>60</v>
      </c>
      <c r="AD301" s="104" t="s">
        <v>60</v>
      </c>
      <c r="AE301" s="104" t="s">
        <v>60</v>
      </c>
      <c r="AF301" s="104"/>
      <c r="AG301" s="104"/>
    </row>
    <row r="302" spans="1:33">
      <c r="A302" s="116" t="s">
        <v>856</v>
      </c>
      <c r="B302" s="116" t="s">
        <v>324</v>
      </c>
      <c r="C302" s="98">
        <v>43804</v>
      </c>
      <c r="D302" s="95" t="s">
        <v>60</v>
      </c>
      <c r="E302" s="116">
        <v>23</v>
      </c>
      <c r="F302" s="117">
        <v>35263</v>
      </c>
      <c r="G302" s="116" t="s">
        <v>61</v>
      </c>
      <c r="H302" s="116" t="s">
        <v>116</v>
      </c>
      <c r="I302" s="116" t="s">
        <v>62</v>
      </c>
      <c r="J302" s="118" t="s">
        <v>324</v>
      </c>
      <c r="K302" s="116" t="s">
        <v>62</v>
      </c>
      <c r="L302" s="118" t="s">
        <v>324</v>
      </c>
      <c r="M302" s="116" t="s">
        <v>62</v>
      </c>
      <c r="N302" s="116" t="s">
        <v>324</v>
      </c>
      <c r="O302" s="116" t="s">
        <v>62</v>
      </c>
      <c r="P302" s="116" t="s">
        <v>324</v>
      </c>
      <c r="Q302" s="116"/>
      <c r="R302" s="116"/>
      <c r="S302" s="116"/>
      <c r="T302" s="116"/>
      <c r="U302" s="95" t="s">
        <v>60</v>
      </c>
      <c r="V302" s="95" t="s">
        <v>62</v>
      </c>
      <c r="W302" s="95" t="s">
        <v>62</v>
      </c>
      <c r="X302" s="95">
        <v>164.2</v>
      </c>
      <c r="Y302" s="95">
        <v>89.3</v>
      </c>
      <c r="Z302" s="95">
        <f t="shared" si="10"/>
        <v>33.121130613716382</v>
      </c>
      <c r="AA302" s="95" t="s">
        <v>325</v>
      </c>
      <c r="AB302" s="95" t="s">
        <v>60</v>
      </c>
      <c r="AC302" s="95" t="s">
        <v>60</v>
      </c>
      <c r="AD302" s="95" t="s">
        <v>60</v>
      </c>
      <c r="AE302" s="95" t="s">
        <v>60</v>
      </c>
      <c r="AF302" s="95"/>
      <c r="AG302" s="95"/>
    </row>
    <row r="303" spans="1:33">
      <c r="A303" s="116" t="s">
        <v>857</v>
      </c>
      <c r="B303" s="116" t="s">
        <v>324</v>
      </c>
      <c r="C303" s="98">
        <v>43857</v>
      </c>
      <c r="D303" s="95" t="s">
        <v>60</v>
      </c>
      <c r="E303" s="116">
        <v>22</v>
      </c>
      <c r="F303" s="117">
        <v>35548</v>
      </c>
      <c r="G303" s="116" t="s">
        <v>61</v>
      </c>
      <c r="H303" s="116" t="s">
        <v>117</v>
      </c>
      <c r="I303" s="116"/>
      <c r="J303" s="118" t="s">
        <v>324</v>
      </c>
      <c r="K303" s="116" t="s">
        <v>62</v>
      </c>
      <c r="L303" s="118" t="s">
        <v>324</v>
      </c>
      <c r="M303" s="116" t="s">
        <v>62</v>
      </c>
      <c r="N303" s="116" t="s">
        <v>324</v>
      </c>
      <c r="O303" s="116" t="s">
        <v>62</v>
      </c>
      <c r="P303" s="116" t="s">
        <v>62</v>
      </c>
      <c r="Q303" s="116" t="s">
        <v>858</v>
      </c>
      <c r="R303" s="116"/>
      <c r="S303" s="116"/>
      <c r="T303" s="116"/>
      <c r="U303" s="95" t="s">
        <v>62</v>
      </c>
      <c r="V303" s="95" t="s">
        <v>62</v>
      </c>
      <c r="W303" s="95" t="s">
        <v>62</v>
      </c>
      <c r="X303" s="95">
        <v>173</v>
      </c>
      <c r="Y303" s="95">
        <v>104.4</v>
      </c>
      <c r="Z303" s="95">
        <f t="shared" si="10"/>
        <v>34.882555381068528</v>
      </c>
      <c r="AA303" s="95" t="s">
        <v>325</v>
      </c>
      <c r="AB303" s="95" t="s">
        <v>60</v>
      </c>
      <c r="AC303" s="95"/>
      <c r="AD303" s="95" t="s">
        <v>60</v>
      </c>
      <c r="AE303" s="95" t="s">
        <v>60</v>
      </c>
      <c r="AF303" s="95"/>
      <c r="AG303" s="95"/>
    </row>
    <row r="304" spans="1:33">
      <c r="A304" s="116" t="s">
        <v>859</v>
      </c>
      <c r="B304" s="116" t="s">
        <v>324</v>
      </c>
      <c r="C304" s="98">
        <v>43834</v>
      </c>
      <c r="D304" s="95" t="s">
        <v>60</v>
      </c>
      <c r="E304" s="116">
        <v>39</v>
      </c>
      <c r="F304" s="117">
        <v>29340</v>
      </c>
      <c r="G304" s="116" t="s">
        <v>58</v>
      </c>
      <c r="H304" s="116" t="s">
        <v>116</v>
      </c>
      <c r="I304" s="116" t="s">
        <v>60</v>
      </c>
      <c r="J304" s="118" t="s">
        <v>860</v>
      </c>
      <c r="K304" s="116" t="s">
        <v>60</v>
      </c>
      <c r="L304" s="118" t="s">
        <v>60</v>
      </c>
      <c r="M304" s="116" t="s">
        <v>62</v>
      </c>
      <c r="N304" s="116" t="s">
        <v>324</v>
      </c>
      <c r="O304" s="116" t="s">
        <v>62</v>
      </c>
      <c r="P304" s="116" t="s">
        <v>62</v>
      </c>
      <c r="Q304" s="116"/>
      <c r="R304" s="116"/>
      <c r="S304" s="116"/>
      <c r="T304" s="116"/>
      <c r="U304" s="95" t="s">
        <v>60</v>
      </c>
      <c r="V304" s="95" t="s">
        <v>390</v>
      </c>
      <c r="W304" s="95" t="s">
        <v>62</v>
      </c>
      <c r="X304" s="95">
        <v>180</v>
      </c>
      <c r="Y304" s="95">
        <v>79.099999999999994</v>
      </c>
      <c r="Z304" s="95">
        <f t="shared" si="10"/>
        <v>24.413580246913575</v>
      </c>
      <c r="AA304" s="95" t="s">
        <v>325</v>
      </c>
      <c r="AB304" s="95" t="s">
        <v>60</v>
      </c>
      <c r="AC304" s="95" t="s">
        <v>60</v>
      </c>
      <c r="AD304" s="95" t="s">
        <v>421</v>
      </c>
      <c r="AE304" s="95" t="s">
        <v>60</v>
      </c>
      <c r="AF304" s="95"/>
      <c r="AG304" s="95"/>
    </row>
    <row r="305" spans="1:33">
      <c r="A305" s="116" t="s">
        <v>861</v>
      </c>
      <c r="B305" s="116" t="s">
        <v>324</v>
      </c>
      <c r="C305" s="98">
        <v>43811</v>
      </c>
      <c r="D305" s="95" t="s">
        <v>60</v>
      </c>
      <c r="E305" s="116">
        <v>48</v>
      </c>
      <c r="F305" s="117">
        <v>26194</v>
      </c>
      <c r="G305" s="116" t="s">
        <v>61</v>
      </c>
      <c r="H305" s="116" t="s">
        <v>116</v>
      </c>
      <c r="I305" s="116" t="s">
        <v>62</v>
      </c>
      <c r="J305" s="118" t="s">
        <v>324</v>
      </c>
      <c r="K305" s="116" t="s">
        <v>62</v>
      </c>
      <c r="L305" s="118" t="s">
        <v>324</v>
      </c>
      <c r="M305" s="116" t="s">
        <v>62</v>
      </c>
      <c r="N305" s="116" t="s">
        <v>324</v>
      </c>
      <c r="O305" s="116" t="s">
        <v>62</v>
      </c>
      <c r="P305" s="116" t="s">
        <v>324</v>
      </c>
      <c r="Q305" s="116"/>
      <c r="R305" s="116"/>
      <c r="S305" s="116"/>
      <c r="T305" s="116"/>
      <c r="U305" s="95" t="s">
        <v>60</v>
      </c>
      <c r="V305" s="95" t="s">
        <v>60</v>
      </c>
      <c r="W305" s="95" t="s">
        <v>60</v>
      </c>
      <c r="X305" s="95">
        <v>170.9</v>
      </c>
      <c r="Y305" s="95">
        <v>70.349999999999994</v>
      </c>
      <c r="Z305" s="95">
        <f t="shared" si="10"/>
        <v>24.086848238475888</v>
      </c>
      <c r="AA305" s="95" t="s">
        <v>325</v>
      </c>
      <c r="AB305" s="95" t="s">
        <v>60</v>
      </c>
      <c r="AC305" s="95"/>
      <c r="AD305" s="95" t="s">
        <v>60</v>
      </c>
      <c r="AE305" s="95" t="s">
        <v>60</v>
      </c>
      <c r="AF305" s="95"/>
      <c r="AG305" s="95"/>
    </row>
    <row r="306" spans="1:33">
      <c r="A306" s="116" t="s">
        <v>862</v>
      </c>
      <c r="B306" s="116" t="s">
        <v>324</v>
      </c>
      <c r="C306" s="98">
        <v>43861</v>
      </c>
      <c r="D306" s="95" t="s">
        <v>60</v>
      </c>
      <c r="E306" s="116">
        <v>29</v>
      </c>
      <c r="F306" s="117">
        <v>33177</v>
      </c>
      <c r="G306" s="116" t="s">
        <v>61</v>
      </c>
      <c r="H306" s="116" t="s">
        <v>116</v>
      </c>
      <c r="I306" s="116" t="s">
        <v>62</v>
      </c>
      <c r="J306" s="118" t="s">
        <v>324</v>
      </c>
      <c r="K306" s="116" t="s">
        <v>62</v>
      </c>
      <c r="L306" s="118" t="s">
        <v>324</v>
      </c>
      <c r="M306" s="116" t="s">
        <v>62</v>
      </c>
      <c r="N306" s="116" t="s">
        <v>324</v>
      </c>
      <c r="O306" s="116" t="s">
        <v>62</v>
      </c>
      <c r="P306" s="116" t="s">
        <v>62</v>
      </c>
      <c r="Q306" s="116"/>
      <c r="R306" s="116"/>
      <c r="S306" s="116"/>
      <c r="T306" s="116"/>
      <c r="U306" s="95" t="s">
        <v>62</v>
      </c>
      <c r="V306" s="95" t="s">
        <v>60</v>
      </c>
      <c r="W306" s="95" t="s">
        <v>62</v>
      </c>
      <c r="X306" s="95">
        <v>160.6</v>
      </c>
      <c r="Y306" s="95">
        <v>72.099999999999994</v>
      </c>
      <c r="Z306" s="95">
        <f t="shared" si="10"/>
        <v>27.954014289502787</v>
      </c>
      <c r="AA306" s="95" t="s">
        <v>325</v>
      </c>
      <c r="AB306" s="95" t="s">
        <v>60</v>
      </c>
      <c r="AC306" s="95" t="s">
        <v>60</v>
      </c>
      <c r="AD306" s="95" t="s">
        <v>60</v>
      </c>
      <c r="AE306" s="95" t="s">
        <v>60</v>
      </c>
      <c r="AF306" s="95"/>
      <c r="AG306" s="95"/>
    </row>
    <row r="307" spans="1:33">
      <c r="A307" s="116" t="s">
        <v>863</v>
      </c>
      <c r="B307" s="116" t="s">
        <v>324</v>
      </c>
      <c r="C307" s="98">
        <v>43837</v>
      </c>
      <c r="D307" s="95" t="s">
        <v>60</v>
      </c>
      <c r="E307" s="116">
        <v>26</v>
      </c>
      <c r="F307" s="117">
        <v>34228</v>
      </c>
      <c r="G307" s="116"/>
      <c r="H307" s="116" t="s">
        <v>116</v>
      </c>
      <c r="I307" s="116" t="s">
        <v>62</v>
      </c>
      <c r="J307" s="118" t="s">
        <v>324</v>
      </c>
      <c r="K307" s="116" t="s">
        <v>62</v>
      </c>
      <c r="L307" s="118" t="s">
        <v>324</v>
      </c>
      <c r="M307" s="116" t="s">
        <v>62</v>
      </c>
      <c r="N307" s="116" t="s">
        <v>324</v>
      </c>
      <c r="O307" s="116" t="s">
        <v>62</v>
      </c>
      <c r="P307" s="116" t="s">
        <v>62</v>
      </c>
      <c r="Q307" s="116"/>
      <c r="R307" s="116"/>
      <c r="S307" s="116"/>
      <c r="T307" s="116"/>
      <c r="U307" s="95" t="s">
        <v>60</v>
      </c>
      <c r="V307" s="95" t="s">
        <v>60</v>
      </c>
      <c r="W307" s="95" t="s">
        <v>390</v>
      </c>
      <c r="X307" s="95">
        <v>178.9</v>
      </c>
      <c r="Y307" s="95">
        <v>90</v>
      </c>
      <c r="Z307" s="95">
        <f t="shared" si="10"/>
        <v>28.120421643851106</v>
      </c>
      <c r="AA307" s="95" t="s">
        <v>325</v>
      </c>
      <c r="AB307" s="95" t="s">
        <v>60</v>
      </c>
      <c r="AC307" s="95" t="s">
        <v>60</v>
      </c>
      <c r="AD307" s="95" t="s">
        <v>60</v>
      </c>
      <c r="AE307" s="95" t="s">
        <v>60</v>
      </c>
      <c r="AF307" s="95"/>
      <c r="AG307" s="95"/>
    </row>
    <row r="308" spans="1:33" ht="57.6">
      <c r="A308" s="116" t="s">
        <v>864</v>
      </c>
      <c r="B308" s="116" t="s">
        <v>324</v>
      </c>
      <c r="C308" s="127">
        <v>43808</v>
      </c>
      <c r="D308" s="120" t="s">
        <v>60</v>
      </c>
      <c r="E308" s="116">
        <v>55</v>
      </c>
      <c r="F308" s="117">
        <v>23526</v>
      </c>
      <c r="G308" s="116" t="s">
        <v>61</v>
      </c>
      <c r="H308" s="116" t="s">
        <v>117</v>
      </c>
      <c r="I308" s="116" t="s">
        <v>62</v>
      </c>
      <c r="J308" s="118" t="s">
        <v>865</v>
      </c>
      <c r="K308" s="116" t="s">
        <v>62</v>
      </c>
      <c r="L308" s="118" t="s">
        <v>324</v>
      </c>
      <c r="M308" s="116" t="s">
        <v>62</v>
      </c>
      <c r="N308" s="116" t="s">
        <v>324</v>
      </c>
      <c r="O308" s="116" t="s">
        <v>60</v>
      </c>
      <c r="P308" s="116" t="s">
        <v>62</v>
      </c>
      <c r="Q308" s="116" t="s">
        <v>348</v>
      </c>
      <c r="R308" s="116" t="s">
        <v>866</v>
      </c>
      <c r="S308" s="116" t="s">
        <v>545</v>
      </c>
      <c r="T308" s="116"/>
      <c r="U308" s="120" t="s">
        <v>60</v>
      </c>
      <c r="V308" s="120" t="s">
        <v>60</v>
      </c>
      <c r="W308" s="120" t="s">
        <v>60</v>
      </c>
      <c r="X308" s="120">
        <v>158.6</v>
      </c>
      <c r="Y308" s="120">
        <v>174.2</v>
      </c>
      <c r="Z308" s="120">
        <f t="shared" si="10"/>
        <v>69.253509189010401</v>
      </c>
      <c r="AA308" s="120" t="s">
        <v>325</v>
      </c>
      <c r="AB308" s="120" t="s">
        <v>60</v>
      </c>
      <c r="AC308" s="120" t="s">
        <v>62</v>
      </c>
      <c r="AD308" s="120" t="s">
        <v>60</v>
      </c>
      <c r="AE308" s="120" t="s">
        <v>62</v>
      </c>
      <c r="AF308" s="120" t="s">
        <v>62</v>
      </c>
      <c r="AG308" s="120" t="s">
        <v>867</v>
      </c>
    </row>
    <row r="309" spans="1:33">
      <c r="A309" s="116" t="s">
        <v>868</v>
      </c>
      <c r="B309" s="116" t="s">
        <v>324</v>
      </c>
      <c r="C309" s="98">
        <v>43804</v>
      </c>
      <c r="D309" s="95" t="s">
        <v>60</v>
      </c>
      <c r="E309" s="116">
        <v>36</v>
      </c>
      <c r="F309" s="117">
        <v>30316</v>
      </c>
      <c r="G309" s="116" t="s">
        <v>61</v>
      </c>
      <c r="H309" s="116" t="s">
        <v>116</v>
      </c>
      <c r="I309" s="116" t="s">
        <v>62</v>
      </c>
      <c r="J309" s="118" t="s">
        <v>324</v>
      </c>
      <c r="K309" s="116" t="s">
        <v>62</v>
      </c>
      <c r="L309" s="118" t="s">
        <v>324</v>
      </c>
      <c r="M309" s="116" t="s">
        <v>62</v>
      </c>
      <c r="N309" s="116" t="s">
        <v>324</v>
      </c>
      <c r="O309" s="116" t="s">
        <v>62</v>
      </c>
      <c r="P309" s="116" t="s">
        <v>324</v>
      </c>
      <c r="Q309" s="116"/>
      <c r="R309" s="116"/>
      <c r="S309" s="116"/>
      <c r="T309" s="116"/>
      <c r="U309" s="95" t="s">
        <v>60</v>
      </c>
      <c r="V309" s="95" t="s">
        <v>60</v>
      </c>
      <c r="W309" s="95" t="s">
        <v>60</v>
      </c>
      <c r="X309" s="95">
        <v>159.4</v>
      </c>
      <c r="Y309" s="95">
        <v>63.4</v>
      </c>
      <c r="Z309" s="95">
        <f t="shared" si="10"/>
        <v>24.952417235901883</v>
      </c>
      <c r="AA309" s="95" t="s">
        <v>325</v>
      </c>
      <c r="AB309" s="95" t="s">
        <v>60</v>
      </c>
      <c r="AC309" s="95" t="s">
        <v>60</v>
      </c>
      <c r="AD309" s="95" t="s">
        <v>60</v>
      </c>
      <c r="AE309" s="95" t="s">
        <v>60</v>
      </c>
      <c r="AF309" s="95"/>
      <c r="AG309" s="95"/>
    </row>
    <row r="310" spans="1:33">
      <c r="A310" s="116" t="s">
        <v>869</v>
      </c>
      <c r="B310" s="116" t="s">
        <v>324</v>
      </c>
      <c r="C310" s="98">
        <v>43809</v>
      </c>
      <c r="D310" s="95" t="s">
        <v>60</v>
      </c>
      <c r="E310" s="116">
        <v>25</v>
      </c>
      <c r="F310" s="117">
        <v>34550</v>
      </c>
      <c r="G310" s="116" t="s">
        <v>58</v>
      </c>
      <c r="H310" s="116" t="s">
        <v>117</v>
      </c>
      <c r="I310" s="116" t="s">
        <v>62</v>
      </c>
      <c r="J310" s="118" t="s">
        <v>324</v>
      </c>
      <c r="K310" s="116" t="s">
        <v>62</v>
      </c>
      <c r="L310" s="118" t="s">
        <v>324</v>
      </c>
      <c r="M310" s="116" t="s">
        <v>62</v>
      </c>
      <c r="N310" s="116" t="s">
        <v>324</v>
      </c>
      <c r="O310" s="116" t="s">
        <v>62</v>
      </c>
      <c r="P310" s="116" t="s">
        <v>324</v>
      </c>
      <c r="Q310" s="116"/>
      <c r="R310" s="116"/>
      <c r="S310" s="116"/>
      <c r="T310" s="116"/>
      <c r="U310" s="95" t="s">
        <v>60</v>
      </c>
      <c r="V310" s="95" t="s">
        <v>62</v>
      </c>
      <c r="W310" s="95" t="s">
        <v>62</v>
      </c>
      <c r="X310" s="95">
        <v>169.7</v>
      </c>
      <c r="Y310" s="95">
        <v>145.6</v>
      </c>
      <c r="Z310" s="95">
        <f t="shared" si="10"/>
        <v>50.558908594285256</v>
      </c>
      <c r="AA310" s="95" t="s">
        <v>325</v>
      </c>
      <c r="AB310" s="95" t="s">
        <v>60</v>
      </c>
      <c r="AC310" s="95" t="s">
        <v>60</v>
      </c>
      <c r="AD310" s="95" t="s">
        <v>60</v>
      </c>
      <c r="AE310" s="95" t="s">
        <v>60</v>
      </c>
      <c r="AF310" s="95"/>
      <c r="AG310" s="95"/>
    </row>
    <row r="311" spans="1:33">
      <c r="A311" s="116" t="s">
        <v>870</v>
      </c>
      <c r="B311" s="116" t="s">
        <v>324</v>
      </c>
      <c r="C311" s="98">
        <v>43806</v>
      </c>
      <c r="D311" s="95" t="s">
        <v>60</v>
      </c>
      <c r="E311" s="116">
        <v>49</v>
      </c>
      <c r="F311" s="117">
        <v>25775</v>
      </c>
      <c r="G311" s="116" t="s">
        <v>58</v>
      </c>
      <c r="H311" s="116" t="s">
        <v>116</v>
      </c>
      <c r="I311" s="116" t="s">
        <v>62</v>
      </c>
      <c r="J311" s="118" t="s">
        <v>324</v>
      </c>
      <c r="K311" s="116" t="s">
        <v>62</v>
      </c>
      <c r="L311" s="118" t="s">
        <v>324</v>
      </c>
      <c r="M311" s="116" t="s">
        <v>62</v>
      </c>
      <c r="N311" s="116" t="s">
        <v>324</v>
      </c>
      <c r="O311" s="116" t="s">
        <v>62</v>
      </c>
      <c r="P311" s="116" t="s">
        <v>324</v>
      </c>
      <c r="Q311" s="116" t="s">
        <v>369</v>
      </c>
      <c r="R311" s="116"/>
      <c r="S311" s="116"/>
      <c r="T311" s="116"/>
      <c r="U311" s="95" t="s">
        <v>60</v>
      </c>
      <c r="V311" s="95" t="s">
        <v>60</v>
      </c>
      <c r="W311" s="95" t="s">
        <v>390</v>
      </c>
      <c r="X311" s="95">
        <v>184</v>
      </c>
      <c r="Y311" s="95">
        <v>86.7</v>
      </c>
      <c r="Z311" s="95">
        <f t="shared" si="10"/>
        <v>25.608459357277884</v>
      </c>
      <c r="AA311" s="95" t="s">
        <v>325</v>
      </c>
      <c r="AB311" s="95" t="s">
        <v>60</v>
      </c>
      <c r="AC311" s="95"/>
      <c r="AD311" s="95" t="s">
        <v>60</v>
      </c>
      <c r="AE311" s="95" t="s">
        <v>60</v>
      </c>
      <c r="AF311" s="95"/>
      <c r="AG311" s="95"/>
    </row>
    <row r="312" spans="1:33">
      <c r="A312" s="116" t="s">
        <v>871</v>
      </c>
      <c r="B312" s="116" t="s">
        <v>324</v>
      </c>
      <c r="C312" s="98">
        <v>43805</v>
      </c>
      <c r="D312" s="95" t="s">
        <v>60</v>
      </c>
      <c r="E312" s="116">
        <v>45</v>
      </c>
      <c r="F312" s="117">
        <v>27214</v>
      </c>
      <c r="G312" s="116" t="s">
        <v>58</v>
      </c>
      <c r="H312" s="116" t="s">
        <v>127</v>
      </c>
      <c r="I312" s="116" t="s">
        <v>62</v>
      </c>
      <c r="J312" s="118" t="s">
        <v>324</v>
      </c>
      <c r="K312" s="116" t="s">
        <v>62</v>
      </c>
      <c r="L312" s="118" t="s">
        <v>324</v>
      </c>
      <c r="M312" s="116" t="s">
        <v>62</v>
      </c>
      <c r="N312" s="116" t="s">
        <v>324</v>
      </c>
      <c r="O312" s="116" t="s">
        <v>62</v>
      </c>
      <c r="P312" s="116" t="s">
        <v>324</v>
      </c>
      <c r="Q312" s="116" t="s">
        <v>468</v>
      </c>
      <c r="R312" s="116" t="s">
        <v>369</v>
      </c>
      <c r="S312" s="116" t="s">
        <v>545</v>
      </c>
      <c r="T312" s="116"/>
      <c r="U312" s="95" t="s">
        <v>60</v>
      </c>
      <c r="V312" s="95" t="s">
        <v>60</v>
      </c>
      <c r="W312" s="95" t="s">
        <v>60</v>
      </c>
      <c r="X312" s="95">
        <v>174</v>
      </c>
      <c r="Y312" s="95">
        <v>116.2</v>
      </c>
      <c r="Z312" s="95">
        <f t="shared" si="10"/>
        <v>38.380235169771439</v>
      </c>
      <c r="AA312" s="95" t="s">
        <v>325</v>
      </c>
      <c r="AB312" s="95" t="s">
        <v>60</v>
      </c>
      <c r="AC312" s="95" t="s">
        <v>60</v>
      </c>
      <c r="AD312" s="95" t="s">
        <v>60</v>
      </c>
      <c r="AE312" s="95" t="s">
        <v>60</v>
      </c>
      <c r="AF312" s="95" t="s">
        <v>60</v>
      </c>
      <c r="AG312" s="95"/>
    </row>
    <row r="313" spans="1:33">
      <c r="A313" s="116" t="s">
        <v>872</v>
      </c>
      <c r="B313" s="116" t="s">
        <v>324</v>
      </c>
      <c r="C313" s="98">
        <v>43837</v>
      </c>
      <c r="D313" s="95" t="s">
        <v>60</v>
      </c>
      <c r="E313" s="116">
        <v>30</v>
      </c>
      <c r="F313" s="117">
        <v>32576</v>
      </c>
      <c r="G313" s="116" t="s">
        <v>61</v>
      </c>
      <c r="H313" s="116" t="s">
        <v>116</v>
      </c>
      <c r="I313" s="116" t="s">
        <v>62</v>
      </c>
      <c r="J313" s="118" t="s">
        <v>324</v>
      </c>
      <c r="K313" s="116" t="s">
        <v>62</v>
      </c>
      <c r="L313" s="118" t="s">
        <v>324</v>
      </c>
      <c r="M313" s="116" t="s">
        <v>62</v>
      </c>
      <c r="N313" s="116" t="s">
        <v>324</v>
      </c>
      <c r="O313" s="116" t="s">
        <v>62</v>
      </c>
      <c r="P313" s="116" t="s">
        <v>62</v>
      </c>
      <c r="Q313" s="116"/>
      <c r="R313" s="116"/>
      <c r="S313" s="116"/>
      <c r="T313" s="116"/>
      <c r="U313" s="95" t="s">
        <v>60</v>
      </c>
      <c r="V313" s="95" t="s">
        <v>62</v>
      </c>
      <c r="W313" s="95" t="s">
        <v>62</v>
      </c>
      <c r="X313" s="95">
        <v>172</v>
      </c>
      <c r="Y313" s="95">
        <v>54.2</v>
      </c>
      <c r="Z313" s="95">
        <f t="shared" si="10"/>
        <v>18.320713899405085</v>
      </c>
      <c r="AA313" s="95" t="s">
        <v>325</v>
      </c>
      <c r="AB313" s="95" t="s">
        <v>60</v>
      </c>
      <c r="AC313" s="95" t="s">
        <v>60</v>
      </c>
      <c r="AD313" s="95" t="s">
        <v>60</v>
      </c>
      <c r="AE313" s="95" t="s">
        <v>60</v>
      </c>
      <c r="AF313" s="95"/>
      <c r="AG313" s="95"/>
    </row>
    <row r="314" spans="1:33" ht="28.8">
      <c r="A314" s="116" t="s">
        <v>873</v>
      </c>
      <c r="B314" s="116" t="s">
        <v>324</v>
      </c>
      <c r="C314" s="98">
        <v>43864</v>
      </c>
      <c r="D314" s="95" t="s">
        <v>60</v>
      </c>
      <c r="E314" s="116">
        <v>27</v>
      </c>
      <c r="F314" s="117">
        <v>33790</v>
      </c>
      <c r="G314" s="116" t="s">
        <v>61</v>
      </c>
      <c r="H314" s="116" t="s">
        <v>116</v>
      </c>
      <c r="I314" s="116" t="s">
        <v>62</v>
      </c>
      <c r="J314" s="118" t="s">
        <v>324</v>
      </c>
      <c r="K314" s="116" t="s">
        <v>60</v>
      </c>
      <c r="L314" s="118" t="s">
        <v>874</v>
      </c>
      <c r="M314" s="116" t="s">
        <v>62</v>
      </c>
      <c r="N314" s="116" t="s">
        <v>324</v>
      </c>
      <c r="O314" s="116" t="s">
        <v>62</v>
      </c>
      <c r="P314" s="116" t="s">
        <v>62</v>
      </c>
      <c r="Q314" s="116"/>
      <c r="R314" s="116"/>
      <c r="S314" s="116"/>
      <c r="T314" s="116"/>
      <c r="U314" s="95" t="s">
        <v>60</v>
      </c>
      <c r="V314" s="95" t="s">
        <v>62</v>
      </c>
      <c r="W314" s="95" t="s">
        <v>62</v>
      </c>
      <c r="X314" s="95">
        <v>162.5</v>
      </c>
      <c r="Y314" s="95">
        <v>66.599999999999994</v>
      </c>
      <c r="Z314" s="95">
        <f t="shared" si="10"/>
        <v>25.221301775147928</v>
      </c>
      <c r="AA314" s="95" t="s">
        <v>325</v>
      </c>
      <c r="AB314" s="95" t="s">
        <v>60</v>
      </c>
      <c r="AC314" s="95" t="s">
        <v>60</v>
      </c>
      <c r="AD314" s="95" t="s">
        <v>421</v>
      </c>
      <c r="AE314" s="95" t="s">
        <v>60</v>
      </c>
      <c r="AF314" s="95"/>
      <c r="AG314" s="95"/>
    </row>
    <row r="315" spans="1:33">
      <c r="A315" s="116" t="s">
        <v>875</v>
      </c>
      <c r="B315" s="116" t="s">
        <v>324</v>
      </c>
      <c r="C315" s="98">
        <v>43843</v>
      </c>
      <c r="D315" s="95" t="s">
        <v>60</v>
      </c>
      <c r="E315" s="116">
        <v>67</v>
      </c>
      <c r="F315" s="117">
        <v>19269</v>
      </c>
      <c r="G315" s="116" t="s">
        <v>61</v>
      </c>
      <c r="H315" s="116" t="s">
        <v>116</v>
      </c>
      <c r="I315" s="116" t="s">
        <v>62</v>
      </c>
      <c r="J315" s="118" t="s">
        <v>324</v>
      </c>
      <c r="K315" s="116" t="s">
        <v>62</v>
      </c>
      <c r="L315" s="118" t="s">
        <v>324</v>
      </c>
      <c r="M315" s="116" t="s">
        <v>62</v>
      </c>
      <c r="N315" s="116" t="s">
        <v>324</v>
      </c>
      <c r="O315" s="116" t="s">
        <v>62</v>
      </c>
      <c r="P315" s="116" t="s">
        <v>62</v>
      </c>
      <c r="Q315" s="116"/>
      <c r="R315" s="116"/>
      <c r="S315" s="116"/>
      <c r="T315" s="116"/>
      <c r="U315" s="95" t="s">
        <v>62</v>
      </c>
      <c r="V315" s="95" t="s">
        <v>62</v>
      </c>
      <c r="W315" s="95" t="s">
        <v>62</v>
      </c>
      <c r="X315" s="95">
        <v>159</v>
      </c>
      <c r="Y315" s="95">
        <v>65.7</v>
      </c>
      <c r="Z315" s="95">
        <f t="shared" si="10"/>
        <v>25.987896048415806</v>
      </c>
      <c r="AA315" s="95" t="s">
        <v>325</v>
      </c>
      <c r="AB315" s="95" t="s">
        <v>60</v>
      </c>
      <c r="AC315" s="95"/>
      <c r="AD315" s="95" t="s">
        <v>60</v>
      </c>
      <c r="AE315" s="95" t="s">
        <v>60</v>
      </c>
      <c r="AF315" s="95"/>
      <c r="AG315" s="95"/>
    </row>
    <row r="316" spans="1:33">
      <c r="A316" s="116" t="s">
        <v>876</v>
      </c>
      <c r="B316" s="116" t="s">
        <v>324</v>
      </c>
      <c r="C316" s="98">
        <v>43836</v>
      </c>
      <c r="D316" s="95" t="s">
        <v>60</v>
      </c>
      <c r="E316" s="116">
        <v>28</v>
      </c>
      <c r="F316" s="117">
        <v>33341</v>
      </c>
      <c r="G316" s="116" t="s">
        <v>61</v>
      </c>
      <c r="H316" s="116" t="s">
        <v>116</v>
      </c>
      <c r="I316" s="116" t="s">
        <v>62</v>
      </c>
      <c r="J316" s="118" t="s">
        <v>324</v>
      </c>
      <c r="K316" s="116" t="s">
        <v>60</v>
      </c>
      <c r="L316" s="118" t="s">
        <v>877</v>
      </c>
      <c r="M316" s="116" t="s">
        <v>62</v>
      </c>
      <c r="N316" s="116" t="s">
        <v>324</v>
      </c>
      <c r="O316" s="116" t="s">
        <v>62</v>
      </c>
      <c r="P316" s="116" t="s">
        <v>62</v>
      </c>
      <c r="Q316" s="116"/>
      <c r="R316" s="116"/>
      <c r="S316" s="116"/>
      <c r="T316" s="116"/>
      <c r="U316" s="95" t="s">
        <v>60</v>
      </c>
      <c r="V316" s="95" t="s">
        <v>62</v>
      </c>
      <c r="W316" s="95" t="s">
        <v>62</v>
      </c>
      <c r="X316" s="95">
        <v>161.5</v>
      </c>
      <c r="Y316" s="95">
        <v>80.5</v>
      </c>
      <c r="Z316" s="95">
        <f t="shared" si="10"/>
        <v>30.86390169559758</v>
      </c>
      <c r="AA316" s="95" t="s">
        <v>325</v>
      </c>
      <c r="AB316" s="95" t="s">
        <v>60</v>
      </c>
      <c r="AC316" s="95" t="s">
        <v>60</v>
      </c>
      <c r="AD316" s="95" t="s">
        <v>60</v>
      </c>
      <c r="AE316" s="95" t="s">
        <v>535</v>
      </c>
      <c r="AF316" s="95"/>
      <c r="AG316" s="95"/>
    </row>
    <row r="317" spans="1:33">
      <c r="A317" s="116" t="s">
        <v>878</v>
      </c>
      <c r="B317" s="116" t="s">
        <v>324</v>
      </c>
      <c r="C317" s="98">
        <v>43837</v>
      </c>
      <c r="D317" s="95" t="s">
        <v>60</v>
      </c>
      <c r="E317" s="116">
        <v>21</v>
      </c>
      <c r="F317" s="117">
        <v>35957</v>
      </c>
      <c r="G317" s="116" t="s">
        <v>58</v>
      </c>
      <c r="H317" s="116" t="s">
        <v>116</v>
      </c>
      <c r="I317" s="116" t="s">
        <v>62</v>
      </c>
      <c r="J317" s="118" t="s">
        <v>324</v>
      </c>
      <c r="K317" s="116" t="s">
        <v>62</v>
      </c>
      <c r="L317" s="118" t="s">
        <v>324</v>
      </c>
      <c r="M317" s="116" t="s">
        <v>62</v>
      </c>
      <c r="N317" s="116" t="s">
        <v>324</v>
      </c>
      <c r="O317" s="116" t="s">
        <v>62</v>
      </c>
      <c r="P317" s="116" t="s">
        <v>62</v>
      </c>
      <c r="Q317" s="116"/>
      <c r="R317" s="116"/>
      <c r="S317" s="116"/>
      <c r="T317" s="116"/>
      <c r="U317" s="95" t="s">
        <v>60</v>
      </c>
      <c r="V317" s="95" t="s">
        <v>62</v>
      </c>
      <c r="W317" s="95" t="s">
        <v>62</v>
      </c>
      <c r="X317" s="95">
        <v>183.1</v>
      </c>
      <c r="Y317" s="95">
        <v>87.9</v>
      </c>
      <c r="Z317" s="95">
        <f t="shared" si="10"/>
        <v>26.21876231334792</v>
      </c>
      <c r="AA317" s="95" t="s">
        <v>325</v>
      </c>
      <c r="AB317" s="95" t="s">
        <v>60</v>
      </c>
      <c r="AC317" s="95" t="s">
        <v>60</v>
      </c>
      <c r="AD317" s="95" t="s">
        <v>60</v>
      </c>
      <c r="AE317" s="95" t="s">
        <v>60</v>
      </c>
      <c r="AF317" s="95"/>
      <c r="AG317" s="95"/>
    </row>
    <row r="318" spans="1:33">
      <c r="A318" s="116" t="s">
        <v>879</v>
      </c>
      <c r="B318" s="116" t="s">
        <v>324</v>
      </c>
      <c r="C318" s="98">
        <v>43836</v>
      </c>
      <c r="D318" s="95" t="s">
        <v>60</v>
      </c>
      <c r="E318" s="116">
        <v>27</v>
      </c>
      <c r="F318" s="117">
        <v>33674</v>
      </c>
      <c r="G318" s="116" t="s">
        <v>61</v>
      </c>
      <c r="H318" s="116" t="s">
        <v>116</v>
      </c>
      <c r="I318" s="116"/>
      <c r="J318" s="118" t="s">
        <v>324</v>
      </c>
      <c r="K318" s="116" t="s">
        <v>62</v>
      </c>
      <c r="L318" s="118" t="s">
        <v>324</v>
      </c>
      <c r="M318" s="116" t="s">
        <v>62</v>
      </c>
      <c r="N318" s="116" t="s">
        <v>324</v>
      </c>
      <c r="O318" s="116" t="s">
        <v>62</v>
      </c>
      <c r="P318" s="116" t="s">
        <v>62</v>
      </c>
      <c r="Q318" s="116"/>
      <c r="R318" s="116"/>
      <c r="S318" s="116"/>
      <c r="T318" s="116"/>
      <c r="U318" s="95" t="s">
        <v>60</v>
      </c>
      <c r="V318" s="95" t="s">
        <v>62</v>
      </c>
      <c r="W318" s="95" t="s">
        <v>62</v>
      </c>
      <c r="X318" s="95">
        <v>164.4</v>
      </c>
      <c r="Y318" s="95">
        <v>99.4</v>
      </c>
      <c r="Z318" s="95">
        <f t="shared" si="10"/>
        <v>36.777546900622184</v>
      </c>
      <c r="AA318" s="95" t="s">
        <v>325</v>
      </c>
      <c r="AB318" s="95" t="s">
        <v>60</v>
      </c>
      <c r="AC318" s="95" t="s">
        <v>60</v>
      </c>
      <c r="AD318" s="95" t="s">
        <v>60</v>
      </c>
      <c r="AE318" s="95" t="s">
        <v>60</v>
      </c>
      <c r="AF318" s="95"/>
      <c r="AG318" s="95"/>
    </row>
    <row r="319" spans="1:33" ht="28.8">
      <c r="A319" s="116" t="s">
        <v>880</v>
      </c>
      <c r="B319" s="116" t="s">
        <v>324</v>
      </c>
      <c r="C319" s="98">
        <v>43838</v>
      </c>
      <c r="D319" s="95" t="s">
        <v>60</v>
      </c>
      <c r="E319" s="116">
        <v>67</v>
      </c>
      <c r="F319" s="117">
        <v>19130</v>
      </c>
      <c r="G319" s="116" t="s">
        <v>58</v>
      </c>
      <c r="H319" s="116" t="s">
        <v>128</v>
      </c>
      <c r="I319" s="116" t="s">
        <v>62</v>
      </c>
      <c r="J319" s="118" t="s">
        <v>324</v>
      </c>
      <c r="K319" s="116" t="s">
        <v>60</v>
      </c>
      <c r="L319" s="118" t="s">
        <v>881</v>
      </c>
      <c r="M319" s="116" t="s">
        <v>62</v>
      </c>
      <c r="N319" s="116" t="s">
        <v>324</v>
      </c>
      <c r="O319" s="116" t="s">
        <v>62</v>
      </c>
      <c r="P319" s="116" t="s">
        <v>62</v>
      </c>
      <c r="Q319" s="116"/>
      <c r="R319" s="116"/>
      <c r="S319" s="116"/>
      <c r="T319" s="116"/>
      <c r="U319" s="95" t="s">
        <v>62</v>
      </c>
      <c r="V319" s="95" t="s">
        <v>62</v>
      </c>
      <c r="W319" s="95" t="s">
        <v>62</v>
      </c>
      <c r="X319" s="95">
        <v>173.9</v>
      </c>
      <c r="Y319" s="95">
        <v>59.6</v>
      </c>
      <c r="Z319" s="95">
        <f t="shared" si="10"/>
        <v>19.708206120059348</v>
      </c>
      <c r="AA319" s="95" t="s">
        <v>325</v>
      </c>
      <c r="AB319" s="95" t="s">
        <v>60</v>
      </c>
      <c r="AC319" s="95"/>
      <c r="AD319" s="95" t="s">
        <v>60</v>
      </c>
      <c r="AE319" s="95" t="s">
        <v>60</v>
      </c>
      <c r="AF319" s="95"/>
      <c r="AG319" s="95"/>
    </row>
    <row r="320" spans="1:33">
      <c r="A320" s="116" t="s">
        <v>882</v>
      </c>
      <c r="B320" s="116" t="s">
        <v>324</v>
      </c>
      <c r="C320" s="98">
        <v>43836</v>
      </c>
      <c r="D320" s="95" t="s">
        <v>60</v>
      </c>
      <c r="E320" s="116">
        <v>31</v>
      </c>
      <c r="F320" s="117">
        <v>32450</v>
      </c>
      <c r="G320" s="116" t="s">
        <v>58</v>
      </c>
      <c r="H320" s="116" t="s">
        <v>117</v>
      </c>
      <c r="I320" s="116" t="s">
        <v>60</v>
      </c>
      <c r="J320" s="118">
        <v>10</v>
      </c>
      <c r="K320" s="116" t="s">
        <v>60</v>
      </c>
      <c r="L320" s="118" t="s">
        <v>883</v>
      </c>
      <c r="M320" s="116" t="s">
        <v>62</v>
      </c>
      <c r="N320" s="116" t="s">
        <v>324</v>
      </c>
      <c r="O320" s="116" t="s">
        <v>62</v>
      </c>
      <c r="P320" s="116" t="s">
        <v>62</v>
      </c>
      <c r="Q320" s="116"/>
      <c r="R320" s="116"/>
      <c r="S320" s="116"/>
      <c r="T320" s="116"/>
      <c r="U320" s="95" t="s">
        <v>60</v>
      </c>
      <c r="V320" s="95" t="s">
        <v>62</v>
      </c>
      <c r="W320" s="95" t="s">
        <v>62</v>
      </c>
      <c r="X320" s="95">
        <v>170</v>
      </c>
      <c r="Y320" s="95">
        <v>70.7</v>
      </c>
      <c r="Z320" s="95">
        <f t="shared" si="10"/>
        <v>24.463667820069208</v>
      </c>
      <c r="AA320" s="95" t="s">
        <v>325</v>
      </c>
      <c r="AB320" s="95" t="s">
        <v>60</v>
      </c>
      <c r="AC320" s="95" t="s">
        <v>60</v>
      </c>
      <c r="AD320" s="95" t="s">
        <v>60</v>
      </c>
      <c r="AE320" s="95" t="s">
        <v>60</v>
      </c>
      <c r="AF320" s="95"/>
      <c r="AG320" s="95"/>
    </row>
    <row r="321" spans="1:33">
      <c r="A321" s="116" t="s">
        <v>884</v>
      </c>
      <c r="B321" s="116" t="s">
        <v>324</v>
      </c>
      <c r="C321" s="98">
        <v>43837</v>
      </c>
      <c r="D321" s="95" t="s">
        <v>60</v>
      </c>
      <c r="E321" s="116">
        <v>59</v>
      </c>
      <c r="F321" s="117">
        <v>22070</v>
      </c>
      <c r="G321" s="116" t="s">
        <v>58</v>
      </c>
      <c r="H321" s="116" t="s">
        <v>116</v>
      </c>
      <c r="I321" s="116" t="s">
        <v>62</v>
      </c>
      <c r="J321" s="118" t="s">
        <v>324</v>
      </c>
      <c r="K321" s="116" t="s">
        <v>60</v>
      </c>
      <c r="L321" s="118" t="s">
        <v>885</v>
      </c>
      <c r="M321" s="116" t="s">
        <v>62</v>
      </c>
      <c r="N321" s="116" t="s">
        <v>324</v>
      </c>
      <c r="O321" s="116" t="s">
        <v>62</v>
      </c>
      <c r="P321" s="116" t="s">
        <v>62</v>
      </c>
      <c r="Q321" s="116"/>
      <c r="R321" s="116"/>
      <c r="S321" s="116"/>
      <c r="T321" s="116"/>
      <c r="U321" s="95" t="s">
        <v>62</v>
      </c>
      <c r="V321" s="95" t="s">
        <v>62</v>
      </c>
      <c r="W321" s="95" t="s">
        <v>62</v>
      </c>
      <c r="X321" s="95">
        <v>177.9</v>
      </c>
      <c r="Y321" s="95">
        <v>85.3</v>
      </c>
      <c r="Z321" s="95">
        <f t="shared" si="10"/>
        <v>26.952380862103336</v>
      </c>
      <c r="AA321" s="95" t="s">
        <v>325</v>
      </c>
      <c r="AB321" s="95" t="s">
        <v>60</v>
      </c>
      <c r="AC321" s="95" t="s">
        <v>60</v>
      </c>
      <c r="AD321" s="95" t="s">
        <v>60</v>
      </c>
      <c r="AE321" s="95" t="s">
        <v>60</v>
      </c>
      <c r="AF321" s="95"/>
      <c r="AG321" s="95"/>
    </row>
    <row r="322" spans="1:33" ht="28.8">
      <c r="A322" s="116" t="s">
        <v>886</v>
      </c>
      <c r="B322" s="116" t="s">
        <v>324</v>
      </c>
      <c r="C322" s="98">
        <v>43834</v>
      </c>
      <c r="D322" s="95" t="s">
        <v>60</v>
      </c>
      <c r="E322" s="116">
        <v>40</v>
      </c>
      <c r="F322" s="117">
        <v>28902</v>
      </c>
      <c r="G322" s="116" t="s">
        <v>58</v>
      </c>
      <c r="H322" s="116" t="s">
        <v>116</v>
      </c>
      <c r="I322" s="116" t="s">
        <v>62</v>
      </c>
      <c r="J322" s="118" t="s">
        <v>324</v>
      </c>
      <c r="K322" s="116" t="s">
        <v>60</v>
      </c>
      <c r="L322" s="118" t="s">
        <v>887</v>
      </c>
      <c r="M322" s="116" t="s">
        <v>62</v>
      </c>
      <c r="N322" s="116" t="s">
        <v>324</v>
      </c>
      <c r="O322" s="116" t="s">
        <v>62</v>
      </c>
      <c r="P322" s="116" t="s">
        <v>62</v>
      </c>
      <c r="Q322" s="116"/>
      <c r="R322" s="116"/>
      <c r="S322" s="116"/>
      <c r="T322" s="116"/>
      <c r="U322" s="95" t="s">
        <v>60</v>
      </c>
      <c r="V322" s="95" t="s">
        <v>60</v>
      </c>
      <c r="W322" s="95" t="s">
        <v>60</v>
      </c>
      <c r="X322" s="95">
        <v>167.6</v>
      </c>
      <c r="Y322" s="95">
        <v>83.5</v>
      </c>
      <c r="Z322" s="95">
        <f t="shared" si="10"/>
        <v>29.726135075557785</v>
      </c>
      <c r="AA322" s="95" t="s">
        <v>325</v>
      </c>
      <c r="AB322" s="95" t="s">
        <v>60</v>
      </c>
      <c r="AC322" s="95"/>
      <c r="AD322" s="95"/>
      <c r="AE322" s="95" t="s">
        <v>60</v>
      </c>
      <c r="AF322" s="95"/>
      <c r="AG322" s="95"/>
    </row>
    <row r="323" spans="1:33">
      <c r="A323" s="116" t="s">
        <v>888</v>
      </c>
      <c r="B323" s="116" t="s">
        <v>324</v>
      </c>
      <c r="C323" s="98">
        <v>43837</v>
      </c>
      <c r="D323" s="95" t="s">
        <v>60</v>
      </c>
      <c r="E323" s="116">
        <v>51</v>
      </c>
      <c r="F323" s="117">
        <v>24874</v>
      </c>
      <c r="G323" s="116" t="s">
        <v>61</v>
      </c>
      <c r="H323" s="116" t="s">
        <v>116</v>
      </c>
      <c r="I323" s="116" t="s">
        <v>62</v>
      </c>
      <c r="J323" s="118" t="s">
        <v>324</v>
      </c>
      <c r="K323" s="116" t="s">
        <v>60</v>
      </c>
      <c r="L323" s="118" t="s">
        <v>889</v>
      </c>
      <c r="M323" s="116" t="s">
        <v>62</v>
      </c>
      <c r="N323" s="116" t="s">
        <v>324</v>
      </c>
      <c r="O323" s="116" t="s">
        <v>62</v>
      </c>
      <c r="P323" s="116" t="s">
        <v>62</v>
      </c>
      <c r="Q323" s="116"/>
      <c r="R323" s="116"/>
      <c r="S323" s="116"/>
      <c r="T323" s="116"/>
      <c r="U323" s="95" t="s">
        <v>62</v>
      </c>
      <c r="V323" s="95" t="s">
        <v>62</v>
      </c>
      <c r="W323" s="95" t="s">
        <v>62</v>
      </c>
      <c r="X323" s="95">
        <v>164.1</v>
      </c>
      <c r="Y323" s="95">
        <v>66.7</v>
      </c>
      <c r="Z323" s="95">
        <f t="shared" si="10"/>
        <v>24.769011330244449</v>
      </c>
      <c r="AA323" s="95" t="s">
        <v>325</v>
      </c>
      <c r="AB323" s="95" t="s">
        <v>60</v>
      </c>
      <c r="AC323" s="95"/>
      <c r="AD323" s="95" t="s">
        <v>60</v>
      </c>
      <c r="AE323" s="95" t="s">
        <v>60</v>
      </c>
      <c r="AF323" s="95"/>
      <c r="AG323" s="95"/>
    </row>
    <row r="324" spans="1:33">
      <c r="A324" s="116" t="s">
        <v>890</v>
      </c>
      <c r="B324" s="116" t="s">
        <v>324</v>
      </c>
      <c r="C324" s="98">
        <v>43837</v>
      </c>
      <c r="D324" s="95" t="s">
        <v>60</v>
      </c>
      <c r="E324" s="116">
        <v>67</v>
      </c>
      <c r="F324" s="117">
        <v>19120</v>
      </c>
      <c r="G324" s="116" t="s">
        <v>61</v>
      </c>
      <c r="H324" s="116" t="s">
        <v>117</v>
      </c>
      <c r="I324" s="116" t="s">
        <v>62</v>
      </c>
      <c r="J324" s="118" t="s">
        <v>324</v>
      </c>
      <c r="K324" s="116" t="s">
        <v>62</v>
      </c>
      <c r="L324" s="118" t="s">
        <v>324</v>
      </c>
      <c r="M324" s="116" t="s">
        <v>62</v>
      </c>
      <c r="N324" s="116" t="s">
        <v>324</v>
      </c>
      <c r="O324" s="116" t="s">
        <v>62</v>
      </c>
      <c r="P324" s="116" t="s">
        <v>62</v>
      </c>
      <c r="Q324" s="116"/>
      <c r="R324" s="116"/>
      <c r="S324" s="116"/>
      <c r="T324" s="116"/>
      <c r="U324" s="95" t="s">
        <v>60</v>
      </c>
      <c r="V324" s="95" t="s">
        <v>62</v>
      </c>
      <c r="W324" s="95" t="s">
        <v>62</v>
      </c>
      <c r="X324" s="95">
        <v>165</v>
      </c>
      <c r="Y324" s="95">
        <v>11.5</v>
      </c>
      <c r="Z324" s="95">
        <f t="shared" si="10"/>
        <v>4.2240587695133156</v>
      </c>
      <c r="AA324" s="95" t="s">
        <v>325</v>
      </c>
      <c r="AB324" s="95" t="s">
        <v>60</v>
      </c>
      <c r="AC324" s="95"/>
      <c r="AD324" s="95" t="s">
        <v>60</v>
      </c>
      <c r="AE324" s="95" t="s">
        <v>60</v>
      </c>
      <c r="AF324" s="95"/>
      <c r="AG324" s="95"/>
    </row>
    <row r="325" spans="1:33">
      <c r="A325" s="116" t="s">
        <v>891</v>
      </c>
      <c r="B325" s="116" t="s">
        <v>324</v>
      </c>
      <c r="C325" s="98">
        <v>43838</v>
      </c>
      <c r="D325" s="95" t="s">
        <v>60</v>
      </c>
      <c r="E325" s="116">
        <v>53</v>
      </c>
      <c r="F325" s="117">
        <v>24482</v>
      </c>
      <c r="G325" s="116" t="s">
        <v>58</v>
      </c>
      <c r="H325" s="116" t="s">
        <v>117</v>
      </c>
      <c r="I325" s="116" t="s">
        <v>62</v>
      </c>
      <c r="J325" s="118" t="s">
        <v>324</v>
      </c>
      <c r="K325" s="116" t="s">
        <v>62</v>
      </c>
      <c r="L325" s="118" t="s">
        <v>324</v>
      </c>
      <c r="M325" s="116" t="s">
        <v>62</v>
      </c>
      <c r="N325" s="116" t="s">
        <v>324</v>
      </c>
      <c r="O325" s="116" t="s">
        <v>62</v>
      </c>
      <c r="P325" s="116" t="s">
        <v>62</v>
      </c>
      <c r="Q325" s="116"/>
      <c r="R325" s="116"/>
      <c r="S325" s="116"/>
      <c r="T325" s="116"/>
      <c r="U325" s="95" t="s">
        <v>60</v>
      </c>
      <c r="V325" s="95" t="s">
        <v>60</v>
      </c>
      <c r="W325" s="95" t="s">
        <v>60</v>
      </c>
      <c r="X325" s="95">
        <v>170.1</v>
      </c>
      <c r="Y325" s="95">
        <v>92</v>
      </c>
      <c r="Z325" s="95">
        <f t="shared" si="10"/>
        <v>31.796491395420137</v>
      </c>
      <c r="AA325" s="95" t="s">
        <v>325</v>
      </c>
      <c r="AB325" s="95" t="s">
        <v>60</v>
      </c>
      <c r="AC325" s="95"/>
      <c r="AD325" s="95"/>
      <c r="AE325" s="95" t="s">
        <v>60</v>
      </c>
      <c r="AF325" s="95"/>
      <c r="AG325" s="95"/>
    </row>
    <row r="326" spans="1:33" ht="28.8">
      <c r="A326" s="116" t="s">
        <v>892</v>
      </c>
      <c r="B326" s="116" t="s">
        <v>324</v>
      </c>
      <c r="C326" s="98">
        <v>43843</v>
      </c>
      <c r="D326" s="95" t="s">
        <v>60</v>
      </c>
      <c r="E326" s="116">
        <v>20</v>
      </c>
      <c r="F326" s="117">
        <v>36405</v>
      </c>
      <c r="G326" s="116" t="s">
        <v>61</v>
      </c>
      <c r="H326" s="116" t="s">
        <v>129</v>
      </c>
      <c r="I326" s="116" t="s">
        <v>62</v>
      </c>
      <c r="J326" s="118" t="s">
        <v>324</v>
      </c>
      <c r="K326" s="116" t="s">
        <v>60</v>
      </c>
      <c r="L326" s="118" t="s">
        <v>893</v>
      </c>
      <c r="M326" s="116"/>
      <c r="N326" s="116" t="s">
        <v>324</v>
      </c>
      <c r="O326" s="116" t="s">
        <v>62</v>
      </c>
      <c r="P326" s="116" t="s">
        <v>62</v>
      </c>
      <c r="Q326" s="116"/>
      <c r="R326" s="116"/>
      <c r="S326" s="116"/>
      <c r="T326" s="116"/>
      <c r="U326" s="95" t="s">
        <v>60</v>
      </c>
      <c r="V326" s="95" t="s">
        <v>62</v>
      </c>
      <c r="W326" s="95" t="s">
        <v>62</v>
      </c>
      <c r="X326" s="95">
        <v>170</v>
      </c>
      <c r="Y326" s="95">
        <v>56.6</v>
      </c>
      <c r="Z326" s="95">
        <f t="shared" si="10"/>
        <v>19.584775086505193</v>
      </c>
      <c r="AA326" s="95" t="s">
        <v>325</v>
      </c>
      <c r="AB326" s="95" t="s">
        <v>60</v>
      </c>
      <c r="AC326" s="95" t="s">
        <v>60</v>
      </c>
      <c r="AD326" s="95" t="s">
        <v>60</v>
      </c>
      <c r="AE326" s="95" t="s">
        <v>60</v>
      </c>
      <c r="AF326" s="95"/>
      <c r="AG326" s="95"/>
    </row>
    <row r="327" spans="1:33" ht="28.8">
      <c r="A327" s="116" t="s">
        <v>894</v>
      </c>
      <c r="B327" s="116" t="s">
        <v>324</v>
      </c>
      <c r="C327" s="98">
        <v>43845</v>
      </c>
      <c r="D327" s="95" t="s">
        <v>60</v>
      </c>
      <c r="E327" s="116">
        <v>70</v>
      </c>
      <c r="F327" s="117">
        <v>17949</v>
      </c>
      <c r="G327" s="116" t="s">
        <v>58</v>
      </c>
      <c r="H327" s="116" t="s">
        <v>116</v>
      </c>
      <c r="I327" s="116" t="s">
        <v>62</v>
      </c>
      <c r="J327" s="118" t="s">
        <v>324</v>
      </c>
      <c r="K327" s="116" t="s">
        <v>60</v>
      </c>
      <c r="L327" s="118" t="s">
        <v>895</v>
      </c>
      <c r="M327" s="116" t="s">
        <v>62</v>
      </c>
      <c r="N327" s="116" t="s">
        <v>324</v>
      </c>
      <c r="O327" s="116" t="s">
        <v>62</v>
      </c>
      <c r="P327" s="116" t="s">
        <v>62</v>
      </c>
      <c r="Q327" s="116" t="s">
        <v>363</v>
      </c>
      <c r="R327" s="116" t="s">
        <v>545</v>
      </c>
      <c r="S327" s="116"/>
      <c r="T327" s="116"/>
      <c r="U327" s="95" t="s">
        <v>60</v>
      </c>
      <c r="V327" s="95" t="s">
        <v>62</v>
      </c>
      <c r="W327" s="95" t="s">
        <v>60</v>
      </c>
      <c r="X327" s="95">
        <v>177.5</v>
      </c>
      <c r="Y327" s="95">
        <v>93.8</v>
      </c>
      <c r="Z327" s="95">
        <f t="shared" si="10"/>
        <v>29.771870660583218</v>
      </c>
      <c r="AA327" s="95" t="s">
        <v>325</v>
      </c>
      <c r="AB327" s="95" t="s">
        <v>60</v>
      </c>
      <c r="AC327" s="95"/>
      <c r="AD327" s="95" t="s">
        <v>60</v>
      </c>
      <c r="AE327" s="95" t="s">
        <v>60</v>
      </c>
      <c r="AF327" s="95"/>
      <c r="AG327" s="95"/>
    </row>
    <row r="328" spans="1:33">
      <c r="A328" s="116" t="s">
        <v>896</v>
      </c>
      <c r="B328" s="116" t="s">
        <v>324</v>
      </c>
      <c r="C328" s="98">
        <v>43855</v>
      </c>
      <c r="D328" s="95" t="s">
        <v>60</v>
      </c>
      <c r="E328" s="116">
        <v>58</v>
      </c>
      <c r="F328" s="117">
        <v>22432</v>
      </c>
      <c r="G328" s="116" t="s">
        <v>61</v>
      </c>
      <c r="H328" s="116" t="s">
        <v>116</v>
      </c>
      <c r="I328" s="116" t="s">
        <v>62</v>
      </c>
      <c r="J328" s="118" t="s">
        <v>324</v>
      </c>
      <c r="K328" s="116" t="s">
        <v>62</v>
      </c>
      <c r="L328" s="118" t="s">
        <v>324</v>
      </c>
      <c r="M328" s="116" t="s">
        <v>62</v>
      </c>
      <c r="N328" s="116" t="s">
        <v>324</v>
      </c>
      <c r="O328" s="116" t="s">
        <v>62</v>
      </c>
      <c r="P328" s="116" t="s">
        <v>62</v>
      </c>
      <c r="Q328" s="116"/>
      <c r="R328" s="116"/>
      <c r="S328" s="116"/>
      <c r="T328" s="116"/>
      <c r="U328" s="95" t="s">
        <v>60</v>
      </c>
      <c r="V328" s="95" t="s">
        <v>60</v>
      </c>
      <c r="W328" s="95" t="s">
        <v>60</v>
      </c>
      <c r="X328" s="95">
        <v>151.80000000000001</v>
      </c>
      <c r="Y328" s="95">
        <v>60.6</v>
      </c>
      <c r="Z328" s="95">
        <f t="shared" si="10"/>
        <v>26.298385122925421</v>
      </c>
      <c r="AA328" s="95" t="s">
        <v>325</v>
      </c>
      <c r="AB328" s="95" t="s">
        <v>60</v>
      </c>
      <c r="AC328" s="95"/>
      <c r="AD328" s="95" t="s">
        <v>60</v>
      </c>
      <c r="AE328" s="95" t="s">
        <v>60</v>
      </c>
      <c r="AF328" s="95"/>
      <c r="AG328" s="95"/>
    </row>
    <row r="329" spans="1:33">
      <c r="A329" s="116" t="s">
        <v>897</v>
      </c>
      <c r="B329" s="116" t="s">
        <v>324</v>
      </c>
      <c r="C329" s="98">
        <v>43843</v>
      </c>
      <c r="D329" s="95" t="s">
        <v>60</v>
      </c>
      <c r="E329" s="116">
        <v>39</v>
      </c>
      <c r="F329" s="117">
        <v>29596</v>
      </c>
      <c r="G329" s="116" t="s">
        <v>61</v>
      </c>
      <c r="H329" s="116" t="s">
        <v>116</v>
      </c>
      <c r="I329" s="116" t="s">
        <v>62</v>
      </c>
      <c r="J329" s="118" t="s">
        <v>324</v>
      </c>
      <c r="K329" s="116" t="s">
        <v>62</v>
      </c>
      <c r="L329" s="118" t="s">
        <v>324</v>
      </c>
      <c r="M329" s="116" t="s">
        <v>62</v>
      </c>
      <c r="N329" s="116" t="s">
        <v>324</v>
      </c>
      <c r="O329" s="116" t="s">
        <v>62</v>
      </c>
      <c r="P329" s="116" t="s">
        <v>62</v>
      </c>
      <c r="Q329" s="116"/>
      <c r="R329" s="116"/>
      <c r="S329" s="116"/>
      <c r="T329" s="116"/>
      <c r="U329" s="95" t="s">
        <v>62</v>
      </c>
      <c r="V329" s="95" t="s">
        <v>62</v>
      </c>
      <c r="W329" s="95" t="s">
        <v>62</v>
      </c>
      <c r="X329" s="95">
        <v>162.1</v>
      </c>
      <c r="Y329" s="95">
        <v>79.400000000000006</v>
      </c>
      <c r="Z329" s="95">
        <f t="shared" si="10"/>
        <v>30.217217648834069</v>
      </c>
      <c r="AA329" s="95" t="s">
        <v>325</v>
      </c>
      <c r="AB329" s="95" t="s">
        <v>60</v>
      </c>
      <c r="AC329" s="95"/>
      <c r="AD329" s="95" t="s">
        <v>60</v>
      </c>
      <c r="AE329" s="95" t="s">
        <v>60</v>
      </c>
      <c r="AF329" s="95"/>
      <c r="AG329" s="95"/>
    </row>
    <row r="330" spans="1:33">
      <c r="A330" s="116" t="s">
        <v>898</v>
      </c>
      <c r="B330" s="116" t="s">
        <v>324</v>
      </c>
      <c r="C330" s="98">
        <v>43845</v>
      </c>
      <c r="D330" s="95" t="s">
        <v>60</v>
      </c>
      <c r="E330" s="116">
        <v>25</v>
      </c>
      <c r="F330" s="117">
        <v>34478</v>
      </c>
      <c r="G330" s="116" t="s">
        <v>58</v>
      </c>
      <c r="H330" s="116" t="s">
        <v>117</v>
      </c>
      <c r="I330" s="116" t="s">
        <v>60</v>
      </c>
      <c r="J330" s="118" t="s">
        <v>389</v>
      </c>
      <c r="K330" s="116" t="s">
        <v>60</v>
      </c>
      <c r="L330" s="118" t="s">
        <v>324</v>
      </c>
      <c r="M330" s="116" t="s">
        <v>62</v>
      </c>
      <c r="N330" s="116" t="s">
        <v>324</v>
      </c>
      <c r="O330" s="116" t="s">
        <v>62</v>
      </c>
      <c r="P330" s="116" t="s">
        <v>62</v>
      </c>
      <c r="Q330" s="116"/>
      <c r="R330" s="116"/>
      <c r="S330" s="116"/>
      <c r="T330" s="116"/>
      <c r="U330" s="95" t="s">
        <v>62</v>
      </c>
      <c r="V330" s="95" t="s">
        <v>62</v>
      </c>
      <c r="W330" s="95" t="s">
        <v>62</v>
      </c>
      <c r="X330" s="95">
        <v>182.5</v>
      </c>
      <c r="Y330" s="95">
        <v>79</v>
      </c>
      <c r="Z330" s="95">
        <f t="shared" si="10"/>
        <v>23.719271908425597</v>
      </c>
      <c r="AA330" s="95" t="s">
        <v>325</v>
      </c>
      <c r="AB330" s="95" t="s">
        <v>60</v>
      </c>
      <c r="AC330" s="95"/>
      <c r="AD330" s="95" t="s">
        <v>60</v>
      </c>
      <c r="AE330" s="95" t="s">
        <v>60</v>
      </c>
      <c r="AF330" s="95"/>
      <c r="AG330" s="95"/>
    </row>
    <row r="331" spans="1:33" ht="28.8">
      <c r="A331" s="116" t="s">
        <v>899</v>
      </c>
      <c r="B331" s="116" t="s">
        <v>324</v>
      </c>
      <c r="C331" s="98">
        <v>43845</v>
      </c>
      <c r="D331" s="95" t="s">
        <v>60</v>
      </c>
      <c r="E331" s="116">
        <v>44</v>
      </c>
      <c r="F331" s="117">
        <v>27803</v>
      </c>
      <c r="G331" s="116" t="s">
        <v>61</v>
      </c>
      <c r="H331" s="116" t="s">
        <v>117</v>
      </c>
      <c r="I331" s="116" t="s">
        <v>60</v>
      </c>
      <c r="J331" s="118" t="s">
        <v>552</v>
      </c>
      <c r="K331" s="116" t="s">
        <v>62</v>
      </c>
      <c r="L331" s="118" t="s">
        <v>324</v>
      </c>
      <c r="M331" s="116" t="s">
        <v>62</v>
      </c>
      <c r="N331" s="116" t="s">
        <v>324</v>
      </c>
      <c r="O331" s="116" t="s">
        <v>62</v>
      </c>
      <c r="P331" s="116" t="s">
        <v>62</v>
      </c>
      <c r="Q331" s="116"/>
      <c r="R331" s="116"/>
      <c r="S331" s="116"/>
      <c r="T331" s="116"/>
      <c r="U331" s="95" t="s">
        <v>62</v>
      </c>
      <c r="V331" s="95" t="s">
        <v>62</v>
      </c>
      <c r="W331" s="95" t="s">
        <v>62</v>
      </c>
      <c r="X331" s="95">
        <v>160.30000000000001</v>
      </c>
      <c r="Y331" s="95">
        <v>62.2</v>
      </c>
      <c r="Z331" s="95">
        <f t="shared" si="10"/>
        <v>24.20601733571138</v>
      </c>
      <c r="AA331" s="95" t="s">
        <v>325</v>
      </c>
      <c r="AB331" s="95" t="s">
        <v>60</v>
      </c>
      <c r="AC331" s="95"/>
      <c r="AD331" s="95" t="s">
        <v>60</v>
      </c>
      <c r="AE331" s="95" t="s">
        <v>60</v>
      </c>
      <c r="AF331" s="95"/>
      <c r="AG331" s="95"/>
    </row>
    <row r="332" spans="1:33">
      <c r="A332" s="116" t="s">
        <v>900</v>
      </c>
      <c r="B332" s="116" t="s">
        <v>324</v>
      </c>
      <c r="C332" s="98">
        <v>43845</v>
      </c>
      <c r="D332" s="95" t="s">
        <v>60</v>
      </c>
      <c r="E332" s="116">
        <v>28</v>
      </c>
      <c r="F332" s="117">
        <v>33492</v>
      </c>
      <c r="G332" s="116" t="s">
        <v>58</v>
      </c>
      <c r="H332" s="116" t="s">
        <v>116</v>
      </c>
      <c r="I332" s="116" t="s">
        <v>62</v>
      </c>
      <c r="J332" s="118" t="s">
        <v>324</v>
      </c>
      <c r="K332" s="116" t="s">
        <v>62</v>
      </c>
      <c r="L332" s="118" t="s">
        <v>324</v>
      </c>
      <c r="M332" s="116" t="s">
        <v>62</v>
      </c>
      <c r="N332" s="116" t="s">
        <v>324</v>
      </c>
      <c r="O332" s="116" t="s">
        <v>62</v>
      </c>
      <c r="P332" s="116" t="s">
        <v>62</v>
      </c>
      <c r="Q332" s="116"/>
      <c r="R332" s="116"/>
      <c r="S332" s="116"/>
      <c r="T332" s="116"/>
      <c r="U332" s="95" t="s">
        <v>60</v>
      </c>
      <c r="V332" s="95" t="s">
        <v>60</v>
      </c>
      <c r="W332" s="95" t="s">
        <v>390</v>
      </c>
      <c r="X332" s="95">
        <v>187.4</v>
      </c>
      <c r="Y332" s="95">
        <v>94.6</v>
      </c>
      <c r="Z332" s="95">
        <f t="shared" si="10"/>
        <v>26.937169763397108</v>
      </c>
      <c r="AA332" s="95" t="s">
        <v>325</v>
      </c>
      <c r="AB332" s="95" t="s">
        <v>60</v>
      </c>
      <c r="AC332" s="95"/>
      <c r="AD332" s="95" t="s">
        <v>60</v>
      </c>
      <c r="AE332" s="95" t="s">
        <v>60</v>
      </c>
      <c r="AF332" s="95"/>
      <c r="AG332" s="95"/>
    </row>
    <row r="333" spans="1:33" ht="28.8">
      <c r="A333" s="116" t="s">
        <v>901</v>
      </c>
      <c r="B333" s="116" t="s">
        <v>324</v>
      </c>
      <c r="C333" s="98">
        <v>43846</v>
      </c>
      <c r="D333" s="95" t="s">
        <v>60</v>
      </c>
      <c r="E333" s="116">
        <v>42</v>
      </c>
      <c r="F333" s="117">
        <v>28457</v>
      </c>
      <c r="G333" s="116" t="s">
        <v>58</v>
      </c>
      <c r="H333" s="116" t="s">
        <v>116</v>
      </c>
      <c r="I333" s="116" t="s">
        <v>62</v>
      </c>
      <c r="J333" s="118" t="s">
        <v>324</v>
      </c>
      <c r="K333" s="116" t="s">
        <v>60</v>
      </c>
      <c r="L333" s="118" t="s">
        <v>902</v>
      </c>
      <c r="M333" s="116" t="s">
        <v>62</v>
      </c>
      <c r="N333" s="116" t="s">
        <v>324</v>
      </c>
      <c r="O333" s="116" t="s">
        <v>62</v>
      </c>
      <c r="P333" s="116" t="s">
        <v>62</v>
      </c>
      <c r="Q333" s="116"/>
      <c r="R333" s="116"/>
      <c r="S333" s="116"/>
      <c r="T333" s="116"/>
      <c r="U333" s="95" t="s">
        <v>60</v>
      </c>
      <c r="V333" s="95" t="s">
        <v>60</v>
      </c>
      <c r="W333" s="95" t="s">
        <v>390</v>
      </c>
      <c r="X333" s="95">
        <v>173.5</v>
      </c>
      <c r="Y333" s="95">
        <v>76.7</v>
      </c>
      <c r="Z333" s="95">
        <f t="shared" ref="Z333:Z364" si="11">Y333/((X333/100)^2)</f>
        <v>25.479822936823659</v>
      </c>
      <c r="AA333" s="95" t="s">
        <v>325</v>
      </c>
      <c r="AB333" s="95" t="s">
        <v>60</v>
      </c>
      <c r="AC333" s="95"/>
      <c r="AD333" s="95" t="s">
        <v>60</v>
      </c>
      <c r="AE333" s="95" t="s">
        <v>60</v>
      </c>
      <c r="AF333" s="95"/>
      <c r="AG333" s="95"/>
    </row>
    <row r="334" spans="1:33">
      <c r="A334" s="116" t="s">
        <v>903</v>
      </c>
      <c r="B334" s="116" t="s">
        <v>324</v>
      </c>
      <c r="C334" s="98">
        <v>43847</v>
      </c>
      <c r="D334" s="95" t="s">
        <v>60</v>
      </c>
      <c r="E334" s="116">
        <v>36</v>
      </c>
      <c r="F334" s="117">
        <v>30341</v>
      </c>
      <c r="G334" s="116" t="s">
        <v>58</v>
      </c>
      <c r="H334" s="116" t="s">
        <v>116</v>
      </c>
      <c r="I334" s="116" t="s">
        <v>62</v>
      </c>
      <c r="J334" s="118" t="s">
        <v>324</v>
      </c>
      <c r="K334" s="116" t="s">
        <v>62</v>
      </c>
      <c r="L334" s="118" t="s">
        <v>324</v>
      </c>
      <c r="M334" s="116" t="s">
        <v>62</v>
      </c>
      <c r="N334" s="116" t="s">
        <v>324</v>
      </c>
      <c r="O334" s="116" t="s">
        <v>62</v>
      </c>
      <c r="P334" s="116" t="s">
        <v>62</v>
      </c>
      <c r="Q334" s="116"/>
      <c r="R334" s="116"/>
      <c r="S334" s="116"/>
      <c r="T334" s="116"/>
      <c r="U334" s="95" t="s">
        <v>60</v>
      </c>
      <c r="V334" s="95" t="s">
        <v>62</v>
      </c>
      <c r="W334" s="95" t="s">
        <v>62</v>
      </c>
      <c r="X334" s="95">
        <v>170.8</v>
      </c>
      <c r="Y334" s="95">
        <v>110.1</v>
      </c>
      <c r="Z334" s="95">
        <f t="shared" si="11"/>
        <v>37.740842104108495</v>
      </c>
      <c r="AA334" s="95" t="s">
        <v>325</v>
      </c>
      <c r="AB334" s="95" t="s">
        <v>60</v>
      </c>
      <c r="AC334" s="95"/>
      <c r="AD334" s="95" t="s">
        <v>60</v>
      </c>
      <c r="AE334" s="95" t="s">
        <v>60</v>
      </c>
      <c r="AF334" s="95"/>
      <c r="AG334" s="95"/>
    </row>
    <row r="335" spans="1:33">
      <c r="A335" s="116" t="s">
        <v>904</v>
      </c>
      <c r="B335" s="116" t="s">
        <v>324</v>
      </c>
      <c r="C335" s="98">
        <v>43859</v>
      </c>
      <c r="D335" s="95" t="s">
        <v>60</v>
      </c>
      <c r="E335" s="116">
        <v>42</v>
      </c>
      <c r="F335" s="117">
        <v>28322</v>
      </c>
      <c r="G335" s="116" t="s">
        <v>58</v>
      </c>
      <c r="H335" s="116" t="s">
        <v>116</v>
      </c>
      <c r="I335" s="116" t="s">
        <v>62</v>
      </c>
      <c r="J335" s="118" t="s">
        <v>324</v>
      </c>
      <c r="K335" s="116" t="s">
        <v>62</v>
      </c>
      <c r="L335" s="118" t="s">
        <v>324</v>
      </c>
      <c r="M335" s="116" t="s">
        <v>62</v>
      </c>
      <c r="N335" s="116" t="s">
        <v>324</v>
      </c>
      <c r="O335" s="116" t="s">
        <v>62</v>
      </c>
      <c r="P335" s="116" t="s">
        <v>62</v>
      </c>
      <c r="Q335" s="116"/>
      <c r="R335" s="116"/>
      <c r="S335" s="116"/>
      <c r="T335" s="116"/>
      <c r="U335" s="95" t="s">
        <v>62</v>
      </c>
      <c r="V335" s="95" t="s">
        <v>60</v>
      </c>
      <c r="W335" s="95" t="s">
        <v>62</v>
      </c>
      <c r="X335" s="95">
        <v>177.1</v>
      </c>
      <c r="Y335" s="95">
        <v>83</v>
      </c>
      <c r="Z335" s="95">
        <f t="shared" si="11"/>
        <v>26.463115359096509</v>
      </c>
      <c r="AA335" s="95" t="s">
        <v>325</v>
      </c>
      <c r="AB335" s="95" t="s">
        <v>60</v>
      </c>
      <c r="AC335" s="95"/>
      <c r="AD335" s="95" t="s">
        <v>421</v>
      </c>
      <c r="AE335" s="95" t="s">
        <v>60</v>
      </c>
      <c r="AF335" s="95"/>
      <c r="AG335" s="95"/>
    </row>
    <row r="336" spans="1:33">
      <c r="A336" s="116" t="s">
        <v>905</v>
      </c>
      <c r="B336" s="116" t="s">
        <v>324</v>
      </c>
      <c r="C336" s="98">
        <v>43851</v>
      </c>
      <c r="D336" s="95" t="s">
        <v>60</v>
      </c>
      <c r="E336" s="116">
        <v>36</v>
      </c>
      <c r="F336" s="117">
        <v>30435</v>
      </c>
      <c r="G336" s="116" t="s">
        <v>58</v>
      </c>
      <c r="H336" s="116" t="s">
        <v>116</v>
      </c>
      <c r="I336" s="116" t="s">
        <v>62</v>
      </c>
      <c r="J336" s="118" t="s">
        <v>324</v>
      </c>
      <c r="K336" s="116" t="s">
        <v>62</v>
      </c>
      <c r="L336" s="118" t="s">
        <v>324</v>
      </c>
      <c r="M336" s="116" t="s">
        <v>62</v>
      </c>
      <c r="N336" s="116" t="s">
        <v>324</v>
      </c>
      <c r="O336" s="116" t="s">
        <v>62</v>
      </c>
      <c r="P336" s="116" t="s">
        <v>62</v>
      </c>
      <c r="Q336" s="116"/>
      <c r="R336" s="116"/>
      <c r="S336" s="116"/>
      <c r="T336" s="116"/>
      <c r="U336" s="95" t="s">
        <v>60</v>
      </c>
      <c r="V336" s="95" t="s">
        <v>62</v>
      </c>
      <c r="W336" s="95" t="s">
        <v>62</v>
      </c>
      <c r="X336" s="95">
        <v>186.4</v>
      </c>
      <c r="Y336" s="95">
        <v>99.4</v>
      </c>
      <c r="Z336" s="95">
        <f t="shared" si="11"/>
        <v>28.608465803385585</v>
      </c>
      <c r="AA336" s="95" t="s">
        <v>325</v>
      </c>
      <c r="AB336" s="95" t="s">
        <v>60</v>
      </c>
      <c r="AC336" s="95" t="s">
        <v>60</v>
      </c>
      <c r="AD336" s="95" t="s">
        <v>60</v>
      </c>
      <c r="AE336" s="95" t="s">
        <v>60</v>
      </c>
      <c r="AF336" s="95"/>
      <c r="AG336" s="95"/>
    </row>
    <row r="337" spans="1:33">
      <c r="A337" s="116" t="s">
        <v>906</v>
      </c>
      <c r="B337" s="116" t="s">
        <v>324</v>
      </c>
      <c r="C337" s="98">
        <v>43852</v>
      </c>
      <c r="D337" s="95" t="s">
        <v>60</v>
      </c>
      <c r="E337" s="116">
        <v>39</v>
      </c>
      <c r="F337" s="117">
        <v>29253</v>
      </c>
      <c r="G337" s="116" t="s">
        <v>61</v>
      </c>
      <c r="H337" s="116" t="s">
        <v>116</v>
      </c>
      <c r="I337" s="116" t="s">
        <v>60</v>
      </c>
      <c r="J337" s="118">
        <v>1</v>
      </c>
      <c r="K337" s="116" t="s">
        <v>907</v>
      </c>
      <c r="L337" s="118" t="s">
        <v>324</v>
      </c>
      <c r="M337" s="116" t="s">
        <v>62</v>
      </c>
      <c r="N337" s="116" t="s">
        <v>324</v>
      </c>
      <c r="O337" s="116" t="s">
        <v>62</v>
      </c>
      <c r="P337" s="116" t="s">
        <v>62</v>
      </c>
      <c r="Q337" s="116"/>
      <c r="R337" s="116"/>
      <c r="S337" s="116"/>
      <c r="T337" s="116"/>
      <c r="U337" s="95" t="s">
        <v>60</v>
      </c>
      <c r="V337" s="95" t="s">
        <v>62</v>
      </c>
      <c r="W337" s="95" t="s">
        <v>62</v>
      </c>
      <c r="X337" s="95">
        <v>178.3</v>
      </c>
      <c r="Y337" s="95">
        <v>102.9</v>
      </c>
      <c r="Z337" s="95">
        <f t="shared" si="11"/>
        <v>32.367763217701672</v>
      </c>
      <c r="AA337" s="95" t="s">
        <v>325</v>
      </c>
      <c r="AB337" s="95" t="s">
        <v>60</v>
      </c>
      <c r="AC337" s="95" t="s">
        <v>60</v>
      </c>
      <c r="AD337" s="95" t="s">
        <v>60</v>
      </c>
      <c r="AE337" s="95" t="s">
        <v>60</v>
      </c>
      <c r="AF337" s="95"/>
      <c r="AG337" s="95"/>
    </row>
    <row r="338" spans="1:33">
      <c r="A338" s="116" t="s">
        <v>908</v>
      </c>
      <c r="B338" s="116" t="s">
        <v>324</v>
      </c>
      <c r="C338" s="98">
        <v>43853</v>
      </c>
      <c r="D338" s="95" t="s">
        <v>60</v>
      </c>
      <c r="E338" s="116">
        <v>40</v>
      </c>
      <c r="F338" s="117">
        <v>28959</v>
      </c>
      <c r="G338" s="116" t="s">
        <v>61</v>
      </c>
      <c r="H338" s="116" t="s">
        <v>117</v>
      </c>
      <c r="I338" s="116" t="s">
        <v>60</v>
      </c>
      <c r="J338" s="118" t="s">
        <v>324</v>
      </c>
      <c r="K338" s="116" t="s">
        <v>62</v>
      </c>
      <c r="L338" s="118" t="s">
        <v>324</v>
      </c>
      <c r="M338" s="116" t="s">
        <v>62</v>
      </c>
      <c r="N338" s="116" t="s">
        <v>324</v>
      </c>
      <c r="O338" s="116" t="s">
        <v>62</v>
      </c>
      <c r="P338" s="116" t="s">
        <v>62</v>
      </c>
      <c r="Q338" s="116"/>
      <c r="R338" s="116"/>
      <c r="S338" s="116"/>
      <c r="T338" s="116"/>
      <c r="U338" s="95" t="s">
        <v>62</v>
      </c>
      <c r="V338" s="95" t="s">
        <v>62</v>
      </c>
      <c r="W338" s="95" t="s">
        <v>62</v>
      </c>
      <c r="X338" s="95">
        <v>160</v>
      </c>
      <c r="Y338" s="95">
        <v>117.3</v>
      </c>
      <c r="Z338" s="95">
        <f t="shared" si="11"/>
        <v>45.820312499999993</v>
      </c>
      <c r="AA338" s="95" t="s">
        <v>325</v>
      </c>
      <c r="AB338" s="95" t="s">
        <v>60</v>
      </c>
      <c r="AC338" s="95"/>
      <c r="AD338" s="95" t="s">
        <v>60</v>
      </c>
      <c r="AE338" s="95" t="s">
        <v>60</v>
      </c>
      <c r="AF338" s="95"/>
      <c r="AG338" s="95"/>
    </row>
    <row r="339" spans="1:33">
      <c r="A339" s="116" t="s">
        <v>909</v>
      </c>
      <c r="B339" s="116" t="s">
        <v>324</v>
      </c>
      <c r="C339" s="98">
        <v>43853</v>
      </c>
      <c r="D339" s="95" t="s">
        <v>60</v>
      </c>
      <c r="E339" s="116">
        <v>42</v>
      </c>
      <c r="F339" s="117">
        <v>28280</v>
      </c>
      <c r="G339" s="116" t="s">
        <v>61</v>
      </c>
      <c r="H339" s="116" t="s">
        <v>123</v>
      </c>
      <c r="I339" s="116" t="s">
        <v>910</v>
      </c>
      <c r="J339" s="118" t="s">
        <v>324</v>
      </c>
      <c r="K339" s="116" t="s">
        <v>62</v>
      </c>
      <c r="L339" s="118" t="s">
        <v>324</v>
      </c>
      <c r="M339" s="116" t="s">
        <v>62</v>
      </c>
      <c r="N339" s="116" t="s">
        <v>324</v>
      </c>
      <c r="O339" s="116" t="s">
        <v>62</v>
      </c>
      <c r="P339" s="116" t="s">
        <v>62</v>
      </c>
      <c r="Q339" s="116" t="s">
        <v>911</v>
      </c>
      <c r="R339" s="116" t="s">
        <v>363</v>
      </c>
      <c r="S339" s="116" t="s">
        <v>912</v>
      </c>
      <c r="T339" s="116" t="s">
        <v>457</v>
      </c>
      <c r="U339" s="95" t="s">
        <v>60</v>
      </c>
      <c r="V339" s="95" t="s">
        <v>60</v>
      </c>
      <c r="W339" s="95" t="s">
        <v>60</v>
      </c>
      <c r="X339" s="95">
        <v>163.4</v>
      </c>
      <c r="Y339" s="95">
        <v>118.1</v>
      </c>
      <c r="Z339" s="95">
        <f t="shared" si="11"/>
        <v>44.232938670150361</v>
      </c>
      <c r="AA339" s="95" t="s">
        <v>325</v>
      </c>
      <c r="AB339" s="95" t="s">
        <v>60</v>
      </c>
      <c r="AC339" s="95"/>
      <c r="AD339" s="95" t="s">
        <v>60</v>
      </c>
      <c r="AE339" s="95" t="s">
        <v>60</v>
      </c>
      <c r="AF339" s="95"/>
      <c r="AG339" s="95"/>
    </row>
    <row r="340" spans="1:33">
      <c r="A340" s="116" t="s">
        <v>913</v>
      </c>
      <c r="B340" s="116" t="s">
        <v>324</v>
      </c>
      <c r="C340" s="98">
        <v>43851</v>
      </c>
      <c r="D340" s="95" t="s">
        <v>60</v>
      </c>
      <c r="E340" s="116">
        <v>31</v>
      </c>
      <c r="F340" s="117">
        <v>32345</v>
      </c>
      <c r="G340" s="116" t="s">
        <v>61</v>
      </c>
      <c r="H340" s="116" t="s">
        <v>118</v>
      </c>
      <c r="I340" s="116" t="s">
        <v>62</v>
      </c>
      <c r="J340" s="118" t="s">
        <v>324</v>
      </c>
      <c r="K340" s="116" t="s">
        <v>60</v>
      </c>
      <c r="L340" s="118" t="s">
        <v>914</v>
      </c>
      <c r="M340" s="116" t="s">
        <v>62</v>
      </c>
      <c r="N340" s="116" t="s">
        <v>324</v>
      </c>
      <c r="O340" s="116" t="s">
        <v>62</v>
      </c>
      <c r="P340" s="116" t="s">
        <v>62</v>
      </c>
      <c r="Q340" s="116"/>
      <c r="R340" s="116"/>
      <c r="S340" s="116"/>
      <c r="T340" s="116"/>
      <c r="U340" s="95" t="s">
        <v>60</v>
      </c>
      <c r="V340" s="95" t="s">
        <v>60</v>
      </c>
      <c r="W340" s="95" t="s">
        <v>62</v>
      </c>
      <c r="X340" s="95">
        <v>162.30000000000001</v>
      </c>
      <c r="Y340" s="95">
        <v>93.2</v>
      </c>
      <c r="Z340" s="95">
        <f t="shared" si="11"/>
        <v>35.381714411101349</v>
      </c>
      <c r="AA340" s="95" t="s">
        <v>325</v>
      </c>
      <c r="AB340" s="95" t="s">
        <v>60</v>
      </c>
      <c r="AC340" s="95"/>
      <c r="AD340" s="95" t="s">
        <v>60</v>
      </c>
      <c r="AE340" s="95" t="s">
        <v>60</v>
      </c>
      <c r="AF340" s="95"/>
      <c r="AG340" s="95"/>
    </row>
    <row r="341" spans="1:33">
      <c r="A341" s="116" t="s">
        <v>915</v>
      </c>
      <c r="B341" s="116" t="s">
        <v>324</v>
      </c>
      <c r="C341" s="98">
        <v>43857</v>
      </c>
      <c r="D341" s="95" t="s">
        <v>60</v>
      </c>
      <c r="E341" s="116">
        <v>20</v>
      </c>
      <c r="F341" s="117">
        <v>36326</v>
      </c>
      <c r="G341" s="116" t="s">
        <v>58</v>
      </c>
      <c r="H341" s="116" t="s">
        <v>63</v>
      </c>
      <c r="I341" s="116" t="s">
        <v>62</v>
      </c>
      <c r="J341" s="118" t="s">
        <v>324</v>
      </c>
      <c r="K341" s="116" t="s">
        <v>62</v>
      </c>
      <c r="L341" s="118" t="s">
        <v>324</v>
      </c>
      <c r="M341" s="116" t="s">
        <v>62</v>
      </c>
      <c r="N341" s="116" t="s">
        <v>324</v>
      </c>
      <c r="O341" s="116" t="s">
        <v>62</v>
      </c>
      <c r="P341" s="116" t="s">
        <v>62</v>
      </c>
      <c r="Q341" s="116"/>
      <c r="R341" s="116"/>
      <c r="S341" s="116"/>
      <c r="T341" s="116"/>
      <c r="U341" s="95" t="s">
        <v>62</v>
      </c>
      <c r="V341" s="95" t="s">
        <v>62</v>
      </c>
      <c r="W341" s="95" t="s">
        <v>62</v>
      </c>
      <c r="X341" s="95">
        <v>172.1</v>
      </c>
      <c r="Y341" s="95">
        <v>91.2</v>
      </c>
      <c r="Z341" s="95">
        <f t="shared" si="11"/>
        <v>30.791659646821017</v>
      </c>
      <c r="AA341" s="95" t="s">
        <v>325</v>
      </c>
      <c r="AB341" s="95" t="s">
        <v>60</v>
      </c>
      <c r="AC341" s="95"/>
      <c r="AD341" s="95"/>
      <c r="AE341" s="95" t="s">
        <v>60</v>
      </c>
      <c r="AF341" s="95"/>
      <c r="AG341" s="95"/>
    </row>
    <row r="342" spans="1:33">
      <c r="A342" s="116" t="s">
        <v>916</v>
      </c>
      <c r="B342" s="116" t="s">
        <v>324</v>
      </c>
      <c r="C342" s="98">
        <v>43858</v>
      </c>
      <c r="D342" s="95" t="s">
        <v>60</v>
      </c>
      <c r="E342" s="116">
        <v>41</v>
      </c>
      <c r="F342" s="117">
        <v>28785</v>
      </c>
      <c r="G342" s="116" t="s">
        <v>61</v>
      </c>
      <c r="H342" s="116" t="s">
        <v>123</v>
      </c>
      <c r="I342" s="116" t="s">
        <v>62</v>
      </c>
      <c r="J342" s="118" t="s">
        <v>324</v>
      </c>
      <c r="K342" s="116" t="s">
        <v>60</v>
      </c>
      <c r="L342" s="118" t="s">
        <v>917</v>
      </c>
      <c r="M342" s="116" t="s">
        <v>62</v>
      </c>
      <c r="N342" s="116" t="s">
        <v>324</v>
      </c>
      <c r="O342" s="116" t="s">
        <v>62</v>
      </c>
      <c r="P342" s="116" t="s">
        <v>62</v>
      </c>
      <c r="Q342" s="116"/>
      <c r="R342" s="116"/>
      <c r="S342" s="116"/>
      <c r="T342" s="116"/>
      <c r="U342" s="95" t="s">
        <v>62</v>
      </c>
      <c r="V342" s="95" t="s">
        <v>62</v>
      </c>
      <c r="W342" s="95" t="s">
        <v>60</v>
      </c>
      <c r="X342" s="95">
        <v>167.1</v>
      </c>
      <c r="Y342" s="95">
        <v>80.8</v>
      </c>
      <c r="Z342" s="95">
        <f t="shared" si="11"/>
        <v>28.93733026626283</v>
      </c>
      <c r="AA342" s="95" t="s">
        <v>325</v>
      </c>
      <c r="AB342" s="95" t="s">
        <v>60</v>
      </c>
      <c r="AC342" s="95"/>
      <c r="AD342" s="95" t="s">
        <v>60</v>
      </c>
      <c r="AE342" s="95" t="s">
        <v>60</v>
      </c>
      <c r="AF342" s="95"/>
      <c r="AG342" s="95"/>
    </row>
    <row r="343" spans="1:33" ht="28.8">
      <c r="A343" s="116" t="s">
        <v>918</v>
      </c>
      <c r="B343" s="116" t="s">
        <v>324</v>
      </c>
      <c r="C343" s="98">
        <v>43866</v>
      </c>
      <c r="D343" s="95" t="s">
        <v>60</v>
      </c>
      <c r="E343" s="116">
        <v>27</v>
      </c>
      <c r="F343" s="117">
        <v>33959</v>
      </c>
      <c r="G343" s="116" t="s">
        <v>58</v>
      </c>
      <c r="H343" s="116" t="s">
        <v>123</v>
      </c>
      <c r="I343" s="116" t="s">
        <v>62</v>
      </c>
      <c r="J343" s="118" t="s">
        <v>324</v>
      </c>
      <c r="K343" s="116" t="s">
        <v>60</v>
      </c>
      <c r="L343" s="118" t="s">
        <v>919</v>
      </c>
      <c r="M343" s="116" t="s">
        <v>62</v>
      </c>
      <c r="N343" s="116" t="s">
        <v>324</v>
      </c>
      <c r="O343" s="116" t="s">
        <v>62</v>
      </c>
      <c r="P343" s="116" t="s">
        <v>62</v>
      </c>
      <c r="Q343" s="116"/>
      <c r="R343" s="116"/>
      <c r="S343" s="116"/>
      <c r="T343" s="116"/>
      <c r="U343" s="95" t="s">
        <v>62</v>
      </c>
      <c r="V343" s="95" t="s">
        <v>60</v>
      </c>
      <c r="W343" s="95" t="s">
        <v>390</v>
      </c>
      <c r="X343" s="95">
        <v>173.9</v>
      </c>
      <c r="Y343" s="95">
        <v>96.6</v>
      </c>
      <c r="Z343" s="95">
        <f t="shared" si="11"/>
        <v>31.943166295263971</v>
      </c>
      <c r="AA343" s="95" t="s">
        <v>325</v>
      </c>
      <c r="AB343" s="95" t="s">
        <v>60</v>
      </c>
      <c r="AC343" s="95"/>
      <c r="AD343" s="95" t="s">
        <v>60</v>
      </c>
      <c r="AE343" s="95" t="s">
        <v>60</v>
      </c>
      <c r="AF343" s="95"/>
      <c r="AG343" s="95"/>
    </row>
    <row r="344" spans="1:33">
      <c r="A344" s="116" t="s">
        <v>920</v>
      </c>
      <c r="B344" s="116" t="s">
        <v>324</v>
      </c>
      <c r="C344" s="98">
        <v>43852</v>
      </c>
      <c r="D344" s="95" t="s">
        <v>60</v>
      </c>
      <c r="E344" s="116">
        <v>49</v>
      </c>
      <c r="F344" s="117">
        <v>25901</v>
      </c>
      <c r="G344" s="116" t="s">
        <v>61</v>
      </c>
      <c r="H344" s="116" t="s">
        <v>117</v>
      </c>
      <c r="I344" s="116" t="s">
        <v>60</v>
      </c>
      <c r="J344" s="118" t="s">
        <v>524</v>
      </c>
      <c r="K344" s="116" t="s">
        <v>324</v>
      </c>
      <c r="L344" s="118" t="s">
        <v>324</v>
      </c>
      <c r="M344" s="116" t="s">
        <v>62</v>
      </c>
      <c r="N344" s="116" t="s">
        <v>324</v>
      </c>
      <c r="O344" s="116" t="s">
        <v>62</v>
      </c>
      <c r="P344" s="116" t="s">
        <v>62</v>
      </c>
      <c r="Q344" s="116" t="s">
        <v>921</v>
      </c>
      <c r="R344" s="116" t="s">
        <v>363</v>
      </c>
      <c r="S344" s="116" t="s">
        <v>922</v>
      </c>
      <c r="T344" s="116"/>
      <c r="U344" s="95" t="s">
        <v>62</v>
      </c>
      <c r="V344" s="95" t="s">
        <v>62</v>
      </c>
      <c r="W344" s="95" t="s">
        <v>62</v>
      </c>
      <c r="X344" s="95">
        <v>155.9</v>
      </c>
      <c r="Y344" s="95">
        <v>83.7</v>
      </c>
      <c r="Z344" s="95">
        <f t="shared" si="11"/>
        <v>34.437627778205218</v>
      </c>
      <c r="AA344" s="95" t="s">
        <v>325</v>
      </c>
      <c r="AB344" s="95" t="s">
        <v>60</v>
      </c>
      <c r="AC344" s="95"/>
      <c r="AD344" s="95" t="s">
        <v>60</v>
      </c>
      <c r="AE344" s="95" t="s">
        <v>60</v>
      </c>
      <c r="AF344" s="95"/>
      <c r="AG344" s="95"/>
    </row>
    <row r="345" spans="1:33">
      <c r="A345" s="116" t="s">
        <v>923</v>
      </c>
      <c r="B345" s="116" t="s">
        <v>324</v>
      </c>
      <c r="C345" s="98">
        <v>43854</v>
      </c>
      <c r="D345" s="95" t="s">
        <v>60</v>
      </c>
      <c r="E345" s="116">
        <v>53</v>
      </c>
      <c r="F345" s="117">
        <v>24444</v>
      </c>
      <c r="G345" s="116" t="s">
        <v>58</v>
      </c>
      <c r="H345" s="116" t="s">
        <v>116</v>
      </c>
      <c r="I345" s="116" t="s">
        <v>62</v>
      </c>
      <c r="J345" s="118" t="s">
        <v>324</v>
      </c>
      <c r="K345" s="116" t="s">
        <v>341</v>
      </c>
      <c r="L345" s="118" t="s">
        <v>324</v>
      </c>
      <c r="M345" s="116" t="s">
        <v>62</v>
      </c>
      <c r="N345" s="116" t="s">
        <v>324</v>
      </c>
      <c r="O345" s="116" t="s">
        <v>62</v>
      </c>
      <c r="P345" s="116" t="s">
        <v>62</v>
      </c>
      <c r="Q345" s="116"/>
      <c r="R345" s="116"/>
      <c r="S345" s="116"/>
      <c r="T345" s="116"/>
      <c r="U345" s="95" t="s">
        <v>62</v>
      </c>
      <c r="V345" s="95" t="s">
        <v>60</v>
      </c>
      <c r="W345" s="95" t="s">
        <v>60</v>
      </c>
      <c r="X345" s="95">
        <v>170</v>
      </c>
      <c r="Y345" s="95">
        <v>73.5</v>
      </c>
      <c r="Z345" s="95">
        <f t="shared" si="11"/>
        <v>25.432525951557096</v>
      </c>
      <c r="AA345" s="95" t="s">
        <v>325</v>
      </c>
      <c r="AB345" s="95" t="s">
        <v>60</v>
      </c>
      <c r="AC345" s="95"/>
      <c r="AD345" s="95" t="s">
        <v>60</v>
      </c>
      <c r="AE345" s="95" t="s">
        <v>60</v>
      </c>
      <c r="AF345" s="95"/>
      <c r="AG345" s="95"/>
    </row>
    <row r="346" spans="1:33">
      <c r="A346" s="116" t="s">
        <v>924</v>
      </c>
      <c r="B346" s="116" t="s">
        <v>324</v>
      </c>
      <c r="C346" s="98">
        <v>43852</v>
      </c>
      <c r="D346" s="95" t="s">
        <v>60</v>
      </c>
      <c r="E346" s="116">
        <v>58</v>
      </c>
      <c r="F346" s="117">
        <v>22352</v>
      </c>
      <c r="G346" s="116" t="s">
        <v>58</v>
      </c>
      <c r="H346" s="116" t="s">
        <v>116</v>
      </c>
      <c r="I346" s="116" t="s">
        <v>62</v>
      </c>
      <c r="J346" s="118" t="s">
        <v>324</v>
      </c>
      <c r="K346" s="116" t="s">
        <v>925</v>
      </c>
      <c r="L346" s="118" t="s">
        <v>324</v>
      </c>
      <c r="M346" s="116" t="s">
        <v>62</v>
      </c>
      <c r="N346" s="116" t="s">
        <v>324</v>
      </c>
      <c r="O346" s="116" t="s">
        <v>62</v>
      </c>
      <c r="P346" s="116" t="s">
        <v>62</v>
      </c>
      <c r="Q346" s="116"/>
      <c r="R346" s="116"/>
      <c r="S346" s="116"/>
      <c r="T346" s="116"/>
      <c r="U346" s="95" t="s">
        <v>62</v>
      </c>
      <c r="V346" s="95" t="s">
        <v>62</v>
      </c>
      <c r="W346" s="95" t="s">
        <v>62</v>
      </c>
      <c r="X346" s="95">
        <v>180.3</v>
      </c>
      <c r="Y346" s="95">
        <v>104.4</v>
      </c>
      <c r="Z346" s="95">
        <f t="shared" si="11"/>
        <v>32.115082737866167</v>
      </c>
      <c r="AA346" s="95" t="s">
        <v>325</v>
      </c>
      <c r="AB346" s="95" t="s">
        <v>60</v>
      </c>
      <c r="AC346" s="95" t="s">
        <v>60</v>
      </c>
      <c r="AD346" s="95" t="s">
        <v>60</v>
      </c>
      <c r="AE346" s="95" t="s">
        <v>60</v>
      </c>
      <c r="AF346" s="95"/>
      <c r="AG346" s="95"/>
    </row>
    <row r="347" spans="1:33">
      <c r="A347" s="116" t="s">
        <v>926</v>
      </c>
      <c r="B347" s="116" t="s">
        <v>324</v>
      </c>
      <c r="C347" s="98">
        <v>43866</v>
      </c>
      <c r="D347" s="95" t="s">
        <v>60</v>
      </c>
      <c r="E347" s="116">
        <v>24</v>
      </c>
      <c r="F347" s="117">
        <v>20392</v>
      </c>
      <c r="G347" s="116" t="s">
        <v>61</v>
      </c>
      <c r="H347" s="116" t="s">
        <v>127</v>
      </c>
      <c r="I347" s="116" t="s">
        <v>62</v>
      </c>
      <c r="J347" s="118" t="s">
        <v>324</v>
      </c>
      <c r="K347" s="116" t="s">
        <v>62</v>
      </c>
      <c r="L347" s="118" t="s">
        <v>324</v>
      </c>
      <c r="M347" s="116" t="s">
        <v>62</v>
      </c>
      <c r="N347" s="116" t="s">
        <v>324</v>
      </c>
      <c r="O347" s="116" t="s">
        <v>62</v>
      </c>
      <c r="P347" s="116" t="s">
        <v>62</v>
      </c>
      <c r="Q347" s="116"/>
      <c r="R347" s="116"/>
      <c r="S347" s="116"/>
      <c r="T347" s="116"/>
      <c r="U347" s="95" t="s">
        <v>60</v>
      </c>
      <c r="V347" s="95" t="s">
        <v>60</v>
      </c>
      <c r="W347" s="95" t="s">
        <v>60</v>
      </c>
      <c r="X347" s="95">
        <v>168.45</v>
      </c>
      <c r="Y347" s="95">
        <v>62.5</v>
      </c>
      <c r="Z347" s="95">
        <f t="shared" si="11"/>
        <v>22.026119277074574</v>
      </c>
      <c r="AA347" s="95" t="s">
        <v>325</v>
      </c>
      <c r="AB347" s="95" t="s">
        <v>60</v>
      </c>
      <c r="AC347" s="95"/>
      <c r="AD347" s="95" t="s">
        <v>60</v>
      </c>
      <c r="AE347" s="95" t="s">
        <v>60</v>
      </c>
      <c r="AF347" s="95"/>
      <c r="AG347" s="95"/>
    </row>
    <row r="348" spans="1:33">
      <c r="A348" s="116" t="s">
        <v>927</v>
      </c>
      <c r="B348" s="116" t="s">
        <v>324</v>
      </c>
      <c r="C348" s="98">
        <v>43855</v>
      </c>
      <c r="D348" s="95" t="s">
        <v>60</v>
      </c>
      <c r="E348" s="116">
        <v>41</v>
      </c>
      <c r="F348" s="117">
        <v>28843</v>
      </c>
      <c r="G348" s="116" t="s">
        <v>58</v>
      </c>
      <c r="H348" s="116" t="s">
        <v>116</v>
      </c>
      <c r="I348" s="116" t="s">
        <v>60</v>
      </c>
      <c r="J348" s="118" t="s">
        <v>928</v>
      </c>
      <c r="K348" s="116" t="s">
        <v>929</v>
      </c>
      <c r="L348" s="118" t="s">
        <v>930</v>
      </c>
      <c r="M348" s="116" t="s">
        <v>62</v>
      </c>
      <c r="N348" s="116" t="s">
        <v>324</v>
      </c>
      <c r="O348" s="116" t="s">
        <v>62</v>
      </c>
      <c r="P348" s="116" t="s">
        <v>62</v>
      </c>
      <c r="Q348" s="116"/>
      <c r="R348" s="116"/>
      <c r="S348" s="116"/>
      <c r="T348" s="116"/>
      <c r="U348" s="95" t="s">
        <v>62</v>
      </c>
      <c r="V348" s="95" t="s">
        <v>60</v>
      </c>
      <c r="W348" s="95" t="s">
        <v>60</v>
      </c>
      <c r="X348" s="95">
        <v>184</v>
      </c>
      <c r="Y348" s="95">
        <v>91.1</v>
      </c>
      <c r="Z348" s="95">
        <f t="shared" si="11"/>
        <v>26.908081285444233</v>
      </c>
      <c r="AA348" s="95" t="s">
        <v>325</v>
      </c>
      <c r="AB348" s="95" t="s">
        <v>60</v>
      </c>
      <c r="AC348" s="95"/>
      <c r="AD348" s="95" t="s">
        <v>60</v>
      </c>
      <c r="AE348" s="95" t="s">
        <v>60</v>
      </c>
      <c r="AF348" s="95"/>
      <c r="AG348" s="95"/>
    </row>
    <row r="349" spans="1:33" ht="28.8">
      <c r="A349" s="116" t="s">
        <v>931</v>
      </c>
      <c r="B349" s="116" t="s">
        <v>324</v>
      </c>
      <c r="C349" s="98">
        <v>43866</v>
      </c>
      <c r="D349" s="95" t="s">
        <v>60</v>
      </c>
      <c r="E349" s="116">
        <v>34</v>
      </c>
      <c r="F349" s="117">
        <v>31434</v>
      </c>
      <c r="G349" s="116" t="s">
        <v>58</v>
      </c>
      <c r="H349" s="116" t="s">
        <v>123</v>
      </c>
      <c r="I349" s="116" t="s">
        <v>60</v>
      </c>
      <c r="J349" s="118" t="s">
        <v>932</v>
      </c>
      <c r="K349" s="116" t="s">
        <v>60</v>
      </c>
      <c r="L349" s="118" t="s">
        <v>933</v>
      </c>
      <c r="M349" s="116" t="s">
        <v>60</v>
      </c>
      <c r="N349" s="116" t="s">
        <v>848</v>
      </c>
      <c r="O349" s="116" t="s">
        <v>62</v>
      </c>
      <c r="P349" s="116" t="s">
        <v>62</v>
      </c>
      <c r="Q349" s="116" t="s">
        <v>369</v>
      </c>
      <c r="R349" s="116"/>
      <c r="S349" s="116"/>
      <c r="T349" s="116"/>
      <c r="U349" s="95" t="s">
        <v>62</v>
      </c>
      <c r="V349" s="95" t="s">
        <v>62</v>
      </c>
      <c r="W349" s="95" t="s">
        <v>62</v>
      </c>
      <c r="X349" s="95">
        <v>173</v>
      </c>
      <c r="Y349" s="95">
        <v>64.099999999999994</v>
      </c>
      <c r="Z349" s="95">
        <f t="shared" si="11"/>
        <v>21.417354405426174</v>
      </c>
      <c r="AA349" s="95" t="s">
        <v>325</v>
      </c>
      <c r="AB349" s="95" t="s">
        <v>60</v>
      </c>
      <c r="AC349" s="95"/>
      <c r="AD349" s="95"/>
      <c r="AE349" s="95"/>
      <c r="AF349" s="95"/>
      <c r="AG349" s="95"/>
    </row>
    <row r="350" spans="1:33">
      <c r="A350" s="116" t="s">
        <v>934</v>
      </c>
      <c r="B350" s="116" t="s">
        <v>324</v>
      </c>
      <c r="C350" s="98">
        <v>43864</v>
      </c>
      <c r="D350" s="95" t="s">
        <v>60</v>
      </c>
      <c r="E350" s="116">
        <v>23</v>
      </c>
      <c r="F350" s="117">
        <v>35202</v>
      </c>
      <c r="G350" s="116" t="s">
        <v>61</v>
      </c>
      <c r="H350" s="116" t="s">
        <v>116</v>
      </c>
      <c r="I350" s="116" t="s">
        <v>60</v>
      </c>
      <c r="J350" s="118" t="s">
        <v>324</v>
      </c>
      <c r="K350" s="116" t="s">
        <v>324</v>
      </c>
      <c r="L350" s="118" t="s">
        <v>324</v>
      </c>
      <c r="M350" s="116" t="s">
        <v>62</v>
      </c>
      <c r="N350" s="116" t="s">
        <v>324</v>
      </c>
      <c r="O350" s="116" t="s">
        <v>62</v>
      </c>
      <c r="P350" s="116" t="s">
        <v>62</v>
      </c>
      <c r="Q350" s="116"/>
      <c r="R350" s="116"/>
      <c r="S350" s="116"/>
      <c r="T350" s="116"/>
      <c r="U350" s="95" t="s">
        <v>60</v>
      </c>
      <c r="V350" s="95" t="s">
        <v>62</v>
      </c>
      <c r="W350" s="95" t="s">
        <v>62</v>
      </c>
      <c r="X350" s="95">
        <v>158.80000000000001</v>
      </c>
      <c r="Y350" s="95">
        <v>84.1</v>
      </c>
      <c r="Z350" s="95">
        <f t="shared" si="11"/>
        <v>33.349935600124347</v>
      </c>
      <c r="AA350" s="95" t="s">
        <v>325</v>
      </c>
      <c r="AB350" s="95" t="s">
        <v>60</v>
      </c>
      <c r="AC350" s="95"/>
      <c r="AD350" s="95" t="s">
        <v>60</v>
      </c>
      <c r="AE350" s="95" t="s">
        <v>60</v>
      </c>
      <c r="AF350" s="95"/>
      <c r="AG350" s="95"/>
    </row>
    <row r="351" spans="1:33">
      <c r="A351" s="116" t="s">
        <v>935</v>
      </c>
      <c r="B351" s="116" t="s">
        <v>324</v>
      </c>
      <c r="C351" s="98">
        <v>43861</v>
      </c>
      <c r="D351" s="95" t="s">
        <v>60</v>
      </c>
      <c r="E351" s="116">
        <v>32</v>
      </c>
      <c r="F351" s="117">
        <v>32161</v>
      </c>
      <c r="G351" s="116" t="s">
        <v>58</v>
      </c>
      <c r="H351" s="116" t="s">
        <v>116</v>
      </c>
      <c r="I351" s="116" t="s">
        <v>62</v>
      </c>
      <c r="J351" s="118" t="s">
        <v>324</v>
      </c>
      <c r="K351" s="116" t="s">
        <v>60</v>
      </c>
      <c r="L351" s="118" t="s">
        <v>936</v>
      </c>
      <c r="M351" s="116" t="s">
        <v>62</v>
      </c>
      <c r="N351" s="116" t="s">
        <v>324</v>
      </c>
      <c r="O351" s="116" t="s">
        <v>62</v>
      </c>
      <c r="P351" s="116" t="s">
        <v>62</v>
      </c>
      <c r="Q351" s="116"/>
      <c r="R351" s="116"/>
      <c r="S351" s="116"/>
      <c r="T351" s="116"/>
      <c r="U351" s="95" t="s">
        <v>60</v>
      </c>
      <c r="V351" s="95" t="s">
        <v>390</v>
      </c>
      <c r="W351" s="95" t="s">
        <v>62</v>
      </c>
      <c r="X351" s="95">
        <v>180.1</v>
      </c>
      <c r="Y351" s="95">
        <v>76.099999999999994</v>
      </c>
      <c r="Z351" s="95">
        <f t="shared" si="11"/>
        <v>23.46157865902742</v>
      </c>
      <c r="AA351" s="95" t="s">
        <v>325</v>
      </c>
      <c r="AB351" s="95" t="s">
        <v>60</v>
      </c>
      <c r="AC351" s="95"/>
      <c r="AD351" s="95"/>
      <c r="AE351" s="95" t="s">
        <v>60</v>
      </c>
      <c r="AF351" s="95"/>
      <c r="AG351" s="95"/>
    </row>
    <row r="352" spans="1:33">
      <c r="A352" s="116" t="s">
        <v>937</v>
      </c>
      <c r="B352" s="116" t="s">
        <v>324</v>
      </c>
      <c r="C352" s="98">
        <v>43871</v>
      </c>
      <c r="D352" s="95" t="s">
        <v>60</v>
      </c>
      <c r="E352" s="116">
        <v>21</v>
      </c>
      <c r="F352" s="117">
        <v>36031</v>
      </c>
      <c r="G352" s="116" t="s">
        <v>61</v>
      </c>
      <c r="H352" s="116" t="s">
        <v>116</v>
      </c>
      <c r="I352" s="116" t="s">
        <v>62</v>
      </c>
      <c r="J352" s="118" t="s">
        <v>324</v>
      </c>
      <c r="K352" s="116" t="s">
        <v>62</v>
      </c>
      <c r="L352" s="118" t="s">
        <v>324</v>
      </c>
      <c r="M352" s="116" t="s">
        <v>62</v>
      </c>
      <c r="N352" s="116" t="s">
        <v>324</v>
      </c>
      <c r="O352" s="116" t="s">
        <v>62</v>
      </c>
      <c r="P352" s="116" t="s">
        <v>62</v>
      </c>
      <c r="Q352" s="116"/>
      <c r="R352" s="116"/>
      <c r="S352" s="116"/>
      <c r="T352" s="116"/>
      <c r="U352" s="95" t="s">
        <v>62</v>
      </c>
      <c r="V352" s="95" t="s">
        <v>62</v>
      </c>
      <c r="W352" s="95" t="s">
        <v>62</v>
      </c>
      <c r="X352" s="95">
        <v>170</v>
      </c>
      <c r="Y352" s="95">
        <v>72</v>
      </c>
      <c r="Z352" s="95">
        <f t="shared" si="11"/>
        <v>24.913494809688583</v>
      </c>
      <c r="AA352" s="95" t="s">
        <v>325</v>
      </c>
      <c r="AB352" s="95" t="s">
        <v>60</v>
      </c>
      <c r="AC352" s="95"/>
      <c r="AD352" s="95" t="s">
        <v>60</v>
      </c>
      <c r="AE352" s="95" t="s">
        <v>60</v>
      </c>
      <c r="AF352" s="95"/>
      <c r="AG352" s="95"/>
    </row>
    <row r="353" spans="1:33">
      <c r="A353" s="116" t="s">
        <v>938</v>
      </c>
      <c r="B353" s="116" t="s">
        <v>324</v>
      </c>
      <c r="C353" s="98">
        <v>43865</v>
      </c>
      <c r="D353" s="95" t="s">
        <v>60</v>
      </c>
      <c r="E353" s="116">
        <v>20</v>
      </c>
      <c r="F353" s="117">
        <v>36430</v>
      </c>
      <c r="G353" s="116" t="s">
        <v>58</v>
      </c>
      <c r="H353" s="116" t="s">
        <v>63</v>
      </c>
      <c r="I353" s="116" t="s">
        <v>60</v>
      </c>
      <c r="J353" s="118" t="s">
        <v>939</v>
      </c>
      <c r="K353" s="116" t="s">
        <v>60</v>
      </c>
      <c r="L353" s="118" t="s">
        <v>940</v>
      </c>
      <c r="M353" s="116" t="s">
        <v>62</v>
      </c>
      <c r="N353" s="116" t="s">
        <v>324</v>
      </c>
      <c r="O353" s="116" t="s">
        <v>62</v>
      </c>
      <c r="P353" s="116" t="s">
        <v>62</v>
      </c>
      <c r="Q353" s="116"/>
      <c r="R353" s="116"/>
      <c r="S353" s="116"/>
      <c r="T353" s="116"/>
      <c r="U353" s="95" t="s">
        <v>62</v>
      </c>
      <c r="V353" s="95" t="s">
        <v>62</v>
      </c>
      <c r="W353" s="95" t="s">
        <v>62</v>
      </c>
      <c r="X353" s="95">
        <v>187.2</v>
      </c>
      <c r="Y353" s="95">
        <v>99.3</v>
      </c>
      <c r="Z353" s="95">
        <f t="shared" si="11"/>
        <v>28.335935787858869</v>
      </c>
      <c r="AA353" s="95" t="s">
        <v>325</v>
      </c>
      <c r="AB353" s="95" t="s">
        <v>60</v>
      </c>
      <c r="AC353" s="95"/>
      <c r="AD353" s="95" t="s">
        <v>60</v>
      </c>
      <c r="AE353" s="95" t="s">
        <v>60</v>
      </c>
      <c r="AF353" s="95"/>
      <c r="AG353" s="95"/>
    </row>
    <row r="354" spans="1:33">
      <c r="A354" s="116" t="s">
        <v>941</v>
      </c>
      <c r="B354" s="116" t="s">
        <v>324</v>
      </c>
      <c r="C354" s="98">
        <v>43859</v>
      </c>
      <c r="D354" s="95" t="s">
        <v>60</v>
      </c>
      <c r="E354" s="116">
        <v>53</v>
      </c>
      <c r="F354" s="117">
        <v>24340</v>
      </c>
      <c r="G354" s="116" t="s">
        <v>58</v>
      </c>
      <c r="H354" s="116" t="s">
        <v>116</v>
      </c>
      <c r="I354" s="116" t="s">
        <v>62</v>
      </c>
      <c r="J354" s="118" t="s">
        <v>324</v>
      </c>
      <c r="K354" s="116" t="s">
        <v>62</v>
      </c>
      <c r="L354" s="118" t="s">
        <v>324</v>
      </c>
      <c r="M354" s="116" t="s">
        <v>62</v>
      </c>
      <c r="N354" s="116" t="s">
        <v>324</v>
      </c>
      <c r="O354" s="116" t="s">
        <v>62</v>
      </c>
      <c r="P354" s="116" t="s">
        <v>62</v>
      </c>
      <c r="Q354" s="116"/>
      <c r="R354" s="116" t="s">
        <v>62</v>
      </c>
      <c r="S354" s="116"/>
      <c r="T354" s="116"/>
      <c r="U354" s="95" t="s">
        <v>60</v>
      </c>
      <c r="V354" s="95" t="s">
        <v>60</v>
      </c>
      <c r="W354" s="95" t="s">
        <v>60</v>
      </c>
      <c r="X354" s="95">
        <v>177.7</v>
      </c>
      <c r="Y354" s="95">
        <v>92.5</v>
      </c>
      <c r="Z354" s="95">
        <f t="shared" si="11"/>
        <v>29.293204071660362</v>
      </c>
      <c r="AA354" s="95" t="s">
        <v>325</v>
      </c>
      <c r="AB354" s="95" t="s">
        <v>60</v>
      </c>
      <c r="AC354" s="95"/>
      <c r="AD354" s="95" t="s">
        <v>60</v>
      </c>
      <c r="AE354" s="95" t="s">
        <v>60</v>
      </c>
      <c r="AF354" s="95"/>
      <c r="AG354" s="95"/>
    </row>
    <row r="355" spans="1:33">
      <c r="A355" s="116" t="s">
        <v>942</v>
      </c>
      <c r="B355" s="116" t="s">
        <v>324</v>
      </c>
      <c r="C355" s="98">
        <v>43861</v>
      </c>
      <c r="D355" s="95" t="s">
        <v>60</v>
      </c>
      <c r="E355" s="116">
        <v>26</v>
      </c>
      <c r="F355" s="117">
        <v>34054</v>
      </c>
      <c r="G355" s="116" t="s">
        <v>61</v>
      </c>
      <c r="H355" s="116" t="s">
        <v>116</v>
      </c>
      <c r="I355" s="116" t="s">
        <v>62</v>
      </c>
      <c r="J355" s="118" t="s">
        <v>324</v>
      </c>
      <c r="K355" s="116" t="s">
        <v>62</v>
      </c>
      <c r="L355" s="118" t="s">
        <v>324</v>
      </c>
      <c r="M355" s="116" t="s">
        <v>62</v>
      </c>
      <c r="N355" s="116" t="s">
        <v>324</v>
      </c>
      <c r="O355" s="116" t="s">
        <v>62</v>
      </c>
      <c r="P355" s="116" t="s">
        <v>62</v>
      </c>
      <c r="Q355" s="116"/>
      <c r="R355" s="116"/>
      <c r="S355" s="116"/>
      <c r="T355" s="116"/>
      <c r="U355" s="95" t="s">
        <v>62</v>
      </c>
      <c r="V355" s="95" t="s">
        <v>62</v>
      </c>
      <c r="W355" s="95" t="s">
        <v>60</v>
      </c>
      <c r="X355" s="95">
        <v>160.6</v>
      </c>
      <c r="Y355" s="95">
        <v>72.099999999999994</v>
      </c>
      <c r="Z355" s="95">
        <f t="shared" si="11"/>
        <v>27.954014289502787</v>
      </c>
      <c r="AA355" s="95" t="s">
        <v>325</v>
      </c>
      <c r="AB355" s="95" t="s">
        <v>60</v>
      </c>
      <c r="AC355" s="95"/>
      <c r="AD355" s="95" t="s">
        <v>60</v>
      </c>
      <c r="AE355" s="95" t="s">
        <v>60</v>
      </c>
      <c r="AF355" s="95"/>
      <c r="AG355" s="95"/>
    </row>
    <row r="356" spans="1:33">
      <c r="A356" s="116" t="s">
        <v>943</v>
      </c>
      <c r="B356" s="116" t="s">
        <v>324</v>
      </c>
      <c r="C356" s="98">
        <v>43865</v>
      </c>
      <c r="D356" s="95" t="s">
        <v>60</v>
      </c>
      <c r="E356" s="116">
        <v>64</v>
      </c>
      <c r="F356" s="117">
        <v>20355</v>
      </c>
      <c r="G356" s="116" t="s">
        <v>61</v>
      </c>
      <c r="H356" s="116" t="s">
        <v>117</v>
      </c>
      <c r="I356" s="116" t="s">
        <v>62</v>
      </c>
      <c r="J356" s="118" t="s">
        <v>324</v>
      </c>
      <c r="K356" s="116" t="s">
        <v>62</v>
      </c>
      <c r="L356" s="118" t="s">
        <v>324</v>
      </c>
      <c r="M356" s="116" t="s">
        <v>62</v>
      </c>
      <c r="N356" s="116" t="s">
        <v>324</v>
      </c>
      <c r="O356" s="116" t="s">
        <v>62</v>
      </c>
      <c r="P356" s="116" t="s">
        <v>62</v>
      </c>
      <c r="Q356" s="116"/>
      <c r="R356" s="116"/>
      <c r="S356" s="116"/>
      <c r="T356" s="116"/>
      <c r="U356" s="95" t="s">
        <v>62</v>
      </c>
      <c r="V356" s="95" t="s">
        <v>60</v>
      </c>
      <c r="W356" s="95" t="s">
        <v>62</v>
      </c>
      <c r="X356" s="95">
        <v>170</v>
      </c>
      <c r="Y356" s="95">
        <v>97.8</v>
      </c>
      <c r="Z356" s="95">
        <f t="shared" si="11"/>
        <v>33.840830449826996</v>
      </c>
      <c r="AA356" s="95" t="s">
        <v>325</v>
      </c>
      <c r="AB356" s="95" t="s">
        <v>60</v>
      </c>
      <c r="AC356" s="95"/>
      <c r="AD356" s="95" t="s">
        <v>60</v>
      </c>
      <c r="AE356" s="95" t="s">
        <v>60</v>
      </c>
      <c r="AF356" s="95"/>
      <c r="AG356" s="95"/>
    </row>
    <row r="357" spans="1:33">
      <c r="A357" s="116" t="s">
        <v>944</v>
      </c>
      <c r="B357" s="116" t="s">
        <v>324</v>
      </c>
      <c r="C357" s="98">
        <v>43865</v>
      </c>
      <c r="D357" s="95" t="s">
        <v>60</v>
      </c>
      <c r="E357" s="116">
        <v>52</v>
      </c>
      <c r="F357" s="117">
        <v>24794</v>
      </c>
      <c r="G357" s="116" t="s">
        <v>58</v>
      </c>
      <c r="H357" s="116" t="s">
        <v>117</v>
      </c>
      <c r="I357" s="116" t="s">
        <v>62</v>
      </c>
      <c r="J357" s="118" t="s">
        <v>846</v>
      </c>
      <c r="K357" s="116" t="s">
        <v>60</v>
      </c>
      <c r="L357" s="118" t="s">
        <v>945</v>
      </c>
      <c r="M357" s="116" t="s">
        <v>62</v>
      </c>
      <c r="N357" s="116" t="s">
        <v>324</v>
      </c>
      <c r="O357" s="116" t="s">
        <v>60</v>
      </c>
      <c r="P357" s="116" t="s">
        <v>62</v>
      </c>
      <c r="Q357" s="116"/>
      <c r="R357" s="116"/>
      <c r="S357" s="116"/>
      <c r="T357" s="116"/>
      <c r="U357" s="95" t="s">
        <v>62</v>
      </c>
      <c r="V357" s="95" t="s">
        <v>62</v>
      </c>
      <c r="W357" s="95" t="s">
        <v>62</v>
      </c>
      <c r="X357" s="95">
        <v>180</v>
      </c>
      <c r="Y357" s="95">
        <v>82.3</v>
      </c>
      <c r="Z357" s="95">
        <f t="shared" si="11"/>
        <v>25.401234567901231</v>
      </c>
      <c r="AA357" s="95" t="s">
        <v>325</v>
      </c>
      <c r="AB357" s="95" t="s">
        <v>60</v>
      </c>
      <c r="AC357" s="95"/>
      <c r="AD357" s="95" t="s">
        <v>60</v>
      </c>
      <c r="AE357" s="95" t="s">
        <v>60</v>
      </c>
      <c r="AF357" s="95"/>
      <c r="AG357" s="95"/>
    </row>
    <row r="358" spans="1:33">
      <c r="A358" s="116" t="s">
        <v>946</v>
      </c>
      <c r="B358" s="116" t="s">
        <v>324</v>
      </c>
      <c r="C358" s="98">
        <v>43867</v>
      </c>
      <c r="D358" s="95" t="s">
        <v>60</v>
      </c>
      <c r="E358" s="116">
        <v>30</v>
      </c>
      <c r="F358" s="117">
        <v>32628</v>
      </c>
      <c r="G358" s="116" t="s">
        <v>61</v>
      </c>
      <c r="H358" s="116" t="s">
        <v>117</v>
      </c>
      <c r="I358" s="116" t="s">
        <v>62</v>
      </c>
      <c r="J358" s="118" t="s">
        <v>324</v>
      </c>
      <c r="K358" s="116" t="s">
        <v>62</v>
      </c>
      <c r="L358" s="118" t="s">
        <v>324</v>
      </c>
      <c r="M358" s="116" t="s">
        <v>62</v>
      </c>
      <c r="N358" s="116" t="s">
        <v>324</v>
      </c>
      <c r="O358" s="116" t="s">
        <v>62</v>
      </c>
      <c r="P358" s="116" t="s">
        <v>62</v>
      </c>
      <c r="Q358" s="116"/>
      <c r="R358" s="116"/>
      <c r="S358" s="116"/>
      <c r="T358" s="116"/>
      <c r="U358" s="95" t="s">
        <v>62</v>
      </c>
      <c r="V358" s="95" t="s">
        <v>60</v>
      </c>
      <c r="W358" s="95" t="s">
        <v>60</v>
      </c>
      <c r="X358" s="95">
        <v>163.6</v>
      </c>
      <c r="Y358" s="95">
        <v>89.8</v>
      </c>
      <c r="Z358" s="95">
        <f t="shared" si="11"/>
        <v>33.551329798363234</v>
      </c>
      <c r="AA358" s="95" t="s">
        <v>325</v>
      </c>
      <c r="AB358" s="95" t="s">
        <v>60</v>
      </c>
      <c r="AC358" s="95"/>
      <c r="AD358" s="95" t="s">
        <v>60</v>
      </c>
      <c r="AE358" s="95"/>
      <c r="AF358" s="95"/>
      <c r="AG358" s="95"/>
    </row>
    <row r="359" spans="1:33">
      <c r="A359" s="116" t="s">
        <v>947</v>
      </c>
      <c r="B359" s="116" t="s">
        <v>324</v>
      </c>
      <c r="C359" s="98">
        <v>43868</v>
      </c>
      <c r="D359" s="95" t="s">
        <v>60</v>
      </c>
      <c r="E359" s="116">
        <v>28</v>
      </c>
      <c r="F359" s="117">
        <v>33427</v>
      </c>
      <c r="G359" s="116" t="s">
        <v>61</v>
      </c>
      <c r="H359" s="116" t="s">
        <v>116</v>
      </c>
      <c r="I359" s="116" t="s">
        <v>62</v>
      </c>
      <c r="J359" s="118" t="s">
        <v>324</v>
      </c>
      <c r="K359" s="116" t="s">
        <v>62</v>
      </c>
      <c r="L359" s="118" t="s">
        <v>324</v>
      </c>
      <c r="M359" s="116" t="s">
        <v>62</v>
      </c>
      <c r="N359" s="116" t="s">
        <v>324</v>
      </c>
      <c r="O359" s="116" t="s">
        <v>62</v>
      </c>
      <c r="P359" s="116" t="s">
        <v>62</v>
      </c>
      <c r="Q359" s="116"/>
      <c r="R359" s="116"/>
      <c r="S359" s="116"/>
      <c r="T359" s="116"/>
      <c r="U359" s="95" t="s">
        <v>60</v>
      </c>
      <c r="V359" s="95" t="s">
        <v>60</v>
      </c>
      <c r="W359" s="95" t="s">
        <v>390</v>
      </c>
      <c r="X359" s="95">
        <v>177.1</v>
      </c>
      <c r="Y359" s="95">
        <v>62.1</v>
      </c>
      <c r="Z359" s="95">
        <f t="shared" si="11"/>
        <v>19.799511612046906</v>
      </c>
      <c r="AA359" s="95" t="s">
        <v>325</v>
      </c>
      <c r="AB359" s="95" t="s">
        <v>60</v>
      </c>
      <c r="AC359" s="95"/>
      <c r="AD359" s="95" t="s">
        <v>60</v>
      </c>
      <c r="AE359" s="95" t="s">
        <v>60</v>
      </c>
      <c r="AF359" s="95"/>
      <c r="AG359" s="95"/>
    </row>
    <row r="360" spans="1:33">
      <c r="A360" s="116" t="s">
        <v>948</v>
      </c>
      <c r="B360" s="116" t="s">
        <v>324</v>
      </c>
      <c r="C360" s="98">
        <v>43865</v>
      </c>
      <c r="D360" s="95" t="s">
        <v>60</v>
      </c>
      <c r="E360" s="116">
        <v>53</v>
      </c>
      <c r="F360" s="117">
        <v>24148</v>
      </c>
      <c r="G360" s="116" t="s">
        <v>58</v>
      </c>
      <c r="H360" s="116" t="s">
        <v>116</v>
      </c>
      <c r="I360" s="116" t="s">
        <v>60</v>
      </c>
      <c r="J360" s="118" t="s">
        <v>846</v>
      </c>
      <c r="K360" s="116" t="s">
        <v>62</v>
      </c>
      <c r="L360" s="118" t="s">
        <v>949</v>
      </c>
      <c r="M360" s="116" t="s">
        <v>62</v>
      </c>
      <c r="N360" s="116" t="s">
        <v>324</v>
      </c>
      <c r="O360" s="116" t="s">
        <v>62</v>
      </c>
      <c r="P360" s="116" t="s">
        <v>62</v>
      </c>
      <c r="Q360" s="116"/>
      <c r="R360" s="116"/>
      <c r="S360" s="116"/>
      <c r="T360" s="116"/>
      <c r="U360" s="95" t="s">
        <v>62</v>
      </c>
      <c r="V360" s="95" t="s">
        <v>62</v>
      </c>
      <c r="W360" s="95" t="s">
        <v>62</v>
      </c>
      <c r="X360" s="95">
        <v>177.5</v>
      </c>
      <c r="Y360" s="95">
        <v>78.2</v>
      </c>
      <c r="Z360" s="95">
        <f t="shared" si="11"/>
        <v>24.820472128545926</v>
      </c>
      <c r="AA360" s="95" t="s">
        <v>325</v>
      </c>
      <c r="AB360" s="95" t="s">
        <v>60</v>
      </c>
      <c r="AC360" s="95"/>
      <c r="AD360" s="95" t="s">
        <v>60</v>
      </c>
      <c r="AE360" s="95" t="s">
        <v>60</v>
      </c>
      <c r="AF360" s="95"/>
      <c r="AG360" s="95"/>
    </row>
    <row r="361" spans="1:33" ht="28.8">
      <c r="A361" s="116" t="s">
        <v>950</v>
      </c>
      <c r="B361" s="116" t="s">
        <v>324</v>
      </c>
      <c r="C361" s="98">
        <v>43869</v>
      </c>
      <c r="D361" s="95" t="s">
        <v>60</v>
      </c>
      <c r="E361" s="116">
        <v>49</v>
      </c>
      <c r="F361" s="117">
        <v>25698</v>
      </c>
      <c r="G361" s="116" t="s">
        <v>58</v>
      </c>
      <c r="H361" s="116" t="s">
        <v>116</v>
      </c>
      <c r="I361" s="116" t="s">
        <v>62</v>
      </c>
      <c r="J361" s="118" t="s">
        <v>324</v>
      </c>
      <c r="K361" s="116" t="s">
        <v>60</v>
      </c>
      <c r="L361" s="118" t="s">
        <v>951</v>
      </c>
      <c r="M361" s="116" t="s">
        <v>62</v>
      </c>
      <c r="N361" s="116" t="s">
        <v>324</v>
      </c>
      <c r="O361" s="116" t="s">
        <v>62</v>
      </c>
      <c r="P361" s="116" t="s">
        <v>62</v>
      </c>
      <c r="Q361" s="116"/>
      <c r="R361" s="116"/>
      <c r="S361" s="116"/>
      <c r="T361" s="116"/>
      <c r="U361" s="95" t="s">
        <v>62</v>
      </c>
      <c r="V361" s="95" t="s">
        <v>62</v>
      </c>
      <c r="W361" s="95" t="s">
        <v>62</v>
      </c>
      <c r="X361" s="95">
        <v>177.1</v>
      </c>
      <c r="Y361" s="95">
        <v>102.8</v>
      </c>
      <c r="Z361" s="95">
        <f t="shared" si="11"/>
        <v>32.77600311945929</v>
      </c>
      <c r="AA361" s="95" t="s">
        <v>325</v>
      </c>
      <c r="AB361" s="95" t="s">
        <v>60</v>
      </c>
      <c r="AC361" s="95"/>
      <c r="AD361" s="95" t="s">
        <v>60</v>
      </c>
      <c r="AE361" s="95"/>
      <c r="AF361" s="95"/>
      <c r="AG361" s="95"/>
    </row>
    <row r="362" spans="1:33">
      <c r="A362" s="116" t="s">
        <v>952</v>
      </c>
      <c r="B362" s="116" t="s">
        <v>324</v>
      </c>
      <c r="C362" s="98">
        <v>43872</v>
      </c>
      <c r="D362" s="95" t="s">
        <v>60</v>
      </c>
      <c r="E362" s="116">
        <v>47</v>
      </c>
      <c r="F362" s="117">
        <v>26440</v>
      </c>
      <c r="G362" s="116" t="s">
        <v>58</v>
      </c>
      <c r="H362" s="116" t="s">
        <v>116</v>
      </c>
      <c r="I362" s="116" t="s">
        <v>62</v>
      </c>
      <c r="J362" s="118" t="s">
        <v>324</v>
      </c>
      <c r="K362" s="116" t="s">
        <v>62</v>
      </c>
      <c r="L362" s="118" t="s">
        <v>324</v>
      </c>
      <c r="M362" s="116" t="s">
        <v>62</v>
      </c>
      <c r="N362" s="116" t="s">
        <v>324</v>
      </c>
      <c r="O362" s="116" t="s">
        <v>62</v>
      </c>
      <c r="P362" s="116" t="s">
        <v>62</v>
      </c>
      <c r="Q362" s="116"/>
      <c r="R362" s="116"/>
      <c r="S362" s="116"/>
      <c r="T362" s="116"/>
      <c r="U362" s="95" t="s">
        <v>62</v>
      </c>
      <c r="V362" s="95" t="s">
        <v>62</v>
      </c>
      <c r="W362" s="95" t="s">
        <v>62</v>
      </c>
      <c r="X362" s="95">
        <v>178.4</v>
      </c>
      <c r="Y362" s="95">
        <v>58.8</v>
      </c>
      <c r="Z362" s="95">
        <f t="shared" si="11"/>
        <v>18.475135232962657</v>
      </c>
      <c r="AA362" s="95" t="s">
        <v>325</v>
      </c>
      <c r="AB362" s="95" t="s">
        <v>60</v>
      </c>
      <c r="AC362" s="95"/>
      <c r="AD362" s="95" t="s">
        <v>60</v>
      </c>
      <c r="AE362" s="95" t="s">
        <v>60</v>
      </c>
      <c r="AF362" s="95"/>
      <c r="AG362" s="95"/>
    </row>
    <row r="363" spans="1:33" ht="28.8">
      <c r="A363" s="116" t="s">
        <v>953</v>
      </c>
      <c r="B363" s="116" t="s">
        <v>324</v>
      </c>
      <c r="C363" s="98">
        <v>43882</v>
      </c>
      <c r="D363" s="95" t="s">
        <v>60</v>
      </c>
      <c r="E363" s="116">
        <v>26</v>
      </c>
      <c r="F363" s="117">
        <v>34267</v>
      </c>
      <c r="G363" s="116" t="s">
        <v>61</v>
      </c>
      <c r="H363" s="116" t="s">
        <v>116</v>
      </c>
      <c r="I363" s="116" t="s">
        <v>60</v>
      </c>
      <c r="J363" s="118" t="s">
        <v>954</v>
      </c>
      <c r="K363" s="116" t="s">
        <v>62</v>
      </c>
      <c r="L363" s="118" t="s">
        <v>324</v>
      </c>
      <c r="M363" s="116" t="s">
        <v>62</v>
      </c>
      <c r="N363" s="116" t="s">
        <v>324</v>
      </c>
      <c r="O363" s="116" t="s">
        <v>62</v>
      </c>
      <c r="P363" s="116" t="s">
        <v>62</v>
      </c>
      <c r="Q363" s="116"/>
      <c r="R363" s="116"/>
      <c r="S363" s="116"/>
      <c r="T363" s="116"/>
      <c r="U363" s="95" t="s">
        <v>62</v>
      </c>
      <c r="V363" s="95" t="s">
        <v>60</v>
      </c>
      <c r="W363" s="95" t="s">
        <v>62</v>
      </c>
      <c r="X363" s="95">
        <v>154.6</v>
      </c>
      <c r="Y363" s="95">
        <v>75.099999999999994</v>
      </c>
      <c r="Z363" s="95">
        <f t="shared" si="11"/>
        <v>31.4210691029222</v>
      </c>
      <c r="AA363" s="95" t="s">
        <v>324</v>
      </c>
      <c r="AB363" s="95" t="s">
        <v>62</v>
      </c>
      <c r="AC363" s="95"/>
      <c r="AD363" s="95"/>
      <c r="AE363" s="95"/>
      <c r="AF363" s="95"/>
      <c r="AG363" s="95" t="s">
        <v>955</v>
      </c>
    </row>
    <row r="364" spans="1:33">
      <c r="A364" s="116" t="s">
        <v>956</v>
      </c>
      <c r="B364" s="116" t="s">
        <v>324</v>
      </c>
      <c r="C364" s="98">
        <v>43868</v>
      </c>
      <c r="D364" s="95" t="s">
        <v>60</v>
      </c>
      <c r="E364" s="116">
        <v>20</v>
      </c>
      <c r="F364" s="117">
        <v>36435</v>
      </c>
      <c r="G364" s="116" t="s">
        <v>61</v>
      </c>
      <c r="H364" s="116" t="s">
        <v>63</v>
      </c>
      <c r="I364" s="116" t="s">
        <v>62</v>
      </c>
      <c r="J364" s="118" t="s">
        <v>324</v>
      </c>
      <c r="K364" s="116" t="s">
        <v>62</v>
      </c>
      <c r="L364" s="118" t="s">
        <v>324</v>
      </c>
      <c r="M364" s="116" t="s">
        <v>60</v>
      </c>
      <c r="N364" s="116" t="s">
        <v>957</v>
      </c>
      <c r="O364" s="116" t="s">
        <v>62</v>
      </c>
      <c r="P364" s="116" t="s">
        <v>62</v>
      </c>
      <c r="Q364" s="116"/>
      <c r="R364" s="116"/>
      <c r="S364" s="116"/>
      <c r="T364" s="116"/>
      <c r="U364" s="95" t="s">
        <v>60</v>
      </c>
      <c r="V364" s="95" t="s">
        <v>62</v>
      </c>
      <c r="W364" s="95" t="s">
        <v>62</v>
      </c>
      <c r="X364" s="95">
        <v>162.5</v>
      </c>
      <c r="Y364" s="95">
        <v>75.7</v>
      </c>
      <c r="Z364" s="95">
        <f t="shared" si="11"/>
        <v>28.667455621301777</v>
      </c>
      <c r="AA364" s="95" t="s">
        <v>325</v>
      </c>
      <c r="AB364" s="95" t="s">
        <v>60</v>
      </c>
      <c r="AC364" s="95"/>
      <c r="AD364" s="95" t="s">
        <v>60</v>
      </c>
      <c r="AE364" s="95"/>
      <c r="AF364" s="95"/>
      <c r="AG364" s="95"/>
    </row>
    <row r="365" spans="1:33" ht="28.8">
      <c r="A365" s="116" t="s">
        <v>958</v>
      </c>
      <c r="B365" s="116" t="s">
        <v>324</v>
      </c>
      <c r="C365" s="98">
        <v>43868</v>
      </c>
      <c r="D365" s="95" t="s">
        <v>60</v>
      </c>
      <c r="E365" s="116">
        <v>38</v>
      </c>
      <c r="F365" s="117">
        <v>29908</v>
      </c>
      <c r="G365" s="116" t="s">
        <v>58</v>
      </c>
      <c r="H365" s="116" t="s">
        <v>116</v>
      </c>
      <c r="I365" s="116" t="s">
        <v>62</v>
      </c>
      <c r="J365" s="118" t="s">
        <v>324</v>
      </c>
      <c r="K365" s="116" t="s">
        <v>60</v>
      </c>
      <c r="L365" s="118" t="s">
        <v>959</v>
      </c>
      <c r="M365" s="116" t="s">
        <v>62</v>
      </c>
      <c r="N365" s="116" t="s">
        <v>324</v>
      </c>
      <c r="O365" s="116" t="s">
        <v>62</v>
      </c>
      <c r="P365" s="116" t="s">
        <v>62</v>
      </c>
      <c r="Q365" s="116"/>
      <c r="R365" s="116"/>
      <c r="S365" s="116"/>
      <c r="T365" s="116"/>
      <c r="U365" s="95" t="s">
        <v>60</v>
      </c>
      <c r="V365" s="95" t="s">
        <v>60</v>
      </c>
      <c r="W365" s="95" t="s">
        <v>60</v>
      </c>
      <c r="X365" s="95">
        <v>182.9</v>
      </c>
      <c r="Y365" s="95">
        <v>85.7</v>
      </c>
      <c r="Z365" s="95">
        <f t="shared" ref="Z365:Z378" si="12">Y365/((X365/100)^2)</f>
        <v>25.618483092847423</v>
      </c>
      <c r="AA365" s="95" t="s">
        <v>325</v>
      </c>
      <c r="AB365" s="95" t="s">
        <v>60</v>
      </c>
      <c r="AC365" s="95"/>
      <c r="AD365" s="95" t="s">
        <v>60</v>
      </c>
      <c r="AE365" s="95" t="s">
        <v>60</v>
      </c>
      <c r="AF365" s="95"/>
      <c r="AG365" s="95"/>
    </row>
    <row r="366" spans="1:33">
      <c r="A366" s="116" t="s">
        <v>960</v>
      </c>
      <c r="B366" s="116" t="s">
        <v>324</v>
      </c>
      <c r="C366" s="98">
        <v>43872</v>
      </c>
      <c r="D366" s="95" t="s">
        <v>60</v>
      </c>
      <c r="E366" s="116">
        <v>29</v>
      </c>
      <c r="F366" s="117">
        <v>33135</v>
      </c>
      <c r="G366" s="116" t="s">
        <v>58</v>
      </c>
      <c r="H366" s="116" t="s">
        <v>116</v>
      </c>
      <c r="I366" s="116" t="s">
        <v>961</v>
      </c>
      <c r="J366" s="118" t="s">
        <v>324</v>
      </c>
      <c r="K366" s="116" t="s">
        <v>60</v>
      </c>
      <c r="L366" s="118" t="s">
        <v>962</v>
      </c>
      <c r="M366" s="116" t="s">
        <v>60</v>
      </c>
      <c r="N366" s="116" t="s">
        <v>963</v>
      </c>
      <c r="O366" s="116" t="s">
        <v>62</v>
      </c>
      <c r="P366" s="116" t="s">
        <v>62</v>
      </c>
      <c r="Q366" s="116"/>
      <c r="R366" s="116"/>
      <c r="S366" s="116"/>
      <c r="T366" s="116"/>
      <c r="U366" s="95" t="s">
        <v>60</v>
      </c>
      <c r="V366" s="95" t="s">
        <v>60</v>
      </c>
      <c r="W366" s="95" t="s">
        <v>62</v>
      </c>
      <c r="X366" s="95">
        <v>186.5</v>
      </c>
      <c r="Y366" s="95">
        <v>84.3</v>
      </c>
      <c r="Z366" s="95">
        <f t="shared" si="12"/>
        <v>24.236499938905617</v>
      </c>
      <c r="AA366" s="95" t="s">
        <v>325</v>
      </c>
      <c r="AB366" s="95" t="s">
        <v>60</v>
      </c>
      <c r="AC366" s="95"/>
      <c r="AD366" s="95" t="s">
        <v>60</v>
      </c>
      <c r="AE366" s="95"/>
      <c r="AF366" s="95"/>
      <c r="AG366" s="95"/>
    </row>
    <row r="367" spans="1:33">
      <c r="A367" s="116" t="s">
        <v>964</v>
      </c>
      <c r="B367" s="116" t="s">
        <v>324</v>
      </c>
      <c r="C367" s="98">
        <v>43871</v>
      </c>
      <c r="D367" s="95" t="s">
        <v>60</v>
      </c>
      <c r="E367" s="116">
        <v>23</v>
      </c>
      <c r="F367" s="117">
        <v>35259</v>
      </c>
      <c r="G367" s="116" t="s">
        <v>61</v>
      </c>
      <c r="H367" s="116" t="s">
        <v>116</v>
      </c>
      <c r="I367" s="116" t="s">
        <v>62</v>
      </c>
      <c r="J367" s="118" t="s">
        <v>324</v>
      </c>
      <c r="K367" s="116" t="s">
        <v>60</v>
      </c>
      <c r="L367" s="118" t="s">
        <v>965</v>
      </c>
      <c r="M367" s="116"/>
      <c r="N367" s="116" t="s">
        <v>324</v>
      </c>
      <c r="O367" s="116" t="s">
        <v>62</v>
      </c>
      <c r="P367" s="116" t="s">
        <v>62</v>
      </c>
      <c r="Q367" s="116" t="s">
        <v>966</v>
      </c>
      <c r="R367" s="116"/>
      <c r="S367" s="116"/>
      <c r="T367" s="116"/>
      <c r="U367" s="95" t="s">
        <v>60</v>
      </c>
      <c r="V367" s="95" t="s">
        <v>60</v>
      </c>
      <c r="W367" s="95" t="s">
        <v>390</v>
      </c>
      <c r="X367" s="95">
        <v>167</v>
      </c>
      <c r="Y367" s="95">
        <v>62.9</v>
      </c>
      <c r="Z367" s="95">
        <f t="shared" si="12"/>
        <v>22.553695005199181</v>
      </c>
      <c r="AA367" s="95" t="s">
        <v>967</v>
      </c>
      <c r="AB367" s="95" t="s">
        <v>60</v>
      </c>
      <c r="AC367" s="95"/>
      <c r="AD367" s="95" t="s">
        <v>60</v>
      </c>
      <c r="AE367" s="95"/>
      <c r="AF367" s="95"/>
      <c r="AG367" s="95"/>
    </row>
    <row r="368" spans="1:33" ht="28.8">
      <c r="A368" s="116" t="s">
        <v>968</v>
      </c>
      <c r="B368" s="116" t="s">
        <v>324</v>
      </c>
      <c r="C368" s="98">
        <v>43871</v>
      </c>
      <c r="D368" s="95" t="s">
        <v>60</v>
      </c>
      <c r="E368" s="116">
        <v>64</v>
      </c>
      <c r="F368" s="117">
        <v>20164</v>
      </c>
      <c r="G368" s="116" t="s">
        <v>61</v>
      </c>
      <c r="H368" s="116" t="s">
        <v>116</v>
      </c>
      <c r="I368" s="116" t="s">
        <v>62</v>
      </c>
      <c r="J368" s="118" t="s">
        <v>324</v>
      </c>
      <c r="K368" s="116" t="s">
        <v>60</v>
      </c>
      <c r="L368" s="118" t="s">
        <v>969</v>
      </c>
      <c r="M368" s="116" t="s">
        <v>62</v>
      </c>
      <c r="N368" s="116" t="s">
        <v>324</v>
      </c>
      <c r="O368" s="116" t="s">
        <v>62</v>
      </c>
      <c r="P368" s="116" t="s">
        <v>62</v>
      </c>
      <c r="Q368" s="116"/>
      <c r="R368" s="116"/>
      <c r="S368" s="116"/>
      <c r="T368" s="116"/>
      <c r="U368" s="95" t="s">
        <v>62</v>
      </c>
      <c r="V368" s="95" t="s">
        <v>62</v>
      </c>
      <c r="W368" s="95" t="s">
        <v>60</v>
      </c>
      <c r="X368" s="95">
        <v>159.5</v>
      </c>
      <c r="Y368" s="95">
        <v>62.6</v>
      </c>
      <c r="Z368" s="95">
        <f t="shared" si="12"/>
        <v>24.606676428101139</v>
      </c>
      <c r="AA368" s="95" t="s">
        <v>325</v>
      </c>
      <c r="AB368" s="95" t="s">
        <v>60</v>
      </c>
      <c r="AC368" s="95"/>
      <c r="AD368" s="95" t="s">
        <v>60</v>
      </c>
      <c r="AE368" s="95"/>
      <c r="AF368" s="95"/>
      <c r="AG368" s="95"/>
    </row>
    <row r="369" spans="1:34">
      <c r="A369" s="116" t="s">
        <v>970</v>
      </c>
      <c r="B369" s="116" t="s">
        <v>324</v>
      </c>
      <c r="C369" s="98">
        <v>43879</v>
      </c>
      <c r="D369" s="95" t="s">
        <v>60</v>
      </c>
      <c r="E369" s="116">
        <v>27</v>
      </c>
      <c r="F369" s="117">
        <v>33943</v>
      </c>
      <c r="G369" s="116" t="s">
        <v>61</v>
      </c>
      <c r="H369" s="116" t="s">
        <v>116</v>
      </c>
      <c r="I369" s="116" t="s">
        <v>62</v>
      </c>
      <c r="J369" s="118" t="s">
        <v>324</v>
      </c>
      <c r="K369" s="116" t="s">
        <v>62</v>
      </c>
      <c r="L369" s="118" t="s">
        <v>324</v>
      </c>
      <c r="M369" s="116" t="s">
        <v>62</v>
      </c>
      <c r="N369" s="116" t="s">
        <v>324</v>
      </c>
      <c r="O369" s="116" t="s">
        <v>62</v>
      </c>
      <c r="P369" s="116" t="s">
        <v>62</v>
      </c>
      <c r="Q369" s="116"/>
      <c r="R369" s="116"/>
      <c r="S369" s="116"/>
      <c r="T369" s="116"/>
      <c r="U369" s="95" t="s">
        <v>62</v>
      </c>
      <c r="V369" s="95" t="s">
        <v>60</v>
      </c>
      <c r="W369" s="95" t="s">
        <v>60</v>
      </c>
      <c r="X369" s="95">
        <v>167.5</v>
      </c>
      <c r="Y369" s="95">
        <v>76.900000000000006</v>
      </c>
      <c r="Z369" s="95">
        <f t="shared" si="12"/>
        <v>27.409222543996439</v>
      </c>
      <c r="AA369" s="95" t="s">
        <v>325</v>
      </c>
      <c r="AB369" s="95" t="s">
        <v>60</v>
      </c>
      <c r="AC369" s="95"/>
      <c r="AD369" s="95" t="s">
        <v>60</v>
      </c>
      <c r="AE369" s="95"/>
      <c r="AF369" s="95"/>
      <c r="AG369" s="95"/>
    </row>
    <row r="370" spans="1:34">
      <c r="A370" s="116" t="s">
        <v>971</v>
      </c>
      <c r="B370" s="116" t="s">
        <v>324</v>
      </c>
      <c r="C370" s="98">
        <v>43875</v>
      </c>
      <c r="D370" s="95" t="s">
        <v>60</v>
      </c>
      <c r="E370" s="116">
        <v>27</v>
      </c>
      <c r="F370" s="117">
        <v>33959</v>
      </c>
      <c r="G370" s="116" t="s">
        <v>61</v>
      </c>
      <c r="H370" s="116" t="s">
        <v>116</v>
      </c>
      <c r="I370" s="116" t="s">
        <v>62</v>
      </c>
      <c r="J370" s="118" t="s">
        <v>324</v>
      </c>
      <c r="K370" s="116" t="s">
        <v>60</v>
      </c>
      <c r="L370" s="118" t="s">
        <v>972</v>
      </c>
      <c r="M370" s="116" t="s">
        <v>62</v>
      </c>
      <c r="N370" s="116" t="s">
        <v>324</v>
      </c>
      <c r="O370" s="116" t="s">
        <v>62</v>
      </c>
      <c r="P370" s="116" t="s">
        <v>62</v>
      </c>
      <c r="Q370" s="116"/>
      <c r="R370" s="116"/>
      <c r="S370" s="116"/>
      <c r="T370" s="116"/>
      <c r="U370" s="95" t="s">
        <v>62</v>
      </c>
      <c r="V370" s="95" t="s">
        <v>62</v>
      </c>
      <c r="W370" s="95" t="s">
        <v>62</v>
      </c>
      <c r="X370" s="95">
        <v>160.19999999999999</v>
      </c>
      <c r="Y370" s="95">
        <v>72</v>
      </c>
      <c r="Z370" s="95">
        <f t="shared" si="12"/>
        <v>28.054819116553752</v>
      </c>
      <c r="AA370" s="95" t="s">
        <v>325</v>
      </c>
      <c r="AB370" s="95" t="s">
        <v>60</v>
      </c>
      <c r="AC370" s="95"/>
      <c r="AD370" s="95" t="s">
        <v>60</v>
      </c>
      <c r="AE370" s="95"/>
      <c r="AF370" s="95"/>
      <c r="AG370" s="95"/>
    </row>
    <row r="371" spans="1:34">
      <c r="A371" s="116" t="s">
        <v>973</v>
      </c>
      <c r="B371" s="116" t="s">
        <v>324</v>
      </c>
      <c r="C371" s="98">
        <v>43879</v>
      </c>
      <c r="D371" s="95" t="s">
        <v>60</v>
      </c>
      <c r="E371" s="116">
        <v>24</v>
      </c>
      <c r="F371" s="117">
        <v>34950</v>
      </c>
      <c r="G371" s="116" t="s">
        <v>61</v>
      </c>
      <c r="H371" s="116" t="s">
        <v>116</v>
      </c>
      <c r="I371" s="116" t="s">
        <v>62</v>
      </c>
      <c r="J371" s="118" t="s">
        <v>324</v>
      </c>
      <c r="K371" s="116" t="s">
        <v>60</v>
      </c>
      <c r="L371" s="118" t="s">
        <v>519</v>
      </c>
      <c r="M371" s="116" t="s">
        <v>62</v>
      </c>
      <c r="N371" s="116" t="s">
        <v>324</v>
      </c>
      <c r="O371" s="116" t="s">
        <v>62</v>
      </c>
      <c r="P371" s="116" t="s">
        <v>62</v>
      </c>
      <c r="Q371" s="116" t="s">
        <v>974</v>
      </c>
      <c r="R371" s="116"/>
      <c r="S371" s="116"/>
      <c r="T371" s="116"/>
      <c r="U371" s="95" t="s">
        <v>60</v>
      </c>
      <c r="V371" s="95" t="s">
        <v>62</v>
      </c>
      <c r="W371" s="95" t="s">
        <v>62</v>
      </c>
      <c r="X371" s="95">
        <v>156.1</v>
      </c>
      <c r="Y371" s="95">
        <v>50.3</v>
      </c>
      <c r="Z371" s="95">
        <f t="shared" si="12"/>
        <v>20.642494565442657</v>
      </c>
      <c r="AA371" s="95" t="s">
        <v>325</v>
      </c>
      <c r="AB371" s="95" t="s">
        <v>60</v>
      </c>
      <c r="AC371" s="95"/>
      <c r="AD371" s="95" t="s">
        <v>60</v>
      </c>
      <c r="AE371" s="95"/>
      <c r="AF371" s="95"/>
      <c r="AG371" s="95"/>
    </row>
    <row r="372" spans="1:34">
      <c r="A372" s="116" t="s">
        <v>975</v>
      </c>
      <c r="B372" s="116" t="s">
        <v>324</v>
      </c>
      <c r="C372" s="98">
        <v>43878</v>
      </c>
      <c r="D372" s="95" t="s">
        <v>60</v>
      </c>
      <c r="E372" s="116">
        <v>22</v>
      </c>
      <c r="F372" s="117">
        <v>35786</v>
      </c>
      <c r="G372" s="116" t="s">
        <v>61</v>
      </c>
      <c r="H372" s="116" t="s">
        <v>116</v>
      </c>
      <c r="I372" s="116" t="s">
        <v>62</v>
      </c>
      <c r="J372" s="118" t="s">
        <v>324</v>
      </c>
      <c r="K372" s="116" t="s">
        <v>62</v>
      </c>
      <c r="L372" s="118" t="s">
        <v>324</v>
      </c>
      <c r="M372" s="116" t="s">
        <v>62</v>
      </c>
      <c r="N372" s="116" t="s">
        <v>324</v>
      </c>
      <c r="O372" s="116" t="s">
        <v>62</v>
      </c>
      <c r="P372" s="116" t="s">
        <v>62</v>
      </c>
      <c r="Q372" s="116"/>
      <c r="R372" s="116"/>
      <c r="S372" s="116"/>
      <c r="T372" s="116"/>
      <c r="U372" s="95" t="s">
        <v>60</v>
      </c>
      <c r="V372" s="95" t="s">
        <v>60</v>
      </c>
      <c r="W372" s="95" t="s">
        <v>60</v>
      </c>
      <c r="X372" s="95">
        <v>171</v>
      </c>
      <c r="Y372" s="95">
        <v>83.2</v>
      </c>
      <c r="Z372" s="95">
        <f t="shared" si="12"/>
        <v>28.453199274990599</v>
      </c>
      <c r="AA372" s="95" t="s">
        <v>325</v>
      </c>
      <c r="AB372" s="95" t="s">
        <v>60</v>
      </c>
      <c r="AC372" s="95"/>
      <c r="AD372" s="95" t="s">
        <v>60</v>
      </c>
      <c r="AE372" s="95"/>
      <c r="AF372" s="95"/>
      <c r="AG372" s="95"/>
    </row>
    <row r="373" spans="1:34">
      <c r="A373" s="116" t="s">
        <v>976</v>
      </c>
      <c r="B373" s="116" t="s">
        <v>324</v>
      </c>
      <c r="C373" s="98">
        <v>43874</v>
      </c>
      <c r="D373" s="95" t="s">
        <v>60</v>
      </c>
      <c r="E373" s="116">
        <v>28</v>
      </c>
      <c r="F373" s="117">
        <v>33552</v>
      </c>
      <c r="G373" s="116" t="s">
        <v>58</v>
      </c>
      <c r="H373" s="116" t="s">
        <v>116</v>
      </c>
      <c r="I373" s="116" t="s">
        <v>62</v>
      </c>
      <c r="J373" s="118" t="s">
        <v>324</v>
      </c>
      <c r="K373" s="116" t="s">
        <v>62</v>
      </c>
      <c r="L373" s="118" t="s">
        <v>324</v>
      </c>
      <c r="M373" s="116" t="s">
        <v>62</v>
      </c>
      <c r="N373" s="116" t="s">
        <v>324</v>
      </c>
      <c r="O373" s="116" t="s">
        <v>62</v>
      </c>
      <c r="P373" s="116" t="s">
        <v>62</v>
      </c>
      <c r="Q373" s="116"/>
      <c r="R373" s="116"/>
      <c r="S373" s="116"/>
      <c r="T373" s="116"/>
      <c r="U373" s="95" t="s">
        <v>62</v>
      </c>
      <c r="V373" s="95" t="s">
        <v>60</v>
      </c>
      <c r="W373" s="95" t="s">
        <v>60</v>
      </c>
      <c r="X373" s="95">
        <v>175.6</v>
      </c>
      <c r="Y373" s="95">
        <v>102.8</v>
      </c>
      <c r="Z373" s="95">
        <f t="shared" si="12"/>
        <v>33.338349219856681</v>
      </c>
      <c r="AA373" s="95" t="s">
        <v>325</v>
      </c>
      <c r="AB373" s="95" t="s">
        <v>60</v>
      </c>
      <c r="AC373" s="95"/>
      <c r="AD373" s="95" t="s">
        <v>60</v>
      </c>
      <c r="AE373" s="95"/>
      <c r="AF373" s="95"/>
      <c r="AG373" s="95"/>
    </row>
    <row r="374" spans="1:34">
      <c r="A374" s="116" t="s">
        <v>977</v>
      </c>
      <c r="B374" s="116" t="s">
        <v>324</v>
      </c>
      <c r="C374" s="98">
        <v>43878</v>
      </c>
      <c r="D374" s="95" t="s">
        <v>60</v>
      </c>
      <c r="E374" s="116">
        <v>19</v>
      </c>
      <c r="F374" s="117">
        <v>36725</v>
      </c>
      <c r="G374" s="116" t="s">
        <v>61</v>
      </c>
      <c r="H374" s="116" t="s">
        <v>116</v>
      </c>
      <c r="I374" s="116" t="s">
        <v>62</v>
      </c>
      <c r="J374" s="118" t="s">
        <v>324</v>
      </c>
      <c r="K374" s="116" t="s">
        <v>62</v>
      </c>
      <c r="L374" s="118" t="s">
        <v>324</v>
      </c>
      <c r="M374" s="116" t="s">
        <v>62</v>
      </c>
      <c r="N374" s="116" t="s">
        <v>324</v>
      </c>
      <c r="O374" s="116" t="s">
        <v>62</v>
      </c>
      <c r="P374" s="116" t="s">
        <v>62</v>
      </c>
      <c r="Q374" s="116"/>
      <c r="R374" s="116"/>
      <c r="S374" s="116"/>
      <c r="T374" s="116"/>
      <c r="U374" s="95" t="s">
        <v>62</v>
      </c>
      <c r="V374" s="95" t="s">
        <v>390</v>
      </c>
      <c r="W374" s="95" t="s">
        <v>62</v>
      </c>
      <c r="X374" s="95">
        <v>144.4</v>
      </c>
      <c r="Y374" s="95">
        <v>55.9</v>
      </c>
      <c r="Z374" s="95">
        <f t="shared" si="12"/>
        <v>26.808802879044823</v>
      </c>
      <c r="AA374" s="95" t="s">
        <v>325</v>
      </c>
      <c r="AB374" s="95" t="s">
        <v>60</v>
      </c>
      <c r="AC374" s="95"/>
      <c r="AD374" s="95" t="s">
        <v>60</v>
      </c>
      <c r="AE374" s="95"/>
      <c r="AF374" s="95"/>
      <c r="AG374" s="95"/>
    </row>
    <row r="375" spans="1:34">
      <c r="A375" s="116" t="s">
        <v>978</v>
      </c>
      <c r="B375" s="116" t="s">
        <v>324</v>
      </c>
      <c r="C375" s="98">
        <v>43880</v>
      </c>
      <c r="D375" s="95" t="s">
        <v>60</v>
      </c>
      <c r="E375" s="116">
        <v>19</v>
      </c>
      <c r="F375" s="117">
        <v>36600</v>
      </c>
      <c r="G375" s="116" t="s">
        <v>61</v>
      </c>
      <c r="H375" s="116" t="s">
        <v>127</v>
      </c>
      <c r="I375" s="116" t="s">
        <v>62</v>
      </c>
      <c r="J375" s="118" t="s">
        <v>324</v>
      </c>
      <c r="K375" s="116" t="s">
        <v>62</v>
      </c>
      <c r="L375" s="118" t="s">
        <v>324</v>
      </c>
      <c r="M375" s="116" t="s">
        <v>62</v>
      </c>
      <c r="N375" s="116" t="s">
        <v>324</v>
      </c>
      <c r="O375" s="116" t="s">
        <v>62</v>
      </c>
      <c r="P375" s="116" t="s">
        <v>62</v>
      </c>
      <c r="Q375" s="116"/>
      <c r="R375" s="116"/>
      <c r="S375" s="116"/>
      <c r="T375" s="116"/>
      <c r="U375" s="95" t="s">
        <v>62</v>
      </c>
      <c r="V375" s="95" t="s">
        <v>62</v>
      </c>
      <c r="W375" s="95" t="s">
        <v>62</v>
      </c>
      <c r="X375" s="95">
        <v>167.4</v>
      </c>
      <c r="Y375" s="95">
        <v>56.9</v>
      </c>
      <c r="Z375" s="95">
        <f t="shared" si="12"/>
        <v>20.30492356927012</v>
      </c>
      <c r="AA375" s="95" t="s">
        <v>325</v>
      </c>
      <c r="AB375" s="95" t="s">
        <v>60</v>
      </c>
      <c r="AC375" s="95"/>
      <c r="AD375" s="95" t="s">
        <v>60</v>
      </c>
      <c r="AE375" s="95"/>
      <c r="AF375" s="95"/>
      <c r="AG375" s="95"/>
    </row>
    <row r="376" spans="1:34">
      <c r="A376" s="116" t="s">
        <v>979</v>
      </c>
      <c r="B376" s="116" t="s">
        <v>324</v>
      </c>
      <c r="C376" s="98">
        <v>43882</v>
      </c>
      <c r="D376" s="95" t="s">
        <v>60</v>
      </c>
      <c r="E376" s="116">
        <v>22</v>
      </c>
      <c r="F376" s="117">
        <v>35752</v>
      </c>
      <c r="G376" s="116" t="s">
        <v>61</v>
      </c>
      <c r="H376" s="116" t="s">
        <v>116</v>
      </c>
      <c r="I376" s="116" t="s">
        <v>60</v>
      </c>
      <c r="J376" s="118" t="s">
        <v>324</v>
      </c>
      <c r="K376" s="116" t="s">
        <v>62</v>
      </c>
      <c r="L376" s="118" t="s">
        <v>324</v>
      </c>
      <c r="M376" s="116" t="s">
        <v>62</v>
      </c>
      <c r="N376" s="116" t="s">
        <v>324</v>
      </c>
      <c r="O376" s="116" t="s">
        <v>62</v>
      </c>
      <c r="P376" s="116" t="s">
        <v>62</v>
      </c>
      <c r="Q376" s="116"/>
      <c r="R376" s="116"/>
      <c r="S376" s="116"/>
      <c r="T376" s="116"/>
      <c r="U376" s="95" t="s">
        <v>62</v>
      </c>
      <c r="V376" s="95" t="s">
        <v>60</v>
      </c>
      <c r="W376" s="95" t="s">
        <v>60</v>
      </c>
      <c r="X376" s="95">
        <v>165.2</v>
      </c>
      <c r="Y376" s="95">
        <v>69.900000000000006</v>
      </c>
      <c r="Z376" s="95">
        <f t="shared" si="12"/>
        <v>25.612801857312881</v>
      </c>
      <c r="AA376" s="95" t="s">
        <v>325</v>
      </c>
      <c r="AB376" s="95" t="s">
        <v>60</v>
      </c>
      <c r="AC376" s="95"/>
      <c r="AD376" s="95" t="s">
        <v>60</v>
      </c>
      <c r="AE376" s="95"/>
      <c r="AF376" s="95"/>
      <c r="AG376" s="95"/>
    </row>
    <row r="377" spans="1:34">
      <c r="A377" s="116" t="s">
        <v>980</v>
      </c>
      <c r="B377" s="116" t="s">
        <v>324</v>
      </c>
      <c r="C377" s="98">
        <v>43885</v>
      </c>
      <c r="D377" s="95" t="s">
        <v>60</v>
      </c>
      <c r="E377" s="116">
        <v>63</v>
      </c>
      <c r="F377" s="117">
        <v>20575</v>
      </c>
      <c r="G377" s="116" t="s">
        <v>61</v>
      </c>
      <c r="H377" s="116" t="s">
        <v>116</v>
      </c>
      <c r="I377" s="116" t="s">
        <v>62</v>
      </c>
      <c r="J377" s="118" t="s">
        <v>324</v>
      </c>
      <c r="K377" s="116" t="s">
        <v>62</v>
      </c>
      <c r="L377" s="118" t="s">
        <v>324</v>
      </c>
      <c r="M377" s="116" t="s">
        <v>62</v>
      </c>
      <c r="N377" s="116" t="s">
        <v>324</v>
      </c>
      <c r="O377" s="116" t="s">
        <v>62</v>
      </c>
      <c r="P377" s="116" t="s">
        <v>62</v>
      </c>
      <c r="Q377" s="116" t="s">
        <v>483</v>
      </c>
      <c r="R377" s="116"/>
      <c r="S377" s="116"/>
      <c r="T377" s="116"/>
      <c r="U377" s="95" t="s">
        <v>62</v>
      </c>
      <c r="V377" s="95" t="s">
        <v>62</v>
      </c>
      <c r="W377" s="95" t="s">
        <v>62</v>
      </c>
      <c r="X377" s="95">
        <v>162.6</v>
      </c>
      <c r="Y377" s="95">
        <v>74</v>
      </c>
      <c r="Z377" s="95">
        <f t="shared" si="12"/>
        <v>27.98920978139671</v>
      </c>
      <c r="AA377" s="95" t="s">
        <v>325</v>
      </c>
      <c r="AB377" s="95" t="s">
        <v>60</v>
      </c>
      <c r="AC377" s="95"/>
      <c r="AD377" s="95" t="s">
        <v>60</v>
      </c>
      <c r="AE377" s="95"/>
      <c r="AF377" s="95"/>
      <c r="AG377" s="95"/>
    </row>
    <row r="378" spans="1:34" ht="43.2">
      <c r="A378" s="116" t="s">
        <v>981</v>
      </c>
      <c r="B378" s="116" t="s">
        <v>324</v>
      </c>
      <c r="C378" s="98">
        <v>43881</v>
      </c>
      <c r="D378" s="95" t="s">
        <v>60</v>
      </c>
      <c r="E378" s="116">
        <v>22</v>
      </c>
      <c r="F378" s="117">
        <v>35710</v>
      </c>
      <c r="G378" s="116" t="s">
        <v>61</v>
      </c>
      <c r="H378" s="116" t="s">
        <v>116</v>
      </c>
      <c r="I378" s="116" t="s">
        <v>62</v>
      </c>
      <c r="J378" s="118" t="s">
        <v>324</v>
      </c>
      <c r="K378" s="116" t="s">
        <v>60</v>
      </c>
      <c r="L378" s="118" t="s">
        <v>982</v>
      </c>
      <c r="M378" s="116" t="s">
        <v>62</v>
      </c>
      <c r="N378" s="116" t="s">
        <v>324</v>
      </c>
      <c r="O378" s="116" t="s">
        <v>62</v>
      </c>
      <c r="P378" s="116" t="s">
        <v>62</v>
      </c>
      <c r="Q378" s="116"/>
      <c r="R378" s="116"/>
      <c r="S378" s="116"/>
      <c r="T378" s="116"/>
      <c r="U378" s="95" t="s">
        <v>60</v>
      </c>
      <c r="V378" s="95" t="s">
        <v>60</v>
      </c>
      <c r="W378" s="95" t="s">
        <v>60</v>
      </c>
      <c r="X378" s="95">
        <v>170.3</v>
      </c>
      <c r="Y378" s="95">
        <v>81.7</v>
      </c>
      <c r="Z378" s="95">
        <f t="shared" si="12"/>
        <v>28.170383582700417</v>
      </c>
      <c r="AA378" s="95" t="s">
        <v>325</v>
      </c>
      <c r="AB378" s="95" t="s">
        <v>60</v>
      </c>
      <c r="AC378" s="95"/>
      <c r="AD378" s="95" t="s">
        <v>60</v>
      </c>
      <c r="AE378" s="95"/>
      <c r="AF378" s="95"/>
      <c r="AG378" s="95"/>
    </row>
    <row r="381" spans="1:34" ht="40.049999999999997" customHeight="1">
      <c r="A381" s="396" t="s">
        <v>983</v>
      </c>
      <c r="B381" s="397"/>
      <c r="C381" s="397"/>
      <c r="D381" s="397"/>
      <c r="E381" s="397"/>
      <c r="F381" s="397"/>
      <c r="G381" s="397"/>
      <c r="H381" s="397"/>
      <c r="I381" s="397"/>
      <c r="J381" s="397"/>
      <c r="K381" s="397"/>
      <c r="L381" s="397"/>
      <c r="M381" s="397"/>
      <c r="N381" s="397"/>
      <c r="O381" s="397"/>
      <c r="P381" s="397"/>
      <c r="Q381" s="397"/>
      <c r="R381" s="397"/>
      <c r="S381" s="397"/>
      <c r="T381" s="397"/>
      <c r="U381" s="397"/>
    </row>
    <row r="382" spans="1:34" ht="62.4">
      <c r="A382" s="129" t="s">
        <v>294</v>
      </c>
      <c r="B382" s="130" t="s">
        <v>295</v>
      </c>
      <c r="C382" s="129" t="s">
        <v>296</v>
      </c>
      <c r="D382" s="129" t="s">
        <v>17</v>
      </c>
      <c r="E382" s="129" t="s">
        <v>984</v>
      </c>
      <c r="F382" s="129" t="s">
        <v>18</v>
      </c>
      <c r="G382" s="129" t="s">
        <v>297</v>
      </c>
      <c r="H382" s="129" t="s">
        <v>306</v>
      </c>
      <c r="I382" s="129" t="s">
        <v>307</v>
      </c>
      <c r="J382" s="129" t="s">
        <v>308</v>
      </c>
      <c r="K382" s="131" t="s">
        <v>310</v>
      </c>
      <c r="L382" s="131" t="s">
        <v>311</v>
      </c>
      <c r="M382" s="131" t="s">
        <v>312</v>
      </c>
      <c r="N382" s="89" t="s">
        <v>313</v>
      </c>
      <c r="O382" s="89" t="s">
        <v>314</v>
      </c>
      <c r="P382" s="89" t="s">
        <v>70</v>
      </c>
      <c r="Q382" s="89" t="s">
        <v>316</v>
      </c>
      <c r="R382" s="89" t="s">
        <v>318</v>
      </c>
      <c r="S382" s="89" t="s">
        <v>319</v>
      </c>
      <c r="T382" s="89" t="s">
        <v>320</v>
      </c>
      <c r="U382" s="89" t="s">
        <v>321</v>
      </c>
      <c r="AH382" s="132"/>
    </row>
    <row r="383" spans="1:34">
      <c r="A383" s="120" t="s">
        <v>985</v>
      </c>
      <c r="B383" s="119">
        <v>43770</v>
      </c>
      <c r="C383" s="120" t="s">
        <v>324</v>
      </c>
      <c r="D383" s="120">
        <v>10</v>
      </c>
      <c r="E383" s="127">
        <v>39897</v>
      </c>
      <c r="F383" s="120" t="s">
        <v>58</v>
      </c>
      <c r="G383" s="120" t="s">
        <v>117</v>
      </c>
      <c r="H383" s="120"/>
      <c r="I383" s="120"/>
      <c r="J383" s="120"/>
      <c r="K383" s="120" t="s">
        <v>60</v>
      </c>
      <c r="L383" s="120" t="s">
        <v>60</v>
      </c>
      <c r="M383" s="120" t="s">
        <v>60</v>
      </c>
      <c r="N383" s="120">
        <v>148.19999999999999</v>
      </c>
      <c r="O383" s="120">
        <v>39.299999999999997</v>
      </c>
      <c r="P383" s="120">
        <f t="shared" ref="P383:P446" si="13">O383/((N383/100)^2)</f>
        <v>17.893534833658418</v>
      </c>
      <c r="Q383" s="120" t="s">
        <v>62</v>
      </c>
      <c r="R383" s="120"/>
      <c r="S383" s="120"/>
      <c r="T383" s="120"/>
      <c r="U383" s="120" t="s">
        <v>986</v>
      </c>
      <c r="AH383" s="132"/>
    </row>
    <row r="384" spans="1:34">
      <c r="A384" s="95" t="s">
        <v>987</v>
      </c>
      <c r="B384" s="94">
        <v>43767</v>
      </c>
      <c r="C384" s="95" t="s">
        <v>60</v>
      </c>
      <c r="D384" s="95">
        <v>16</v>
      </c>
      <c r="E384" s="98">
        <v>37583</v>
      </c>
      <c r="F384" s="95" t="s">
        <v>61</v>
      </c>
      <c r="G384" s="95" t="s">
        <v>116</v>
      </c>
      <c r="H384" s="95"/>
      <c r="I384" s="95"/>
      <c r="J384" s="95"/>
      <c r="K384" s="95" t="s">
        <v>60</v>
      </c>
      <c r="L384" s="95" t="s">
        <v>60</v>
      </c>
      <c r="M384" s="95" t="s">
        <v>60</v>
      </c>
      <c r="N384" s="95">
        <v>165.35</v>
      </c>
      <c r="O384" s="95">
        <v>57.1</v>
      </c>
      <c r="P384" s="95">
        <f t="shared" si="13"/>
        <v>20.884674443678083</v>
      </c>
      <c r="Q384" s="95" t="s">
        <v>60</v>
      </c>
      <c r="R384" s="95" t="s">
        <v>60</v>
      </c>
      <c r="S384" s="95" t="s">
        <v>60</v>
      </c>
      <c r="T384" s="95" t="s">
        <v>60</v>
      </c>
      <c r="U384" s="95"/>
      <c r="AH384" s="132"/>
    </row>
    <row r="385" spans="1:34">
      <c r="A385" s="99" t="s">
        <v>988</v>
      </c>
      <c r="B385" s="94">
        <v>43840</v>
      </c>
      <c r="C385" s="99" t="s">
        <v>60</v>
      </c>
      <c r="D385" s="95">
        <v>17</v>
      </c>
      <c r="E385" s="98">
        <v>37368</v>
      </c>
      <c r="F385" s="95" t="s">
        <v>61</v>
      </c>
      <c r="G385" s="95" t="s">
        <v>116</v>
      </c>
      <c r="H385" s="95" t="s">
        <v>974</v>
      </c>
      <c r="I385" s="95" t="s">
        <v>989</v>
      </c>
      <c r="J385" s="95"/>
      <c r="K385" s="95" t="s">
        <v>60</v>
      </c>
      <c r="L385" s="95" t="s">
        <v>60</v>
      </c>
      <c r="M385" s="95" t="s">
        <v>60</v>
      </c>
      <c r="N385" s="95">
        <v>167.2</v>
      </c>
      <c r="O385" s="95">
        <v>72.400000000000006</v>
      </c>
      <c r="P385" s="95">
        <f t="shared" si="13"/>
        <v>25.897987683432159</v>
      </c>
      <c r="Q385" s="95" t="s">
        <v>60</v>
      </c>
      <c r="R385" s="95" t="s">
        <v>60</v>
      </c>
      <c r="S385" s="95" t="s">
        <v>60</v>
      </c>
      <c r="T385" s="95" t="s">
        <v>60</v>
      </c>
      <c r="U385" s="95"/>
      <c r="AH385" s="132"/>
    </row>
    <row r="386" spans="1:34">
      <c r="A386" s="95" t="s">
        <v>990</v>
      </c>
      <c r="B386" s="94">
        <v>43771</v>
      </c>
      <c r="C386" s="95" t="s">
        <v>60</v>
      </c>
      <c r="D386" s="95">
        <v>17</v>
      </c>
      <c r="E386" s="98">
        <v>37470</v>
      </c>
      <c r="F386" s="95" t="s">
        <v>61</v>
      </c>
      <c r="G386" s="95" t="s">
        <v>116</v>
      </c>
      <c r="H386" s="95" t="s">
        <v>974</v>
      </c>
      <c r="I386" s="95"/>
      <c r="J386" s="95"/>
      <c r="K386" s="95" t="s">
        <v>60</v>
      </c>
      <c r="L386" s="95" t="s">
        <v>60</v>
      </c>
      <c r="M386" s="95" t="s">
        <v>60</v>
      </c>
      <c r="N386" s="95">
        <v>169.5</v>
      </c>
      <c r="O386" s="95">
        <v>57.7</v>
      </c>
      <c r="P386" s="95">
        <f t="shared" si="13"/>
        <v>20.083361613630231</v>
      </c>
      <c r="Q386" s="95" t="s">
        <v>60</v>
      </c>
      <c r="R386" s="95" t="s">
        <v>60</v>
      </c>
      <c r="S386" s="95" t="s">
        <v>60</v>
      </c>
      <c r="T386" s="95" t="s">
        <v>60</v>
      </c>
      <c r="U386" s="95"/>
      <c r="AH386" s="132"/>
    </row>
    <row r="387" spans="1:34">
      <c r="A387" s="95" t="s">
        <v>991</v>
      </c>
      <c r="B387" s="94">
        <v>43760</v>
      </c>
      <c r="C387" s="95" t="s">
        <v>60</v>
      </c>
      <c r="D387" s="95">
        <v>17</v>
      </c>
      <c r="E387" s="98">
        <v>37366</v>
      </c>
      <c r="F387" s="95" t="s">
        <v>58</v>
      </c>
      <c r="G387" s="95" t="s">
        <v>116</v>
      </c>
      <c r="H387" s="95" t="s">
        <v>992</v>
      </c>
      <c r="I387" s="95"/>
      <c r="J387" s="95"/>
      <c r="K387" s="95" t="s">
        <v>60</v>
      </c>
      <c r="L387" s="95" t="s">
        <v>390</v>
      </c>
      <c r="M387" s="95" t="s">
        <v>390</v>
      </c>
      <c r="N387" s="95">
        <v>180.05</v>
      </c>
      <c r="O387" s="95">
        <v>77.900000000000006</v>
      </c>
      <c r="P387" s="95">
        <f t="shared" si="13"/>
        <v>24.029858101220142</v>
      </c>
      <c r="Q387" s="95" t="s">
        <v>60</v>
      </c>
      <c r="R387" s="95" t="s">
        <v>60</v>
      </c>
      <c r="S387" s="95" t="s">
        <v>60</v>
      </c>
      <c r="T387" s="95" t="s">
        <v>60</v>
      </c>
      <c r="U387" s="95"/>
      <c r="AH387" s="132"/>
    </row>
    <row r="388" spans="1:34">
      <c r="A388" s="95" t="s">
        <v>993</v>
      </c>
      <c r="B388" s="94">
        <v>43759</v>
      </c>
      <c r="C388" s="95" t="s">
        <v>60</v>
      </c>
      <c r="D388" s="95">
        <v>14</v>
      </c>
      <c r="E388" s="98">
        <v>38439</v>
      </c>
      <c r="F388" s="95" t="s">
        <v>61</v>
      </c>
      <c r="G388" s="95" t="s">
        <v>116</v>
      </c>
      <c r="H388" s="95"/>
      <c r="I388" s="95"/>
      <c r="J388" s="95"/>
      <c r="K388" s="95" t="s">
        <v>60</v>
      </c>
      <c r="L388" s="95" t="s">
        <v>60</v>
      </c>
      <c r="M388" s="95" t="s">
        <v>60</v>
      </c>
      <c r="N388" s="95">
        <v>170.15</v>
      </c>
      <c r="O388" s="95">
        <v>63</v>
      </c>
      <c r="P388" s="95">
        <f t="shared" si="13"/>
        <v>21.760889446996217</v>
      </c>
      <c r="Q388" s="95" t="s">
        <v>60</v>
      </c>
      <c r="R388" s="95" t="s">
        <v>60</v>
      </c>
      <c r="S388" s="95" t="s">
        <v>60</v>
      </c>
      <c r="T388" s="95" t="s">
        <v>60</v>
      </c>
      <c r="U388" s="95"/>
      <c r="AH388" s="132"/>
    </row>
    <row r="389" spans="1:34">
      <c r="A389" s="95" t="s">
        <v>994</v>
      </c>
      <c r="B389" s="98">
        <v>43743</v>
      </c>
      <c r="C389" s="95" t="s">
        <v>60</v>
      </c>
      <c r="D389" s="95">
        <v>17</v>
      </c>
      <c r="E389" s="98">
        <v>37441</v>
      </c>
      <c r="F389" s="95" t="s">
        <v>58</v>
      </c>
      <c r="G389" s="95" t="s">
        <v>116</v>
      </c>
      <c r="H389" s="95" t="s">
        <v>677</v>
      </c>
      <c r="I389" s="95"/>
      <c r="J389" s="95"/>
      <c r="K389" s="95" t="s">
        <v>60</v>
      </c>
      <c r="L389" s="95" t="s">
        <v>60</v>
      </c>
      <c r="M389" s="95" t="s">
        <v>390</v>
      </c>
      <c r="N389" s="95">
        <v>181.6</v>
      </c>
      <c r="O389" s="95">
        <v>62</v>
      </c>
      <c r="P389" s="95">
        <f t="shared" si="13"/>
        <v>18.800093151429294</v>
      </c>
      <c r="Q389" s="95" t="s">
        <v>60</v>
      </c>
      <c r="R389" s="95" t="s">
        <v>60</v>
      </c>
      <c r="S389" s="95" t="s">
        <v>60</v>
      </c>
      <c r="T389" s="95"/>
      <c r="U389" s="95"/>
      <c r="AH389" s="132"/>
    </row>
    <row r="390" spans="1:34">
      <c r="A390" s="95" t="s">
        <v>995</v>
      </c>
      <c r="B390" s="94">
        <v>43773</v>
      </c>
      <c r="C390" s="99" t="s">
        <v>60</v>
      </c>
      <c r="D390" s="95">
        <v>16</v>
      </c>
      <c r="E390" s="98">
        <v>37656</v>
      </c>
      <c r="F390" s="95" t="s">
        <v>58</v>
      </c>
      <c r="G390" s="95" t="s">
        <v>127</v>
      </c>
      <c r="H390" s="95"/>
      <c r="I390" s="95"/>
      <c r="J390" s="95"/>
      <c r="K390" s="95" t="s">
        <v>60</v>
      </c>
      <c r="L390" s="95" t="s">
        <v>60</v>
      </c>
      <c r="M390" s="95" t="s">
        <v>60</v>
      </c>
      <c r="N390" s="95">
        <v>176</v>
      </c>
      <c r="O390" s="95">
        <v>73.3</v>
      </c>
      <c r="P390" s="95">
        <f t="shared" si="13"/>
        <v>23.663481404958677</v>
      </c>
      <c r="Q390" s="95" t="s">
        <v>60</v>
      </c>
      <c r="R390" s="95" t="s">
        <v>60</v>
      </c>
      <c r="S390" s="95" t="s">
        <v>60</v>
      </c>
      <c r="T390" s="95" t="s">
        <v>60</v>
      </c>
      <c r="U390" s="95"/>
      <c r="AH390" s="132"/>
    </row>
    <row r="391" spans="1:34">
      <c r="A391" s="95" t="s">
        <v>996</v>
      </c>
      <c r="B391" s="94">
        <v>43773</v>
      </c>
      <c r="C391" s="95" t="s">
        <v>60</v>
      </c>
      <c r="D391" s="95">
        <v>14</v>
      </c>
      <c r="E391" s="98">
        <v>38604</v>
      </c>
      <c r="F391" s="95" t="s">
        <v>61</v>
      </c>
      <c r="G391" s="95" t="s">
        <v>116</v>
      </c>
      <c r="H391" s="95"/>
      <c r="I391" s="95"/>
      <c r="J391" s="95"/>
      <c r="K391" s="95" t="s">
        <v>60</v>
      </c>
      <c r="L391" s="95" t="s">
        <v>60</v>
      </c>
      <c r="M391" s="95" t="s">
        <v>60</v>
      </c>
      <c r="N391" s="95">
        <v>164.05</v>
      </c>
      <c r="O391" s="95">
        <v>70.8</v>
      </c>
      <c r="P391" s="95">
        <f t="shared" si="13"/>
        <v>26.307573246201258</v>
      </c>
      <c r="Q391" s="95" t="s">
        <v>60</v>
      </c>
      <c r="R391" s="95" t="s">
        <v>60</v>
      </c>
      <c r="S391" s="95" t="s">
        <v>60</v>
      </c>
      <c r="T391" s="95" t="s">
        <v>60</v>
      </c>
      <c r="U391" s="95"/>
      <c r="AH391" s="132"/>
    </row>
    <row r="392" spans="1:34">
      <c r="A392" s="95" t="s">
        <v>997</v>
      </c>
      <c r="B392" s="94">
        <v>43753</v>
      </c>
      <c r="C392" s="95" t="s">
        <v>60</v>
      </c>
      <c r="D392" s="95">
        <v>17</v>
      </c>
      <c r="E392" s="98">
        <v>37240</v>
      </c>
      <c r="F392" s="95" t="s">
        <v>58</v>
      </c>
      <c r="G392" s="95" t="s">
        <v>116</v>
      </c>
      <c r="H392" s="95"/>
      <c r="I392" s="95"/>
      <c r="J392" s="95"/>
      <c r="K392" s="95" t="s">
        <v>60</v>
      </c>
      <c r="L392" s="95" t="s">
        <v>60</v>
      </c>
      <c r="M392" s="95" t="s">
        <v>60</v>
      </c>
      <c r="N392" s="95">
        <v>186.45</v>
      </c>
      <c r="O392" s="95">
        <v>75.75</v>
      </c>
      <c r="P392" s="95">
        <f t="shared" si="13"/>
        <v>21.79003168615796</v>
      </c>
      <c r="Q392" s="95" t="s">
        <v>60</v>
      </c>
      <c r="R392" s="95" t="s">
        <v>60</v>
      </c>
      <c r="S392" s="95" t="s">
        <v>60</v>
      </c>
      <c r="T392" s="95" t="s">
        <v>60</v>
      </c>
      <c r="U392" s="95"/>
      <c r="AH392" s="132"/>
    </row>
    <row r="393" spans="1:34">
      <c r="A393" s="95" t="s">
        <v>998</v>
      </c>
      <c r="B393" s="94">
        <v>43792</v>
      </c>
      <c r="C393" s="99" t="s">
        <v>60</v>
      </c>
      <c r="D393" s="95">
        <v>15</v>
      </c>
      <c r="E393" s="98">
        <v>38007</v>
      </c>
      <c r="F393" s="95" t="s">
        <v>61</v>
      </c>
      <c r="G393" s="95" t="s">
        <v>116</v>
      </c>
      <c r="H393" s="95" t="s">
        <v>999</v>
      </c>
      <c r="I393" s="95"/>
      <c r="J393" s="95"/>
      <c r="K393" s="95" t="s">
        <v>60</v>
      </c>
      <c r="L393" s="95" t="s">
        <v>60</v>
      </c>
      <c r="M393" s="95" t="s">
        <v>390</v>
      </c>
      <c r="N393" s="95">
        <v>156.80000000000001</v>
      </c>
      <c r="O393" s="95">
        <v>69.599999999999994</v>
      </c>
      <c r="P393" s="95">
        <f t="shared" si="13"/>
        <v>28.308517284464799</v>
      </c>
      <c r="Q393" s="95" t="s">
        <v>60</v>
      </c>
      <c r="R393" s="95" t="s">
        <v>60</v>
      </c>
      <c r="S393" s="95" t="s">
        <v>60</v>
      </c>
      <c r="T393" s="95" t="s">
        <v>60</v>
      </c>
      <c r="U393" s="95"/>
      <c r="AH393" s="132"/>
    </row>
    <row r="394" spans="1:34">
      <c r="A394" s="95" t="s">
        <v>1000</v>
      </c>
      <c r="B394" s="94">
        <v>43780</v>
      </c>
      <c r="C394" s="99" t="s">
        <v>60</v>
      </c>
      <c r="D394" s="95">
        <v>16</v>
      </c>
      <c r="E394" s="98">
        <v>37776</v>
      </c>
      <c r="F394" s="95" t="s">
        <v>61</v>
      </c>
      <c r="G394" s="95" t="s">
        <v>116</v>
      </c>
      <c r="H394" s="95"/>
      <c r="I394" s="95"/>
      <c r="J394" s="95"/>
      <c r="K394" s="95" t="s">
        <v>60</v>
      </c>
      <c r="L394" s="95" t="s">
        <v>60</v>
      </c>
      <c r="M394" s="95" t="s">
        <v>390</v>
      </c>
      <c r="N394" s="95">
        <v>162.4</v>
      </c>
      <c r="O394" s="95">
        <v>63.4</v>
      </c>
      <c r="P394" s="95">
        <f t="shared" si="13"/>
        <v>24.03904486883933</v>
      </c>
      <c r="Q394" s="95" t="s">
        <v>60</v>
      </c>
      <c r="R394" s="95" t="s">
        <v>60</v>
      </c>
      <c r="S394" s="95" t="s">
        <v>60</v>
      </c>
      <c r="T394" s="95" t="s">
        <v>60</v>
      </c>
      <c r="U394" s="95"/>
      <c r="AH394" s="132"/>
    </row>
    <row r="395" spans="1:34">
      <c r="A395" s="95" t="s">
        <v>1001</v>
      </c>
      <c r="B395" s="94">
        <v>43756</v>
      </c>
      <c r="C395" s="95" t="s">
        <v>60</v>
      </c>
      <c r="D395" s="95">
        <v>16</v>
      </c>
      <c r="E395" s="98">
        <v>37663</v>
      </c>
      <c r="F395" s="95" t="s">
        <v>58</v>
      </c>
      <c r="G395" s="95" t="s">
        <v>116</v>
      </c>
      <c r="H395" s="95"/>
      <c r="I395" s="95"/>
      <c r="J395" s="95"/>
      <c r="K395" s="95" t="s">
        <v>60</v>
      </c>
      <c r="L395" s="95" t="s">
        <v>60</v>
      </c>
      <c r="M395" s="95" t="s">
        <v>390</v>
      </c>
      <c r="N395" s="95">
        <v>172.1</v>
      </c>
      <c r="O395" s="95">
        <v>76.150000000000006</v>
      </c>
      <c r="P395" s="95">
        <f t="shared" si="13"/>
        <v>25.710360549401543</v>
      </c>
      <c r="Q395" s="95" t="s">
        <v>60</v>
      </c>
      <c r="R395" s="95" t="s">
        <v>60</v>
      </c>
      <c r="S395" s="95" t="s">
        <v>60</v>
      </c>
      <c r="T395" s="95"/>
      <c r="U395" s="95"/>
      <c r="AH395" s="132"/>
    </row>
    <row r="396" spans="1:34">
      <c r="A396" s="95" t="s">
        <v>1002</v>
      </c>
      <c r="B396" s="94">
        <v>43781</v>
      </c>
      <c r="C396" s="99" t="s">
        <v>60</v>
      </c>
      <c r="D396" s="95">
        <v>16</v>
      </c>
      <c r="E396" s="98">
        <v>37810</v>
      </c>
      <c r="F396" s="95" t="s">
        <v>61</v>
      </c>
      <c r="G396" s="95" t="s">
        <v>116</v>
      </c>
      <c r="H396" s="95" t="s">
        <v>410</v>
      </c>
      <c r="I396" s="95"/>
      <c r="J396" s="95"/>
      <c r="K396" s="95" t="s">
        <v>60</v>
      </c>
      <c r="L396" s="95" t="s">
        <v>60</v>
      </c>
      <c r="M396" s="95" t="s">
        <v>60</v>
      </c>
      <c r="N396" s="95">
        <v>161.63</v>
      </c>
      <c r="O396" s="95">
        <v>70.8</v>
      </c>
      <c r="P396" s="95">
        <f t="shared" si="13"/>
        <v>27.101249337354364</v>
      </c>
      <c r="Q396" s="95" t="s">
        <v>60</v>
      </c>
      <c r="R396" s="95" t="s">
        <v>60</v>
      </c>
      <c r="S396" s="95" t="s">
        <v>60</v>
      </c>
      <c r="T396" s="95" t="s">
        <v>60</v>
      </c>
      <c r="U396" s="95"/>
      <c r="AH396" s="132"/>
    </row>
    <row r="397" spans="1:34">
      <c r="A397" s="95" t="s">
        <v>1003</v>
      </c>
      <c r="B397" s="94">
        <v>43783</v>
      </c>
      <c r="C397" s="99" t="s">
        <v>60</v>
      </c>
      <c r="D397" s="95">
        <v>17</v>
      </c>
      <c r="E397" s="98">
        <v>37475</v>
      </c>
      <c r="F397" s="95" t="s">
        <v>61</v>
      </c>
      <c r="G397" s="95" t="s">
        <v>116</v>
      </c>
      <c r="H397" s="95"/>
      <c r="I397" s="95"/>
      <c r="J397" s="95"/>
      <c r="K397" s="95" t="s">
        <v>60</v>
      </c>
      <c r="L397" s="95" t="s">
        <v>60</v>
      </c>
      <c r="M397" s="95" t="s">
        <v>390</v>
      </c>
      <c r="N397" s="95">
        <v>161.30000000000001</v>
      </c>
      <c r="O397" s="95">
        <v>60.2</v>
      </c>
      <c r="P397" s="95">
        <f t="shared" si="13"/>
        <v>23.138103344301506</v>
      </c>
      <c r="Q397" s="95" t="s">
        <v>60</v>
      </c>
      <c r="R397" s="95" t="s">
        <v>60</v>
      </c>
      <c r="S397" s="95" t="s">
        <v>60</v>
      </c>
      <c r="T397" s="95" t="s">
        <v>60</v>
      </c>
      <c r="U397" s="95"/>
      <c r="AH397" s="132"/>
    </row>
    <row r="398" spans="1:34">
      <c r="A398" s="95" t="s">
        <v>1004</v>
      </c>
      <c r="B398" s="94">
        <v>43768</v>
      </c>
      <c r="C398" s="95" t="s">
        <v>60</v>
      </c>
      <c r="D398" s="95">
        <v>15</v>
      </c>
      <c r="E398" s="98">
        <v>38258</v>
      </c>
      <c r="F398" s="95" t="s">
        <v>58</v>
      </c>
      <c r="G398" s="95" t="s">
        <v>116</v>
      </c>
      <c r="H398" s="95"/>
      <c r="I398" s="95"/>
      <c r="J398" s="95"/>
      <c r="K398" s="95" t="s">
        <v>60</v>
      </c>
      <c r="L398" s="95" t="s">
        <v>60</v>
      </c>
      <c r="M398" s="95" t="s">
        <v>60</v>
      </c>
      <c r="N398" s="95">
        <v>179</v>
      </c>
      <c r="O398" s="95">
        <v>65</v>
      </c>
      <c r="P398" s="95">
        <f t="shared" si="13"/>
        <v>20.286507911738084</v>
      </c>
      <c r="Q398" s="95" t="s">
        <v>60</v>
      </c>
      <c r="R398" s="95" t="s">
        <v>60</v>
      </c>
      <c r="S398" s="95" t="s">
        <v>60</v>
      </c>
      <c r="T398" s="95" t="s">
        <v>60</v>
      </c>
      <c r="U398" s="95"/>
      <c r="AH398" s="132"/>
    </row>
    <row r="399" spans="1:34">
      <c r="A399" s="95" t="s">
        <v>1005</v>
      </c>
      <c r="B399" s="94">
        <v>43788</v>
      </c>
      <c r="C399" s="99" t="s">
        <v>60</v>
      </c>
      <c r="D399" s="95">
        <v>16</v>
      </c>
      <c r="E399" s="98">
        <v>37712</v>
      </c>
      <c r="F399" s="95" t="s">
        <v>61</v>
      </c>
      <c r="G399" s="95" t="s">
        <v>146</v>
      </c>
      <c r="H399" s="95"/>
      <c r="I399" s="95"/>
      <c r="J399" s="95"/>
      <c r="K399" s="95" t="s">
        <v>60</v>
      </c>
      <c r="L399" s="95" t="s">
        <v>60</v>
      </c>
      <c r="M399" s="95" t="s">
        <v>60</v>
      </c>
      <c r="N399" s="95">
        <v>174.93</v>
      </c>
      <c r="O399" s="95">
        <v>62.3</v>
      </c>
      <c r="P399" s="95">
        <f t="shared" si="13"/>
        <v>20.359141198353232</v>
      </c>
      <c r="Q399" s="95" t="s">
        <v>60</v>
      </c>
      <c r="R399" s="95" t="s">
        <v>60</v>
      </c>
      <c r="S399" s="95" t="s">
        <v>60</v>
      </c>
      <c r="T399" s="95"/>
      <c r="U399" s="95"/>
      <c r="AH399" s="132"/>
    </row>
    <row r="400" spans="1:34">
      <c r="A400" s="95" t="s">
        <v>1006</v>
      </c>
      <c r="B400" s="98">
        <v>43743</v>
      </c>
      <c r="C400" s="95" t="s">
        <v>60</v>
      </c>
      <c r="D400" s="95">
        <v>16</v>
      </c>
      <c r="E400" s="98">
        <v>37737</v>
      </c>
      <c r="F400" s="95" t="s">
        <v>58</v>
      </c>
      <c r="G400" s="95" t="s">
        <v>127</v>
      </c>
      <c r="H400" s="95"/>
      <c r="I400" s="95"/>
      <c r="J400" s="95"/>
      <c r="K400" s="95" t="s">
        <v>60</v>
      </c>
      <c r="L400" s="95" t="s">
        <v>60</v>
      </c>
      <c r="M400" s="95" t="s">
        <v>390</v>
      </c>
      <c r="N400" s="95">
        <v>171.55</v>
      </c>
      <c r="O400" s="95">
        <v>60.8</v>
      </c>
      <c r="P400" s="95">
        <f t="shared" si="13"/>
        <v>20.659610741332582</v>
      </c>
      <c r="Q400" s="95" t="s">
        <v>60</v>
      </c>
      <c r="R400" s="95" t="s">
        <v>60</v>
      </c>
      <c r="S400" s="95" t="s">
        <v>60</v>
      </c>
      <c r="T400" s="95"/>
      <c r="U400" s="95"/>
      <c r="AH400" s="132"/>
    </row>
    <row r="401" spans="1:34">
      <c r="A401" s="95" t="s">
        <v>1007</v>
      </c>
      <c r="B401" s="98">
        <v>43747</v>
      </c>
      <c r="C401" s="95" t="s">
        <v>60</v>
      </c>
      <c r="D401" s="95">
        <v>15</v>
      </c>
      <c r="E401" s="98">
        <v>38118</v>
      </c>
      <c r="F401" s="95" t="s">
        <v>61</v>
      </c>
      <c r="G401" s="95" t="s">
        <v>127</v>
      </c>
      <c r="H401" s="95"/>
      <c r="I401" s="95"/>
      <c r="J401" s="95"/>
      <c r="K401" s="95" t="s">
        <v>60</v>
      </c>
      <c r="L401" s="95" t="s">
        <v>60</v>
      </c>
      <c r="M401" s="95" t="s">
        <v>60</v>
      </c>
      <c r="N401" s="95">
        <v>160.6</v>
      </c>
      <c r="O401" s="95">
        <v>67.150000000000006</v>
      </c>
      <c r="P401" s="95">
        <f t="shared" si="13"/>
        <v>26.034841325105582</v>
      </c>
      <c r="Q401" s="95" t="s">
        <v>60</v>
      </c>
      <c r="R401" s="95" t="s">
        <v>60</v>
      </c>
      <c r="S401" s="95" t="s">
        <v>60</v>
      </c>
      <c r="T401" s="95"/>
      <c r="U401" s="95"/>
      <c r="AH401" s="132"/>
    </row>
    <row r="402" spans="1:34">
      <c r="A402" s="95" t="s">
        <v>1008</v>
      </c>
      <c r="B402" s="94">
        <v>43770</v>
      </c>
      <c r="C402" s="95" t="s">
        <v>60</v>
      </c>
      <c r="D402" s="95">
        <v>15</v>
      </c>
      <c r="E402" s="98">
        <v>38226</v>
      </c>
      <c r="F402" s="95" t="s">
        <v>61</v>
      </c>
      <c r="G402" s="95" t="s">
        <v>150</v>
      </c>
      <c r="H402" s="95"/>
      <c r="I402" s="95"/>
      <c r="J402" s="95"/>
      <c r="K402" s="95" t="s">
        <v>60</v>
      </c>
      <c r="L402" s="95" t="s">
        <v>60</v>
      </c>
      <c r="M402" s="95" t="s">
        <v>390</v>
      </c>
      <c r="N402" s="95">
        <v>167</v>
      </c>
      <c r="O402" s="95">
        <v>66.2</v>
      </c>
      <c r="P402" s="95">
        <f t="shared" si="13"/>
        <v>23.736957223277997</v>
      </c>
      <c r="Q402" s="95" t="s">
        <v>60</v>
      </c>
      <c r="R402" s="95"/>
      <c r="S402" s="95" t="s">
        <v>60</v>
      </c>
      <c r="T402" s="95" t="s">
        <v>60</v>
      </c>
      <c r="U402" s="95"/>
      <c r="AH402" s="132"/>
    </row>
    <row r="403" spans="1:34">
      <c r="A403" s="95" t="s">
        <v>1009</v>
      </c>
      <c r="B403" s="94">
        <v>43775</v>
      </c>
      <c r="C403" s="99" t="s">
        <v>60</v>
      </c>
      <c r="D403" s="95">
        <v>17</v>
      </c>
      <c r="E403" s="98">
        <v>37505</v>
      </c>
      <c r="F403" s="95" t="s">
        <v>61</v>
      </c>
      <c r="G403" s="95" t="s">
        <v>116</v>
      </c>
      <c r="H403" s="95"/>
      <c r="I403" s="95"/>
      <c r="J403" s="95"/>
      <c r="K403" s="95" t="s">
        <v>60</v>
      </c>
      <c r="L403" s="95" t="s">
        <v>60</v>
      </c>
      <c r="M403" s="95" t="s">
        <v>390</v>
      </c>
      <c r="N403" s="95">
        <v>161.25</v>
      </c>
      <c r="O403" s="95">
        <v>49.7</v>
      </c>
      <c r="P403" s="95">
        <f t="shared" si="13"/>
        <v>19.114235923321917</v>
      </c>
      <c r="Q403" s="95" t="s">
        <v>60</v>
      </c>
      <c r="R403" s="95"/>
      <c r="S403" s="95" t="s">
        <v>60</v>
      </c>
      <c r="T403" s="95" t="s">
        <v>60</v>
      </c>
      <c r="U403" s="95"/>
      <c r="AH403" s="132"/>
    </row>
    <row r="404" spans="1:34">
      <c r="A404" s="95" t="s">
        <v>1010</v>
      </c>
      <c r="B404" s="94">
        <v>43775</v>
      </c>
      <c r="C404" s="99" t="s">
        <v>60</v>
      </c>
      <c r="D404" s="95">
        <v>15</v>
      </c>
      <c r="E404" s="98">
        <v>37962</v>
      </c>
      <c r="F404" s="95" t="s">
        <v>61</v>
      </c>
      <c r="G404" s="95" t="s">
        <v>116</v>
      </c>
      <c r="H404" s="95"/>
      <c r="I404" s="95"/>
      <c r="J404" s="95"/>
      <c r="K404" s="95" t="s">
        <v>60</v>
      </c>
      <c r="L404" s="95" t="s">
        <v>60</v>
      </c>
      <c r="M404" s="95" t="s">
        <v>390</v>
      </c>
      <c r="N404" s="95">
        <v>169.5</v>
      </c>
      <c r="O404" s="95">
        <v>58</v>
      </c>
      <c r="P404" s="95">
        <f t="shared" si="13"/>
        <v>20.187781171413405</v>
      </c>
      <c r="Q404" s="95" t="s">
        <v>60</v>
      </c>
      <c r="R404" s="95" t="s">
        <v>60</v>
      </c>
      <c r="S404" s="95" t="s">
        <v>60</v>
      </c>
      <c r="T404" s="95" t="s">
        <v>60</v>
      </c>
      <c r="U404" s="95"/>
      <c r="AH404" s="132"/>
    </row>
    <row r="405" spans="1:34">
      <c r="A405" s="95" t="s">
        <v>1011</v>
      </c>
      <c r="B405" s="98">
        <v>43747</v>
      </c>
      <c r="C405" s="95" t="s">
        <v>60</v>
      </c>
      <c r="D405" s="95">
        <v>15</v>
      </c>
      <c r="E405" s="98">
        <v>38216</v>
      </c>
      <c r="F405" s="95" t="s">
        <v>61</v>
      </c>
      <c r="G405" s="95" t="s">
        <v>116</v>
      </c>
      <c r="H405" s="95"/>
      <c r="I405" s="95"/>
      <c r="J405" s="95"/>
      <c r="K405" s="95" t="s">
        <v>60</v>
      </c>
      <c r="L405" s="95" t="s">
        <v>60</v>
      </c>
      <c r="M405" s="95" t="s">
        <v>60</v>
      </c>
      <c r="N405" s="95">
        <v>167</v>
      </c>
      <c r="O405" s="95">
        <v>63</v>
      </c>
      <c r="P405" s="95">
        <f t="shared" si="13"/>
        <v>22.589551436050055</v>
      </c>
      <c r="Q405" s="95" t="s">
        <v>60</v>
      </c>
      <c r="R405" s="95" t="s">
        <v>60</v>
      </c>
      <c r="S405" s="95" t="s">
        <v>60</v>
      </c>
      <c r="T405" s="95" t="s">
        <v>60</v>
      </c>
      <c r="U405" s="95"/>
      <c r="AH405" s="132"/>
    </row>
    <row r="406" spans="1:34">
      <c r="A406" s="95" t="s">
        <v>1012</v>
      </c>
      <c r="B406" s="94">
        <v>43792</v>
      </c>
      <c r="C406" s="99" t="s">
        <v>60</v>
      </c>
      <c r="D406" s="95">
        <v>15</v>
      </c>
      <c r="E406" s="98">
        <v>38301</v>
      </c>
      <c r="F406" s="95" t="s">
        <v>58</v>
      </c>
      <c r="G406" s="95" t="s">
        <v>116</v>
      </c>
      <c r="H406" s="95"/>
      <c r="I406" s="95"/>
      <c r="J406" s="95"/>
      <c r="K406" s="95" t="s">
        <v>60</v>
      </c>
      <c r="L406" s="95" t="s">
        <v>60</v>
      </c>
      <c r="M406" s="95" t="s">
        <v>60</v>
      </c>
      <c r="N406" s="95">
        <v>166.3</v>
      </c>
      <c r="O406" s="95">
        <v>54.2</v>
      </c>
      <c r="P406" s="95">
        <f t="shared" si="13"/>
        <v>19.598136947586553</v>
      </c>
      <c r="Q406" s="95" t="s">
        <v>60</v>
      </c>
      <c r="R406" s="95" t="s">
        <v>60</v>
      </c>
      <c r="S406" s="95" t="s">
        <v>60</v>
      </c>
      <c r="T406" s="95" t="s">
        <v>60</v>
      </c>
      <c r="U406" s="95"/>
      <c r="AH406" s="132"/>
    </row>
    <row r="407" spans="1:34">
      <c r="A407" s="95" t="s">
        <v>1013</v>
      </c>
      <c r="B407" s="94">
        <v>43783</v>
      </c>
      <c r="C407" s="99" t="s">
        <v>60</v>
      </c>
      <c r="D407" s="95">
        <v>16</v>
      </c>
      <c r="E407" s="98">
        <v>37932</v>
      </c>
      <c r="F407" s="95" t="s">
        <v>58</v>
      </c>
      <c r="G407" s="95" t="s">
        <v>116</v>
      </c>
      <c r="H407" s="95" t="s">
        <v>410</v>
      </c>
      <c r="I407" s="95"/>
      <c r="J407" s="95"/>
      <c r="K407" s="95" t="s">
        <v>60</v>
      </c>
      <c r="L407" s="95" t="s">
        <v>60</v>
      </c>
      <c r="M407" s="95" t="s">
        <v>390</v>
      </c>
      <c r="N407" s="95">
        <v>181.02</v>
      </c>
      <c r="O407" s="95">
        <v>105.6</v>
      </c>
      <c r="P407" s="95">
        <f t="shared" si="13"/>
        <v>32.226326073950553</v>
      </c>
      <c r="Q407" s="95" t="s">
        <v>60</v>
      </c>
      <c r="R407" s="95" t="s">
        <v>60</v>
      </c>
      <c r="S407" s="95" t="s">
        <v>60</v>
      </c>
      <c r="T407" s="95"/>
      <c r="U407" s="95"/>
      <c r="AH407" s="132"/>
    </row>
    <row r="408" spans="1:34">
      <c r="A408" s="95" t="s">
        <v>1014</v>
      </c>
      <c r="B408" s="94">
        <v>43776</v>
      </c>
      <c r="C408" s="99" t="s">
        <v>60</v>
      </c>
      <c r="D408" s="95">
        <v>16</v>
      </c>
      <c r="E408" s="98">
        <v>37784</v>
      </c>
      <c r="F408" s="95" t="s">
        <v>61</v>
      </c>
      <c r="G408" s="95" t="s">
        <v>116</v>
      </c>
      <c r="H408" s="95"/>
      <c r="I408" s="95"/>
      <c r="J408" s="95"/>
      <c r="K408" s="95" t="s">
        <v>60</v>
      </c>
      <c r="L408" s="95" t="s">
        <v>60</v>
      </c>
      <c r="M408" s="95" t="s">
        <v>60</v>
      </c>
      <c r="N408" s="95">
        <v>168.45</v>
      </c>
      <c r="O408" s="95">
        <v>61.9</v>
      </c>
      <c r="P408" s="95">
        <f t="shared" si="13"/>
        <v>21.814668532014657</v>
      </c>
      <c r="Q408" s="95" t="s">
        <v>60</v>
      </c>
      <c r="R408" s="95" t="s">
        <v>60</v>
      </c>
      <c r="S408" s="95" t="s">
        <v>60</v>
      </c>
      <c r="T408" s="95"/>
      <c r="U408" s="95"/>
      <c r="AH408" s="132"/>
    </row>
    <row r="409" spans="1:34">
      <c r="A409" s="95" t="s">
        <v>1015</v>
      </c>
      <c r="B409" s="94">
        <v>43776</v>
      </c>
      <c r="C409" s="99" t="s">
        <v>60</v>
      </c>
      <c r="D409" s="95">
        <v>16</v>
      </c>
      <c r="E409" s="98">
        <v>37784</v>
      </c>
      <c r="F409" s="95" t="s">
        <v>58</v>
      </c>
      <c r="G409" s="95" t="s">
        <v>116</v>
      </c>
      <c r="H409" s="95"/>
      <c r="I409" s="95" t="s">
        <v>974</v>
      </c>
      <c r="J409" s="95"/>
      <c r="K409" s="95" t="s">
        <v>60</v>
      </c>
      <c r="L409" s="95" t="s">
        <v>390</v>
      </c>
      <c r="M409" s="95" t="s">
        <v>390</v>
      </c>
      <c r="N409" s="95">
        <v>174.15</v>
      </c>
      <c r="O409" s="95">
        <v>71</v>
      </c>
      <c r="P409" s="95">
        <f t="shared" si="13"/>
        <v>23.410537824958254</v>
      </c>
      <c r="Q409" s="95" t="s">
        <v>60</v>
      </c>
      <c r="R409" s="95"/>
      <c r="S409" s="95" t="s">
        <v>60</v>
      </c>
      <c r="T409" s="95"/>
      <c r="U409" s="95"/>
      <c r="AH409" s="132"/>
    </row>
    <row r="410" spans="1:34">
      <c r="A410" s="95" t="s">
        <v>1016</v>
      </c>
      <c r="B410" s="98">
        <v>43745</v>
      </c>
      <c r="C410" s="95" t="s">
        <v>60</v>
      </c>
      <c r="D410" s="95">
        <v>15</v>
      </c>
      <c r="E410" s="98">
        <v>38075</v>
      </c>
      <c r="F410" s="95" t="s">
        <v>61</v>
      </c>
      <c r="G410" s="95" t="s">
        <v>116</v>
      </c>
      <c r="H410" s="95"/>
      <c r="I410" s="95"/>
      <c r="J410" s="95"/>
      <c r="K410" s="95" t="s">
        <v>60</v>
      </c>
      <c r="L410" s="95" t="s">
        <v>60</v>
      </c>
      <c r="M410" s="95" t="s">
        <v>390</v>
      </c>
      <c r="N410" s="95">
        <v>151.1</v>
      </c>
      <c r="O410" s="95">
        <v>77.25</v>
      </c>
      <c r="P410" s="95">
        <f t="shared" si="13"/>
        <v>33.83526322082799</v>
      </c>
      <c r="Q410" s="95" t="s">
        <v>60</v>
      </c>
      <c r="R410" s="95" t="s">
        <v>60</v>
      </c>
      <c r="S410" s="95" t="s">
        <v>60</v>
      </c>
      <c r="T410" s="95"/>
      <c r="U410" s="95"/>
      <c r="AH410" s="132"/>
    </row>
    <row r="411" spans="1:34">
      <c r="A411" s="95" t="s">
        <v>1017</v>
      </c>
      <c r="B411" s="94">
        <v>43790</v>
      </c>
      <c r="C411" s="99" t="s">
        <v>60</v>
      </c>
      <c r="D411" s="95">
        <v>15</v>
      </c>
      <c r="E411" s="98">
        <v>38056</v>
      </c>
      <c r="F411" s="95" t="s">
        <v>58</v>
      </c>
      <c r="G411" s="95" t="s">
        <v>117</v>
      </c>
      <c r="H411" s="95" t="s">
        <v>974</v>
      </c>
      <c r="I411" s="95"/>
      <c r="J411" s="95"/>
      <c r="K411" s="95" t="s">
        <v>60</v>
      </c>
      <c r="L411" s="95" t="s">
        <v>60</v>
      </c>
      <c r="M411" s="95" t="s">
        <v>60</v>
      </c>
      <c r="N411" s="95">
        <v>167.6</v>
      </c>
      <c r="O411" s="95">
        <v>76.599999999999994</v>
      </c>
      <c r="P411" s="95">
        <f t="shared" si="13"/>
        <v>27.269723913625462</v>
      </c>
      <c r="Q411" s="95" t="s">
        <v>60</v>
      </c>
      <c r="R411" s="95" t="s">
        <v>60</v>
      </c>
      <c r="S411" s="95" t="s">
        <v>60</v>
      </c>
      <c r="T411" s="95" t="s">
        <v>60</v>
      </c>
      <c r="U411" s="95"/>
      <c r="AH411" s="132"/>
    </row>
    <row r="412" spans="1:34">
      <c r="A412" s="95" t="s">
        <v>1018</v>
      </c>
      <c r="B412" s="94">
        <v>43792</v>
      </c>
      <c r="C412" s="99" t="s">
        <v>60</v>
      </c>
      <c r="D412" s="95">
        <v>15</v>
      </c>
      <c r="E412" s="98">
        <v>38136</v>
      </c>
      <c r="F412" s="95" t="s">
        <v>61</v>
      </c>
      <c r="G412" s="95" t="s">
        <v>116</v>
      </c>
      <c r="H412" s="95"/>
      <c r="I412" s="95"/>
      <c r="J412" s="95"/>
      <c r="K412" s="95" t="s">
        <v>60</v>
      </c>
      <c r="L412" s="95" t="s">
        <v>60</v>
      </c>
      <c r="M412" s="95" t="s">
        <v>62</v>
      </c>
      <c r="N412" s="95">
        <v>160.05000000000001</v>
      </c>
      <c r="O412" s="95">
        <v>47.2</v>
      </c>
      <c r="P412" s="95">
        <f t="shared" si="13"/>
        <v>18.425981961861535</v>
      </c>
      <c r="Q412" s="95" t="s">
        <v>60</v>
      </c>
      <c r="R412" s="95" t="s">
        <v>60</v>
      </c>
      <c r="S412" s="95" t="s">
        <v>60</v>
      </c>
      <c r="T412" s="95" t="s">
        <v>60</v>
      </c>
      <c r="U412" s="95"/>
      <c r="AH412" s="132"/>
    </row>
    <row r="413" spans="1:34">
      <c r="A413" s="95" t="s">
        <v>1019</v>
      </c>
      <c r="B413" s="94">
        <v>43792</v>
      </c>
      <c r="C413" s="99" t="s">
        <v>60</v>
      </c>
      <c r="D413" s="95">
        <v>15</v>
      </c>
      <c r="E413" s="98">
        <v>37963</v>
      </c>
      <c r="F413" s="95" t="s">
        <v>61</v>
      </c>
      <c r="G413" s="95" t="s">
        <v>116</v>
      </c>
      <c r="H413" s="95"/>
      <c r="I413" s="95"/>
      <c r="J413" s="95"/>
      <c r="K413" s="95" t="s">
        <v>60</v>
      </c>
      <c r="L413" s="95" t="s">
        <v>60</v>
      </c>
      <c r="M413" s="95" t="s">
        <v>60</v>
      </c>
      <c r="N413" s="95">
        <v>166.1</v>
      </c>
      <c r="O413" s="95">
        <v>54.3</v>
      </c>
      <c r="P413" s="95">
        <f t="shared" si="13"/>
        <v>19.681607411013218</v>
      </c>
      <c r="Q413" s="95" t="s">
        <v>60</v>
      </c>
      <c r="R413" s="95" t="s">
        <v>60</v>
      </c>
      <c r="S413" s="95" t="s">
        <v>60</v>
      </c>
      <c r="T413" s="95"/>
      <c r="U413" s="95"/>
      <c r="AH413" s="132"/>
    </row>
    <row r="414" spans="1:34">
      <c r="A414" s="95" t="s">
        <v>1020</v>
      </c>
      <c r="B414" s="94">
        <v>43774</v>
      </c>
      <c r="C414" s="99" t="s">
        <v>60</v>
      </c>
      <c r="D414" s="95">
        <v>13</v>
      </c>
      <c r="E414" s="98">
        <v>38679</v>
      </c>
      <c r="F414" s="95" t="s">
        <v>58</v>
      </c>
      <c r="G414" s="95" t="s">
        <v>116</v>
      </c>
      <c r="H414" s="95"/>
      <c r="I414" s="95"/>
      <c r="J414" s="95"/>
      <c r="K414" s="95" t="s">
        <v>60</v>
      </c>
      <c r="L414" s="95" t="s">
        <v>60</v>
      </c>
      <c r="M414" s="95" t="s">
        <v>60</v>
      </c>
      <c r="N414" s="95">
        <v>163.19999999999999</v>
      </c>
      <c r="O414" s="95">
        <v>53.9</v>
      </c>
      <c r="P414" s="95">
        <f t="shared" si="13"/>
        <v>20.23710832372165</v>
      </c>
      <c r="Q414" s="95" t="s">
        <v>60</v>
      </c>
      <c r="R414" s="95" t="s">
        <v>60</v>
      </c>
      <c r="S414" s="95" t="s">
        <v>60</v>
      </c>
      <c r="T414" s="95" t="s">
        <v>60</v>
      </c>
      <c r="U414" s="95"/>
      <c r="AH414" s="132"/>
    </row>
    <row r="415" spans="1:34">
      <c r="A415" s="95" t="s">
        <v>1021</v>
      </c>
      <c r="B415" s="94">
        <v>43806</v>
      </c>
      <c r="C415" s="99" t="s">
        <v>60</v>
      </c>
      <c r="D415" s="95">
        <v>16</v>
      </c>
      <c r="E415" s="98">
        <v>37791</v>
      </c>
      <c r="F415" s="95" t="s">
        <v>61</v>
      </c>
      <c r="G415" s="95" t="s">
        <v>116</v>
      </c>
      <c r="H415" s="95"/>
      <c r="I415" s="95"/>
      <c r="J415" s="95"/>
      <c r="K415" s="95" t="s">
        <v>60</v>
      </c>
      <c r="L415" s="95" t="s">
        <v>60</v>
      </c>
      <c r="M415" s="95" t="s">
        <v>60</v>
      </c>
      <c r="N415" s="95">
        <v>162</v>
      </c>
      <c r="O415" s="95">
        <v>54.1</v>
      </c>
      <c r="P415" s="95">
        <f t="shared" si="13"/>
        <v>20.614235634811763</v>
      </c>
      <c r="Q415" s="95" t="s">
        <v>60</v>
      </c>
      <c r="R415" s="95" t="s">
        <v>60</v>
      </c>
      <c r="S415" s="95" t="s">
        <v>60</v>
      </c>
      <c r="T415" s="95" t="s">
        <v>60</v>
      </c>
      <c r="U415" s="95"/>
      <c r="AH415" s="132"/>
    </row>
    <row r="416" spans="1:34">
      <c r="A416" s="95" t="s">
        <v>1022</v>
      </c>
      <c r="B416" s="94">
        <v>43763</v>
      </c>
      <c r="C416" s="95" t="s">
        <v>60</v>
      </c>
      <c r="D416" s="95">
        <v>16</v>
      </c>
      <c r="E416" s="98">
        <v>37753</v>
      </c>
      <c r="F416" s="95" t="s">
        <v>58</v>
      </c>
      <c r="G416" s="95" t="s">
        <v>116</v>
      </c>
      <c r="H416" s="95"/>
      <c r="I416" s="95"/>
      <c r="J416" s="95"/>
      <c r="K416" s="95" t="s">
        <v>60</v>
      </c>
      <c r="L416" s="95" t="s">
        <v>60</v>
      </c>
      <c r="M416" s="95" t="s">
        <v>390</v>
      </c>
      <c r="N416" s="95">
        <v>179.1</v>
      </c>
      <c r="O416" s="95">
        <v>64.900000000000006</v>
      </c>
      <c r="P416" s="95">
        <f t="shared" si="13"/>
        <v>20.232685232727324</v>
      </c>
      <c r="Q416" s="95" t="s">
        <v>60</v>
      </c>
      <c r="R416" s="95" t="s">
        <v>60</v>
      </c>
      <c r="S416" s="95" t="s">
        <v>60</v>
      </c>
      <c r="T416" s="95"/>
      <c r="U416" s="95"/>
      <c r="AH416" s="132"/>
    </row>
    <row r="417" spans="1:34">
      <c r="A417" s="95" t="s">
        <v>1023</v>
      </c>
      <c r="B417" s="98">
        <v>43736</v>
      </c>
      <c r="C417" s="95" t="s">
        <v>60</v>
      </c>
      <c r="D417" s="95">
        <v>17</v>
      </c>
      <c r="E417" s="98">
        <v>37397</v>
      </c>
      <c r="F417" s="95" t="s">
        <v>58</v>
      </c>
      <c r="G417" s="95" t="s">
        <v>116</v>
      </c>
      <c r="H417" s="95" t="s">
        <v>1024</v>
      </c>
      <c r="I417" s="95"/>
      <c r="J417" s="95"/>
      <c r="K417" s="95" t="s">
        <v>60</v>
      </c>
      <c r="L417" s="95" t="s">
        <v>60</v>
      </c>
      <c r="M417" s="95" t="s">
        <v>60</v>
      </c>
      <c r="N417" s="95">
        <v>179.3</v>
      </c>
      <c r="O417" s="95">
        <v>70.8</v>
      </c>
      <c r="P417" s="95">
        <f t="shared" si="13"/>
        <v>22.022807292037662</v>
      </c>
      <c r="Q417" s="95" t="s">
        <v>60</v>
      </c>
      <c r="R417" s="95" t="s">
        <v>60</v>
      </c>
      <c r="S417" s="95" t="s">
        <v>60</v>
      </c>
      <c r="T417" s="95" t="s">
        <v>60</v>
      </c>
      <c r="U417" s="95"/>
      <c r="AH417" s="132"/>
    </row>
    <row r="418" spans="1:34">
      <c r="A418" s="95" t="s">
        <v>1025</v>
      </c>
      <c r="B418" s="94">
        <v>43752</v>
      </c>
      <c r="C418" s="95" t="s">
        <v>60</v>
      </c>
      <c r="D418" s="95">
        <v>17</v>
      </c>
      <c r="E418" s="98">
        <v>37371</v>
      </c>
      <c r="F418" s="95" t="s">
        <v>61</v>
      </c>
      <c r="G418" s="95" t="s">
        <v>116</v>
      </c>
      <c r="H418" s="95"/>
      <c r="I418" s="95"/>
      <c r="J418" s="95"/>
      <c r="K418" s="95" t="s">
        <v>60</v>
      </c>
      <c r="L418" s="95" t="s">
        <v>60</v>
      </c>
      <c r="M418" s="95" t="s">
        <v>60</v>
      </c>
      <c r="N418" s="95">
        <v>176.6</v>
      </c>
      <c r="O418" s="95">
        <v>68.8</v>
      </c>
      <c r="P418" s="95">
        <f t="shared" si="13"/>
        <v>22.060077800251126</v>
      </c>
      <c r="Q418" s="95" t="s">
        <v>60</v>
      </c>
      <c r="R418" s="95" t="s">
        <v>60</v>
      </c>
      <c r="S418" s="95" t="s">
        <v>60</v>
      </c>
      <c r="T418" s="95" t="s">
        <v>60</v>
      </c>
      <c r="U418" s="95"/>
      <c r="AH418" s="132"/>
    </row>
    <row r="419" spans="1:34">
      <c r="A419" s="99" t="s">
        <v>1026</v>
      </c>
      <c r="B419" s="94">
        <v>43861</v>
      </c>
      <c r="C419" s="99" t="s">
        <v>60</v>
      </c>
      <c r="D419" s="95">
        <v>14</v>
      </c>
      <c r="E419" s="98">
        <v>38489</v>
      </c>
      <c r="F419" s="95" t="s">
        <v>58</v>
      </c>
      <c r="G419" s="95" t="s">
        <v>116</v>
      </c>
      <c r="H419" s="95"/>
      <c r="I419" s="95"/>
      <c r="J419" s="95"/>
      <c r="K419" s="95" t="s">
        <v>60</v>
      </c>
      <c r="L419" s="95" t="s">
        <v>60</v>
      </c>
      <c r="M419" s="95" t="s">
        <v>62</v>
      </c>
      <c r="N419" s="95">
        <v>169.9</v>
      </c>
      <c r="O419" s="95">
        <v>97.85</v>
      </c>
      <c r="P419" s="95">
        <f t="shared" si="13"/>
        <v>33.897999758193109</v>
      </c>
      <c r="Q419" s="95" t="s">
        <v>60</v>
      </c>
      <c r="R419" s="95" t="s">
        <v>60</v>
      </c>
      <c r="S419" s="95"/>
      <c r="T419" s="95"/>
      <c r="U419" s="95"/>
      <c r="AH419" s="132"/>
    </row>
    <row r="420" spans="1:34">
      <c r="A420" s="95" t="s">
        <v>1027</v>
      </c>
      <c r="B420" s="94">
        <v>43795</v>
      </c>
      <c r="C420" s="99" t="s">
        <v>60</v>
      </c>
      <c r="D420" s="95">
        <v>15</v>
      </c>
      <c r="E420" s="98">
        <v>38208</v>
      </c>
      <c r="F420" s="95" t="s">
        <v>61</v>
      </c>
      <c r="G420" s="95" t="s">
        <v>116</v>
      </c>
      <c r="H420" s="95"/>
      <c r="I420" s="95"/>
      <c r="J420" s="95"/>
      <c r="K420" s="95" t="s">
        <v>60</v>
      </c>
      <c r="L420" s="95" t="s">
        <v>390</v>
      </c>
      <c r="M420" s="95" t="s">
        <v>390</v>
      </c>
      <c r="N420" s="95">
        <v>163.30000000000001</v>
      </c>
      <c r="O420" s="95">
        <v>52.2</v>
      </c>
      <c r="P420" s="95">
        <f t="shared" si="13"/>
        <v>19.574836060747995</v>
      </c>
      <c r="Q420" s="95" t="s">
        <v>60</v>
      </c>
      <c r="R420" s="95" t="s">
        <v>60</v>
      </c>
      <c r="S420" s="95" t="s">
        <v>60</v>
      </c>
      <c r="T420" s="95"/>
      <c r="U420" s="95"/>
      <c r="AH420" s="132"/>
    </row>
    <row r="421" spans="1:34">
      <c r="A421" s="95" t="s">
        <v>1028</v>
      </c>
      <c r="B421" s="94">
        <v>43795</v>
      </c>
      <c r="C421" s="99" t="s">
        <v>60</v>
      </c>
      <c r="D421" s="95">
        <v>17</v>
      </c>
      <c r="E421" s="98">
        <v>37424</v>
      </c>
      <c r="F421" s="95" t="s">
        <v>58</v>
      </c>
      <c r="G421" s="95" t="s">
        <v>116</v>
      </c>
      <c r="H421" s="95"/>
      <c r="I421" s="95"/>
      <c r="J421" s="95"/>
      <c r="K421" s="95" t="s">
        <v>60</v>
      </c>
      <c r="L421" s="95" t="s">
        <v>62</v>
      </c>
      <c r="M421" s="95" t="s">
        <v>62</v>
      </c>
      <c r="N421" s="95">
        <v>175.15</v>
      </c>
      <c r="O421" s="95">
        <v>51.5</v>
      </c>
      <c r="P421" s="95">
        <f t="shared" si="13"/>
        <v>16.787535564516332</v>
      </c>
      <c r="Q421" s="95" t="s">
        <v>60</v>
      </c>
      <c r="R421" s="95" t="s">
        <v>60</v>
      </c>
      <c r="S421" s="95" t="s">
        <v>60</v>
      </c>
      <c r="T421" s="95" t="s">
        <v>60</v>
      </c>
      <c r="U421" s="95"/>
      <c r="AH421" s="132"/>
    </row>
    <row r="422" spans="1:34">
      <c r="A422" s="95" t="s">
        <v>1029</v>
      </c>
      <c r="B422" s="98">
        <v>43747</v>
      </c>
      <c r="C422" s="95" t="s">
        <v>60</v>
      </c>
      <c r="D422" s="95">
        <v>17</v>
      </c>
      <c r="E422" s="98">
        <v>37354</v>
      </c>
      <c r="F422" s="95" t="s">
        <v>58</v>
      </c>
      <c r="G422" s="95" t="s">
        <v>116</v>
      </c>
      <c r="H422" s="95"/>
      <c r="I422" s="95"/>
      <c r="J422" s="95"/>
      <c r="K422" s="95" t="s">
        <v>60</v>
      </c>
      <c r="L422" s="95" t="s">
        <v>60</v>
      </c>
      <c r="M422" s="95" t="s">
        <v>60</v>
      </c>
      <c r="N422" s="95">
        <v>170.5</v>
      </c>
      <c r="O422" s="95">
        <v>66.849999999999994</v>
      </c>
      <c r="P422" s="95">
        <f t="shared" si="13"/>
        <v>22.996018266096776</v>
      </c>
      <c r="Q422" s="95" t="s">
        <v>60</v>
      </c>
      <c r="R422" s="95" t="s">
        <v>60</v>
      </c>
      <c r="S422" s="95" t="s">
        <v>60</v>
      </c>
      <c r="T422" s="95" t="s">
        <v>60</v>
      </c>
      <c r="U422" s="95"/>
      <c r="AH422" s="132"/>
    </row>
    <row r="423" spans="1:34">
      <c r="A423" s="95" t="s">
        <v>1030</v>
      </c>
      <c r="B423" s="94">
        <v>43759</v>
      </c>
      <c r="C423" s="95" t="s">
        <v>60</v>
      </c>
      <c r="D423" s="95">
        <v>13</v>
      </c>
      <c r="E423" s="98">
        <v>38755</v>
      </c>
      <c r="F423" s="95" t="s">
        <v>61</v>
      </c>
      <c r="G423" s="95" t="s">
        <v>116</v>
      </c>
      <c r="H423" s="95"/>
      <c r="I423" s="95"/>
      <c r="J423" s="95"/>
      <c r="K423" s="95" t="s">
        <v>60</v>
      </c>
      <c r="L423" s="95" t="s">
        <v>62</v>
      </c>
      <c r="M423" s="95" t="s">
        <v>62</v>
      </c>
      <c r="N423" s="95">
        <v>173.95</v>
      </c>
      <c r="O423" s="95">
        <v>58.1</v>
      </c>
      <c r="P423" s="95">
        <f t="shared" si="13"/>
        <v>19.201151143711943</v>
      </c>
      <c r="Q423" s="95" t="s">
        <v>60</v>
      </c>
      <c r="R423" s="95" t="s">
        <v>60</v>
      </c>
      <c r="S423" s="95" t="s">
        <v>60</v>
      </c>
      <c r="T423" s="95" t="s">
        <v>60</v>
      </c>
      <c r="U423" s="95"/>
      <c r="AH423" s="132"/>
    </row>
    <row r="424" spans="1:34">
      <c r="A424" s="95" t="s">
        <v>1031</v>
      </c>
      <c r="B424" s="94">
        <v>43754</v>
      </c>
      <c r="C424" s="95" t="s">
        <v>60</v>
      </c>
      <c r="D424" s="95">
        <v>13</v>
      </c>
      <c r="E424" s="98">
        <v>38835</v>
      </c>
      <c r="F424" s="95" t="s">
        <v>58</v>
      </c>
      <c r="G424" s="95" t="s">
        <v>116</v>
      </c>
      <c r="H424" s="95"/>
      <c r="I424" s="95"/>
      <c r="J424" s="95"/>
      <c r="K424" s="95" t="s">
        <v>60</v>
      </c>
      <c r="L424" s="95" t="s">
        <v>60</v>
      </c>
      <c r="M424" s="95" t="s">
        <v>60</v>
      </c>
      <c r="N424" s="95">
        <v>157.5</v>
      </c>
      <c r="O424" s="95">
        <v>45.8</v>
      </c>
      <c r="P424" s="95">
        <f t="shared" si="13"/>
        <v>18.463088939279416</v>
      </c>
      <c r="Q424" s="95" t="s">
        <v>60</v>
      </c>
      <c r="R424" s="95" t="s">
        <v>60</v>
      </c>
      <c r="S424" s="95" t="s">
        <v>60</v>
      </c>
      <c r="T424" s="95" t="s">
        <v>60</v>
      </c>
      <c r="U424" s="95"/>
      <c r="AH424" s="132"/>
    </row>
    <row r="425" spans="1:34">
      <c r="A425" s="95" t="s">
        <v>1032</v>
      </c>
      <c r="B425" s="94">
        <v>43794</v>
      </c>
      <c r="C425" s="99" t="s">
        <v>60</v>
      </c>
      <c r="D425" s="95">
        <v>16</v>
      </c>
      <c r="E425" s="98">
        <v>37911</v>
      </c>
      <c r="F425" s="95" t="s">
        <v>58</v>
      </c>
      <c r="G425" s="95" t="s">
        <v>116</v>
      </c>
      <c r="H425" s="95"/>
      <c r="I425" s="95"/>
      <c r="J425" s="95"/>
      <c r="K425" s="95" t="s">
        <v>60</v>
      </c>
      <c r="L425" s="95" t="s">
        <v>60</v>
      </c>
      <c r="M425" s="95" t="s">
        <v>60</v>
      </c>
      <c r="N425" s="95">
        <v>174.3</v>
      </c>
      <c r="O425" s="95">
        <v>70.599999999999994</v>
      </c>
      <c r="P425" s="95">
        <f t="shared" si="13"/>
        <v>23.23859819245838</v>
      </c>
      <c r="Q425" s="95" t="s">
        <v>60</v>
      </c>
      <c r="R425" s="95" t="s">
        <v>60</v>
      </c>
      <c r="S425" s="95" t="s">
        <v>60</v>
      </c>
      <c r="T425" s="95" t="s">
        <v>60</v>
      </c>
      <c r="U425" s="95"/>
      <c r="AH425" s="132"/>
    </row>
    <row r="426" spans="1:34">
      <c r="A426" s="95" t="s">
        <v>1033</v>
      </c>
      <c r="B426" s="94">
        <v>43775</v>
      </c>
      <c r="C426" s="99" t="s">
        <v>60</v>
      </c>
      <c r="D426" s="95">
        <v>15</v>
      </c>
      <c r="E426" s="98">
        <v>38184</v>
      </c>
      <c r="F426" s="95" t="s">
        <v>58</v>
      </c>
      <c r="G426" s="95" t="s">
        <v>116</v>
      </c>
      <c r="H426" s="95" t="s">
        <v>677</v>
      </c>
      <c r="I426" s="95"/>
      <c r="J426" s="95"/>
      <c r="K426" s="95" t="s">
        <v>60</v>
      </c>
      <c r="L426" s="95" t="s">
        <v>60</v>
      </c>
      <c r="M426" s="95" t="s">
        <v>60</v>
      </c>
      <c r="N426" s="95">
        <v>174.05</v>
      </c>
      <c r="O426" s="95">
        <v>82.9</v>
      </c>
      <c r="P426" s="95">
        <f t="shared" si="13"/>
        <v>27.365694560061382</v>
      </c>
      <c r="Q426" s="95" t="s">
        <v>60</v>
      </c>
      <c r="R426" s="95" t="s">
        <v>60</v>
      </c>
      <c r="S426" s="95" t="s">
        <v>60</v>
      </c>
      <c r="T426" s="95"/>
      <c r="U426" s="95"/>
      <c r="AH426" s="132"/>
    </row>
    <row r="427" spans="1:34">
      <c r="A427" s="95" t="s">
        <v>1034</v>
      </c>
      <c r="B427" s="98">
        <v>43746</v>
      </c>
      <c r="C427" s="95" t="s">
        <v>60</v>
      </c>
      <c r="D427" s="95">
        <v>17</v>
      </c>
      <c r="E427" s="98">
        <v>37325</v>
      </c>
      <c r="F427" s="95" t="s">
        <v>61</v>
      </c>
      <c r="G427" s="95" t="s">
        <v>116</v>
      </c>
      <c r="H427" s="95"/>
      <c r="I427" s="95"/>
      <c r="J427" s="95"/>
      <c r="K427" s="95" t="s">
        <v>60</v>
      </c>
      <c r="L427" s="95" t="s">
        <v>60</v>
      </c>
      <c r="M427" s="95" t="s">
        <v>60</v>
      </c>
      <c r="N427" s="95">
        <v>168</v>
      </c>
      <c r="O427" s="95">
        <v>76.3</v>
      </c>
      <c r="P427" s="95">
        <f t="shared" si="13"/>
        <v>27.033730158730162</v>
      </c>
      <c r="Q427" s="95" t="s">
        <v>60</v>
      </c>
      <c r="R427" s="95" t="s">
        <v>60</v>
      </c>
      <c r="S427" s="95" t="s">
        <v>60</v>
      </c>
      <c r="T427" s="95" t="s">
        <v>60</v>
      </c>
      <c r="U427" s="95"/>
      <c r="AH427" s="132"/>
    </row>
    <row r="428" spans="1:34">
      <c r="A428" s="95" t="s">
        <v>1035</v>
      </c>
      <c r="B428" s="98">
        <v>43746</v>
      </c>
      <c r="C428" s="95" t="s">
        <v>60</v>
      </c>
      <c r="D428" s="95">
        <v>14</v>
      </c>
      <c r="E428" s="98">
        <v>38611</v>
      </c>
      <c r="F428" s="95" t="s">
        <v>58</v>
      </c>
      <c r="G428" s="95" t="s">
        <v>116</v>
      </c>
      <c r="H428" s="95"/>
      <c r="I428" s="95"/>
      <c r="J428" s="95"/>
      <c r="K428" s="95" t="s">
        <v>60</v>
      </c>
      <c r="L428" s="95" t="s">
        <v>60</v>
      </c>
      <c r="M428" s="95" t="s">
        <v>60</v>
      </c>
      <c r="N428" s="95">
        <v>169.05</v>
      </c>
      <c r="O428" s="95">
        <v>62.6</v>
      </c>
      <c r="P428" s="95">
        <f t="shared" si="13"/>
        <v>21.905036592521089</v>
      </c>
      <c r="Q428" s="95" t="s">
        <v>60</v>
      </c>
      <c r="R428" s="95" t="s">
        <v>60</v>
      </c>
      <c r="S428" s="95" t="s">
        <v>60</v>
      </c>
      <c r="T428" s="95" t="s">
        <v>60</v>
      </c>
      <c r="U428" s="95"/>
      <c r="AH428" s="132"/>
    </row>
    <row r="429" spans="1:34">
      <c r="A429" s="95" t="s">
        <v>1036</v>
      </c>
      <c r="B429" s="133">
        <v>43748</v>
      </c>
      <c r="C429" s="95" t="s">
        <v>60</v>
      </c>
      <c r="D429" s="95">
        <v>16</v>
      </c>
      <c r="E429" s="98">
        <v>37604</v>
      </c>
      <c r="F429" s="95" t="s">
        <v>61</v>
      </c>
      <c r="G429" s="95" t="s">
        <v>116</v>
      </c>
      <c r="H429" s="95"/>
      <c r="I429" s="95"/>
      <c r="J429" s="95"/>
      <c r="K429" s="95" t="s">
        <v>60</v>
      </c>
      <c r="L429" s="95" t="s">
        <v>62</v>
      </c>
      <c r="M429" s="95" t="s">
        <v>62</v>
      </c>
      <c r="N429" s="95">
        <v>160.5</v>
      </c>
      <c r="O429" s="95">
        <v>55.4</v>
      </c>
      <c r="P429" s="95">
        <f t="shared" si="13"/>
        <v>21.50600246503819</v>
      </c>
      <c r="Q429" s="95" t="s">
        <v>60</v>
      </c>
      <c r="R429" s="95" t="s">
        <v>60</v>
      </c>
      <c r="S429" s="95" t="s">
        <v>60</v>
      </c>
      <c r="T429" s="95" t="s">
        <v>60</v>
      </c>
      <c r="U429" s="95"/>
      <c r="AH429" s="132"/>
    </row>
    <row r="430" spans="1:34">
      <c r="A430" s="99" t="s">
        <v>1037</v>
      </c>
      <c r="B430" s="94">
        <v>43809</v>
      </c>
      <c r="C430" s="99" t="s">
        <v>60</v>
      </c>
      <c r="D430" s="95">
        <v>15</v>
      </c>
      <c r="E430" s="98">
        <v>38224</v>
      </c>
      <c r="F430" s="95" t="s">
        <v>61</v>
      </c>
      <c r="G430" s="95" t="s">
        <v>116</v>
      </c>
      <c r="H430" s="95"/>
      <c r="I430" s="95"/>
      <c r="J430" s="95"/>
      <c r="K430" s="95" t="s">
        <v>60</v>
      </c>
      <c r="L430" s="95" t="s">
        <v>390</v>
      </c>
      <c r="M430" s="95" t="s">
        <v>390</v>
      </c>
      <c r="N430" s="95">
        <v>157.9</v>
      </c>
      <c r="O430" s="95">
        <v>53.8</v>
      </c>
      <c r="P430" s="95">
        <f t="shared" si="13"/>
        <v>21.578339197855321</v>
      </c>
      <c r="Q430" s="95" t="s">
        <v>60</v>
      </c>
      <c r="R430" s="95"/>
      <c r="S430" s="95" t="s">
        <v>60</v>
      </c>
      <c r="T430" s="95"/>
      <c r="U430" s="95"/>
      <c r="AH430" s="132"/>
    </row>
    <row r="431" spans="1:34">
      <c r="A431" s="95" t="s">
        <v>1038</v>
      </c>
      <c r="B431" s="94">
        <v>43792</v>
      </c>
      <c r="C431" s="99" t="s">
        <v>60</v>
      </c>
      <c r="D431" s="95">
        <v>16</v>
      </c>
      <c r="E431" s="98">
        <v>37688</v>
      </c>
      <c r="F431" s="95" t="s">
        <v>58</v>
      </c>
      <c r="G431" s="95" t="s">
        <v>116</v>
      </c>
      <c r="H431" s="95"/>
      <c r="I431" s="95"/>
      <c r="J431" s="95"/>
      <c r="K431" s="95" t="s">
        <v>60</v>
      </c>
      <c r="L431" s="95" t="s">
        <v>62</v>
      </c>
      <c r="M431" s="95" t="s">
        <v>390</v>
      </c>
      <c r="N431" s="95">
        <v>182.6</v>
      </c>
      <c r="O431" s="95">
        <v>115.7</v>
      </c>
      <c r="P431" s="95">
        <f t="shared" si="13"/>
        <v>34.700186787176591</v>
      </c>
      <c r="Q431" s="95" t="s">
        <v>60</v>
      </c>
      <c r="R431" s="95" t="s">
        <v>60</v>
      </c>
      <c r="S431" s="95" t="s">
        <v>60</v>
      </c>
      <c r="T431" s="95"/>
      <c r="U431" s="95"/>
      <c r="AH431" s="132"/>
    </row>
    <row r="432" spans="1:34">
      <c r="A432" s="99" t="s">
        <v>1039</v>
      </c>
      <c r="B432" s="94">
        <v>43808</v>
      </c>
      <c r="C432" s="99" t="s">
        <v>60</v>
      </c>
      <c r="D432" s="95">
        <v>16</v>
      </c>
      <c r="E432" s="98">
        <v>37650</v>
      </c>
      <c r="F432" s="95" t="s">
        <v>61</v>
      </c>
      <c r="G432" s="95" t="s">
        <v>181</v>
      </c>
      <c r="H432" s="95"/>
      <c r="I432" s="95"/>
      <c r="J432" s="95"/>
      <c r="K432" s="95" t="s">
        <v>60</v>
      </c>
      <c r="L432" s="95" t="s">
        <v>62</v>
      </c>
      <c r="M432" s="95" t="s">
        <v>62</v>
      </c>
      <c r="N432" s="95">
        <v>164.25</v>
      </c>
      <c r="O432" s="95">
        <v>59.95</v>
      </c>
      <c r="P432" s="95">
        <f t="shared" si="13"/>
        <v>22.221758882795974</v>
      </c>
      <c r="Q432" s="95" t="s">
        <v>60</v>
      </c>
      <c r="R432" s="95" t="s">
        <v>60</v>
      </c>
      <c r="S432" s="95" t="s">
        <v>60</v>
      </c>
      <c r="T432" s="95"/>
      <c r="U432" s="95"/>
      <c r="AH432" s="132"/>
    </row>
    <row r="433" spans="1:34">
      <c r="A433" s="95" t="s">
        <v>1040</v>
      </c>
      <c r="B433" s="94">
        <v>43768</v>
      </c>
      <c r="C433" s="95" t="s">
        <v>60</v>
      </c>
      <c r="D433" s="95">
        <v>14</v>
      </c>
      <c r="E433" s="98">
        <v>38358</v>
      </c>
      <c r="F433" s="95" t="s">
        <v>61</v>
      </c>
      <c r="G433" s="95" t="s">
        <v>116</v>
      </c>
      <c r="H433" s="95" t="s">
        <v>1041</v>
      </c>
      <c r="I433" s="95"/>
      <c r="J433" s="95"/>
      <c r="K433" s="95" t="s">
        <v>60</v>
      </c>
      <c r="L433" s="95" t="s">
        <v>60</v>
      </c>
      <c r="M433" s="95" t="s">
        <v>60</v>
      </c>
      <c r="N433" s="95">
        <v>162.1</v>
      </c>
      <c r="O433" s="95">
        <v>59.3</v>
      </c>
      <c r="P433" s="95">
        <f t="shared" si="13"/>
        <v>22.567770863675818</v>
      </c>
      <c r="Q433" s="95" t="s">
        <v>60</v>
      </c>
      <c r="R433" s="95" t="s">
        <v>60</v>
      </c>
      <c r="S433" s="95" t="s">
        <v>60</v>
      </c>
      <c r="T433" s="95" t="s">
        <v>60</v>
      </c>
      <c r="U433" s="95"/>
      <c r="AH433" s="132"/>
    </row>
    <row r="434" spans="1:34">
      <c r="A434" s="95" t="s">
        <v>1042</v>
      </c>
      <c r="B434" s="98">
        <v>43745</v>
      </c>
      <c r="C434" s="95" t="s">
        <v>60</v>
      </c>
      <c r="D434" s="95">
        <v>16</v>
      </c>
      <c r="E434" s="98">
        <v>37707</v>
      </c>
      <c r="F434" s="95" t="s">
        <v>58</v>
      </c>
      <c r="G434" s="95" t="s">
        <v>116</v>
      </c>
      <c r="H434" s="95" t="s">
        <v>677</v>
      </c>
      <c r="I434" s="95"/>
      <c r="J434" s="95"/>
      <c r="K434" s="95" t="s">
        <v>60</v>
      </c>
      <c r="L434" s="95" t="s">
        <v>60</v>
      </c>
      <c r="M434" s="95" t="s">
        <v>60</v>
      </c>
      <c r="N434" s="95">
        <v>183.1</v>
      </c>
      <c r="O434" s="95">
        <v>92.2</v>
      </c>
      <c r="P434" s="95">
        <f t="shared" si="13"/>
        <v>27.501363882715335</v>
      </c>
      <c r="Q434" s="95" t="s">
        <v>60</v>
      </c>
      <c r="R434" s="95" t="s">
        <v>60</v>
      </c>
      <c r="S434" s="95" t="s">
        <v>60</v>
      </c>
      <c r="T434" s="95" t="s">
        <v>60</v>
      </c>
      <c r="U434" s="95"/>
      <c r="AH434" s="132"/>
    </row>
    <row r="435" spans="1:34">
      <c r="A435" s="95" t="s">
        <v>1043</v>
      </c>
      <c r="B435" s="94">
        <v>43781</v>
      </c>
      <c r="C435" s="99" t="s">
        <v>60</v>
      </c>
      <c r="D435" s="95">
        <v>13</v>
      </c>
      <c r="E435" s="98">
        <v>38752</v>
      </c>
      <c r="F435" s="95" t="s">
        <v>58</v>
      </c>
      <c r="G435" s="95" t="s">
        <v>116</v>
      </c>
      <c r="H435" s="95"/>
      <c r="I435" s="95"/>
      <c r="J435" s="95"/>
      <c r="K435" s="95" t="s">
        <v>60</v>
      </c>
      <c r="L435" s="95" t="s">
        <v>60</v>
      </c>
      <c r="M435" s="95" t="s">
        <v>60</v>
      </c>
      <c r="N435" s="95">
        <v>163.19999999999999</v>
      </c>
      <c r="O435" s="95">
        <v>56.7</v>
      </c>
      <c r="P435" s="95">
        <f t="shared" si="13"/>
        <v>21.288386678200698</v>
      </c>
      <c r="Q435" s="95" t="s">
        <v>60</v>
      </c>
      <c r="R435" s="95" t="s">
        <v>60</v>
      </c>
      <c r="S435" s="95" t="s">
        <v>60</v>
      </c>
      <c r="T435" s="95" t="s">
        <v>60</v>
      </c>
      <c r="U435" s="95" t="s">
        <v>1044</v>
      </c>
      <c r="AH435" s="132"/>
    </row>
    <row r="436" spans="1:34">
      <c r="A436" s="95" t="s">
        <v>1045</v>
      </c>
      <c r="B436" s="94">
        <v>43806</v>
      </c>
      <c r="C436" s="99" t="s">
        <v>60</v>
      </c>
      <c r="D436" s="95">
        <v>14</v>
      </c>
      <c r="E436" s="98">
        <v>38405</v>
      </c>
      <c r="F436" s="95" t="s">
        <v>61</v>
      </c>
      <c r="G436" s="95" t="s">
        <v>116</v>
      </c>
      <c r="H436" s="95"/>
      <c r="I436" s="95"/>
      <c r="J436" s="95"/>
      <c r="K436" s="95" t="s">
        <v>60</v>
      </c>
      <c r="L436" s="95" t="s">
        <v>60</v>
      </c>
      <c r="M436" s="95" t="s">
        <v>390</v>
      </c>
      <c r="N436" s="95">
        <v>162.4</v>
      </c>
      <c r="O436" s="95">
        <v>60.5</v>
      </c>
      <c r="P436" s="95">
        <f t="shared" si="13"/>
        <v>22.93946710669999</v>
      </c>
      <c r="Q436" s="95" t="s">
        <v>60</v>
      </c>
      <c r="R436" s="95" t="s">
        <v>60</v>
      </c>
      <c r="S436" s="95" t="s">
        <v>60</v>
      </c>
      <c r="T436" s="95"/>
      <c r="U436" s="95"/>
      <c r="AH436" s="132"/>
    </row>
    <row r="437" spans="1:34">
      <c r="A437" s="95" t="s">
        <v>1046</v>
      </c>
      <c r="B437" s="94">
        <v>43806</v>
      </c>
      <c r="C437" s="99" t="s">
        <v>60</v>
      </c>
      <c r="D437" s="95">
        <v>14</v>
      </c>
      <c r="E437" s="98">
        <v>38405</v>
      </c>
      <c r="F437" s="95" t="s">
        <v>61</v>
      </c>
      <c r="G437" s="95" t="s">
        <v>116</v>
      </c>
      <c r="H437" s="95"/>
      <c r="I437" s="95"/>
      <c r="J437" s="95"/>
      <c r="K437" s="95" t="s">
        <v>60</v>
      </c>
      <c r="L437" s="95" t="s">
        <v>60</v>
      </c>
      <c r="M437" s="95" t="s">
        <v>390</v>
      </c>
      <c r="N437" s="95">
        <v>153</v>
      </c>
      <c r="O437" s="95">
        <v>45.3</v>
      </c>
      <c r="P437" s="95">
        <f t="shared" si="13"/>
        <v>19.351531462258105</v>
      </c>
      <c r="Q437" s="95" t="s">
        <v>60</v>
      </c>
      <c r="R437" s="95" t="s">
        <v>60</v>
      </c>
      <c r="S437" s="95" t="s">
        <v>60</v>
      </c>
      <c r="T437" s="95"/>
      <c r="U437" s="95"/>
      <c r="AH437" s="132"/>
    </row>
    <row r="438" spans="1:34">
      <c r="A438" s="95" t="s">
        <v>1047</v>
      </c>
      <c r="B438" s="94">
        <v>43773</v>
      </c>
      <c r="C438" s="99" t="s">
        <v>60</v>
      </c>
      <c r="D438" s="95">
        <v>17</v>
      </c>
      <c r="E438" s="98">
        <v>37245</v>
      </c>
      <c r="F438" s="95" t="s">
        <v>61</v>
      </c>
      <c r="G438" s="95" t="s">
        <v>116</v>
      </c>
      <c r="H438" s="95"/>
      <c r="I438" s="95"/>
      <c r="J438" s="95"/>
      <c r="K438" s="95" t="s">
        <v>60</v>
      </c>
      <c r="L438" s="95" t="s">
        <v>60</v>
      </c>
      <c r="M438" s="95" t="s">
        <v>60</v>
      </c>
      <c r="N438" s="95">
        <v>170.55</v>
      </c>
      <c r="O438" s="95">
        <v>50.5</v>
      </c>
      <c r="P438" s="95">
        <f t="shared" si="13"/>
        <v>17.361527422489591</v>
      </c>
      <c r="Q438" s="95" t="s">
        <v>60</v>
      </c>
      <c r="R438" s="95" t="s">
        <v>60</v>
      </c>
      <c r="S438" s="95" t="s">
        <v>60</v>
      </c>
      <c r="T438" s="95" t="s">
        <v>60</v>
      </c>
      <c r="U438" s="95"/>
      <c r="AH438" s="132"/>
    </row>
    <row r="439" spans="1:34">
      <c r="A439" s="95" t="s">
        <v>1048</v>
      </c>
      <c r="B439" s="94">
        <v>43774</v>
      </c>
      <c r="C439" s="99" t="s">
        <v>60</v>
      </c>
      <c r="D439" s="95">
        <v>13</v>
      </c>
      <c r="E439" s="98">
        <v>38863</v>
      </c>
      <c r="F439" s="95" t="s">
        <v>58</v>
      </c>
      <c r="G439" s="95" t="s">
        <v>116</v>
      </c>
      <c r="H439" s="95" t="s">
        <v>1049</v>
      </c>
      <c r="I439" s="95"/>
      <c r="J439" s="95"/>
      <c r="K439" s="95" t="s">
        <v>60</v>
      </c>
      <c r="L439" s="95" t="s">
        <v>60</v>
      </c>
      <c r="M439" s="95" t="s">
        <v>60</v>
      </c>
      <c r="N439" s="95">
        <v>155.35</v>
      </c>
      <c r="O439" s="95">
        <v>47.8</v>
      </c>
      <c r="P439" s="95">
        <f t="shared" si="13"/>
        <v>19.806392513183631</v>
      </c>
      <c r="Q439" s="95" t="s">
        <v>60</v>
      </c>
      <c r="R439" s="95"/>
      <c r="S439" s="95" t="s">
        <v>60</v>
      </c>
      <c r="T439" s="95" t="s">
        <v>60</v>
      </c>
      <c r="U439" s="95"/>
      <c r="AH439" s="132"/>
    </row>
    <row r="440" spans="1:34">
      <c r="A440" s="95" t="s">
        <v>1050</v>
      </c>
      <c r="B440" s="94">
        <v>43755</v>
      </c>
      <c r="C440" s="95" t="s">
        <v>60</v>
      </c>
      <c r="D440" s="95">
        <v>17</v>
      </c>
      <c r="E440" s="98">
        <v>37247</v>
      </c>
      <c r="F440" s="95" t="s">
        <v>61</v>
      </c>
      <c r="G440" s="95" t="s">
        <v>116</v>
      </c>
      <c r="H440" s="95"/>
      <c r="I440" s="95"/>
      <c r="J440" s="95"/>
      <c r="K440" s="95" t="s">
        <v>60</v>
      </c>
      <c r="L440" s="95" t="s">
        <v>60</v>
      </c>
      <c r="M440" s="95" t="s">
        <v>60</v>
      </c>
      <c r="N440" s="95">
        <v>152.4</v>
      </c>
      <c r="O440" s="95">
        <v>55.6</v>
      </c>
      <c r="P440" s="95">
        <f t="shared" si="13"/>
        <v>23.938936766762421</v>
      </c>
      <c r="Q440" s="95" t="s">
        <v>60</v>
      </c>
      <c r="R440" s="95" t="s">
        <v>60</v>
      </c>
      <c r="S440" s="95" t="s">
        <v>60</v>
      </c>
      <c r="T440" s="95" t="s">
        <v>60</v>
      </c>
      <c r="U440" s="95"/>
      <c r="AH440" s="132"/>
    </row>
    <row r="441" spans="1:34">
      <c r="A441" s="95" t="s">
        <v>1051</v>
      </c>
      <c r="B441" s="94">
        <v>43755</v>
      </c>
      <c r="C441" s="95" t="s">
        <v>60</v>
      </c>
      <c r="D441" s="95">
        <v>16</v>
      </c>
      <c r="E441" s="98">
        <v>37795</v>
      </c>
      <c r="F441" s="95" t="s">
        <v>61</v>
      </c>
      <c r="G441" s="95" t="s">
        <v>116</v>
      </c>
      <c r="H441" s="95" t="s">
        <v>451</v>
      </c>
      <c r="I441" s="95"/>
      <c r="J441" s="95"/>
      <c r="K441" s="95" t="s">
        <v>60</v>
      </c>
      <c r="L441" s="95" t="s">
        <v>390</v>
      </c>
      <c r="M441" s="95" t="s">
        <v>390</v>
      </c>
      <c r="N441" s="95">
        <v>155.1</v>
      </c>
      <c r="O441" s="95">
        <v>48.8</v>
      </c>
      <c r="P441" s="95">
        <f t="shared" si="13"/>
        <v>20.285990902065638</v>
      </c>
      <c r="Q441" s="95" t="s">
        <v>60</v>
      </c>
      <c r="R441" s="95" t="s">
        <v>60</v>
      </c>
      <c r="S441" s="95" t="s">
        <v>60</v>
      </c>
      <c r="T441" s="95" t="s">
        <v>60</v>
      </c>
      <c r="U441" s="95"/>
      <c r="AH441" s="132"/>
    </row>
    <row r="442" spans="1:34">
      <c r="A442" s="95" t="s">
        <v>1052</v>
      </c>
      <c r="B442" s="94">
        <v>43783</v>
      </c>
      <c r="C442" s="99" t="s">
        <v>60</v>
      </c>
      <c r="D442" s="95">
        <v>17</v>
      </c>
      <c r="E442" s="98">
        <v>37453</v>
      </c>
      <c r="F442" s="95" t="s">
        <v>58</v>
      </c>
      <c r="G442" s="95" t="s">
        <v>116</v>
      </c>
      <c r="H442" s="95" t="s">
        <v>1053</v>
      </c>
      <c r="I442" s="95"/>
      <c r="J442" s="95"/>
      <c r="K442" s="95" t="s">
        <v>60</v>
      </c>
      <c r="L442" s="95" t="s">
        <v>390</v>
      </c>
      <c r="M442" s="95" t="s">
        <v>60</v>
      </c>
      <c r="N442" s="95">
        <v>178.25</v>
      </c>
      <c r="O442" s="95">
        <v>78.2</v>
      </c>
      <c r="P442" s="95">
        <f t="shared" si="13"/>
        <v>24.612043613989051</v>
      </c>
      <c r="Q442" s="95" t="s">
        <v>60</v>
      </c>
      <c r="R442" s="95" t="s">
        <v>60</v>
      </c>
      <c r="S442" s="95" t="s">
        <v>60</v>
      </c>
      <c r="T442" s="95"/>
      <c r="U442" s="95"/>
      <c r="AH442" s="132"/>
    </row>
    <row r="443" spans="1:34">
      <c r="A443" s="95" t="s">
        <v>1054</v>
      </c>
      <c r="B443" s="94">
        <v>43783</v>
      </c>
      <c r="C443" s="99" t="s">
        <v>60</v>
      </c>
      <c r="D443" s="95">
        <v>14</v>
      </c>
      <c r="E443" s="98">
        <v>38496</v>
      </c>
      <c r="F443" s="95" t="s">
        <v>61</v>
      </c>
      <c r="G443" s="95" t="s">
        <v>116</v>
      </c>
      <c r="H443" s="95" t="s">
        <v>1055</v>
      </c>
      <c r="I443" s="95"/>
      <c r="J443" s="95"/>
      <c r="K443" s="95" t="s">
        <v>60</v>
      </c>
      <c r="L443" s="95" t="s">
        <v>60</v>
      </c>
      <c r="M443" s="95" t="s">
        <v>60</v>
      </c>
      <c r="N443" s="95">
        <v>161.30000000000001</v>
      </c>
      <c r="O443" s="95">
        <v>52.4</v>
      </c>
      <c r="P443" s="95">
        <f t="shared" si="13"/>
        <v>20.140143110322239</v>
      </c>
      <c r="Q443" s="95" t="s">
        <v>60</v>
      </c>
      <c r="R443" s="95" t="s">
        <v>60</v>
      </c>
      <c r="S443" s="95" t="s">
        <v>60</v>
      </c>
      <c r="T443" s="95" t="s">
        <v>60</v>
      </c>
      <c r="U443" s="95"/>
      <c r="AH443" s="132"/>
    </row>
    <row r="444" spans="1:34">
      <c r="A444" s="95" t="s">
        <v>1056</v>
      </c>
      <c r="B444" s="94">
        <v>43753</v>
      </c>
      <c r="C444" s="95" t="s">
        <v>60</v>
      </c>
      <c r="D444" s="95">
        <v>13</v>
      </c>
      <c r="E444" s="98">
        <v>38874</v>
      </c>
      <c r="F444" s="95" t="s">
        <v>61</v>
      </c>
      <c r="G444" s="95" t="s">
        <v>116</v>
      </c>
      <c r="H444" s="95"/>
      <c r="I444" s="95"/>
      <c r="J444" s="95"/>
      <c r="K444" s="95" t="s">
        <v>60</v>
      </c>
      <c r="L444" s="95" t="s">
        <v>390</v>
      </c>
      <c r="M444" s="95" t="s">
        <v>390</v>
      </c>
      <c r="N444" s="95">
        <v>164.8</v>
      </c>
      <c r="O444" s="95">
        <v>63.6</v>
      </c>
      <c r="P444" s="95">
        <f t="shared" si="13"/>
        <v>23.417617117541706</v>
      </c>
      <c r="Q444" s="95" t="s">
        <v>60</v>
      </c>
      <c r="R444" s="95" t="s">
        <v>60</v>
      </c>
      <c r="S444" s="95" t="s">
        <v>60</v>
      </c>
      <c r="T444" s="95" t="s">
        <v>60</v>
      </c>
      <c r="U444" s="95"/>
      <c r="AH444" s="132"/>
    </row>
    <row r="445" spans="1:34">
      <c r="A445" s="95" t="s">
        <v>1057</v>
      </c>
      <c r="B445" s="94">
        <v>43753</v>
      </c>
      <c r="C445" s="95" t="s">
        <v>60</v>
      </c>
      <c r="D445" s="95">
        <v>14</v>
      </c>
      <c r="E445" s="98">
        <v>38414</v>
      </c>
      <c r="F445" s="95" t="s">
        <v>61</v>
      </c>
      <c r="G445" s="95" t="s">
        <v>116</v>
      </c>
      <c r="H445" s="95"/>
      <c r="I445" s="95"/>
      <c r="J445" s="95"/>
      <c r="K445" s="95" t="s">
        <v>60</v>
      </c>
      <c r="L445" s="95" t="s">
        <v>390</v>
      </c>
      <c r="M445" s="95" t="s">
        <v>390</v>
      </c>
      <c r="N445" s="95">
        <v>161.4</v>
      </c>
      <c r="O445" s="95">
        <v>51</v>
      </c>
      <c r="P445" s="95">
        <f t="shared" si="13"/>
        <v>19.577765186587616</v>
      </c>
      <c r="Q445" s="95" t="s">
        <v>60</v>
      </c>
      <c r="R445" s="95" t="s">
        <v>60</v>
      </c>
      <c r="S445" s="95" t="s">
        <v>60</v>
      </c>
      <c r="T445" s="95" t="s">
        <v>60</v>
      </c>
      <c r="U445" s="95"/>
      <c r="AH445" s="132"/>
    </row>
    <row r="446" spans="1:34">
      <c r="A446" s="95" t="s">
        <v>1058</v>
      </c>
      <c r="B446" s="94">
        <v>43788</v>
      </c>
      <c r="C446" s="99" t="s">
        <v>60</v>
      </c>
      <c r="D446" s="95">
        <v>14</v>
      </c>
      <c r="E446" s="98">
        <v>38323</v>
      </c>
      <c r="F446" s="95" t="s">
        <v>61</v>
      </c>
      <c r="G446" s="95" t="s">
        <v>116</v>
      </c>
      <c r="H446" s="95"/>
      <c r="I446" s="95"/>
      <c r="J446" s="95"/>
      <c r="K446" s="95" t="s">
        <v>60</v>
      </c>
      <c r="L446" s="95" t="s">
        <v>60</v>
      </c>
      <c r="M446" s="95" t="s">
        <v>60</v>
      </c>
      <c r="N446" s="95">
        <v>174.9</v>
      </c>
      <c r="O446" s="95">
        <v>56.5</v>
      </c>
      <c r="P446" s="95">
        <f t="shared" si="13"/>
        <v>18.470082226190836</v>
      </c>
      <c r="Q446" s="95" t="s">
        <v>60</v>
      </c>
      <c r="R446" s="95"/>
      <c r="S446" s="95" t="s">
        <v>60</v>
      </c>
      <c r="T446" s="95"/>
      <c r="U446" s="95"/>
      <c r="AH446" s="132"/>
    </row>
    <row r="447" spans="1:34">
      <c r="A447" s="99" t="s">
        <v>1059</v>
      </c>
      <c r="B447" s="94">
        <v>43813</v>
      </c>
      <c r="C447" s="99" t="s">
        <v>60</v>
      </c>
      <c r="D447" s="95">
        <v>14</v>
      </c>
      <c r="E447" s="98">
        <v>38474</v>
      </c>
      <c r="F447" s="95" t="s">
        <v>61</v>
      </c>
      <c r="G447" s="95" t="s">
        <v>116</v>
      </c>
      <c r="H447" s="95"/>
      <c r="I447" s="95"/>
      <c r="J447" s="95"/>
      <c r="K447" s="95" t="s">
        <v>60</v>
      </c>
      <c r="L447" s="95" t="s">
        <v>390</v>
      </c>
      <c r="M447" s="95" t="s">
        <v>390</v>
      </c>
      <c r="N447" s="95">
        <v>164.1</v>
      </c>
      <c r="O447" s="95">
        <v>48.8</v>
      </c>
      <c r="P447" s="95">
        <f t="shared" ref="P447:P482" si="14">O447/((N447/100)^2)</f>
        <v>18.121855366055907</v>
      </c>
      <c r="Q447" s="95" t="s">
        <v>60</v>
      </c>
      <c r="R447" s="95" t="s">
        <v>60</v>
      </c>
      <c r="S447" s="95" t="s">
        <v>60</v>
      </c>
      <c r="T447" s="95"/>
      <c r="U447" s="95"/>
      <c r="AH447" s="132"/>
    </row>
    <row r="448" spans="1:34">
      <c r="A448" s="99" t="s">
        <v>1060</v>
      </c>
      <c r="B448" s="94">
        <v>43813</v>
      </c>
      <c r="C448" s="99" t="s">
        <v>60</v>
      </c>
      <c r="D448" s="95">
        <v>14</v>
      </c>
      <c r="E448" s="98">
        <v>38474</v>
      </c>
      <c r="F448" s="95" t="s">
        <v>61</v>
      </c>
      <c r="G448" s="95" t="s">
        <v>116</v>
      </c>
      <c r="H448" s="134"/>
      <c r="I448" s="95"/>
      <c r="J448" s="95"/>
      <c r="K448" s="95" t="s">
        <v>60</v>
      </c>
      <c r="L448" s="95" t="s">
        <v>390</v>
      </c>
      <c r="M448" s="95" t="s">
        <v>390</v>
      </c>
      <c r="N448" s="95">
        <v>163.6</v>
      </c>
      <c r="O448" s="95">
        <v>46.9</v>
      </c>
      <c r="P448" s="95">
        <f t="shared" si="14"/>
        <v>17.52291055170641</v>
      </c>
      <c r="Q448" s="95" t="s">
        <v>60</v>
      </c>
      <c r="R448" s="95" t="s">
        <v>60</v>
      </c>
      <c r="S448" s="95" t="s">
        <v>60</v>
      </c>
      <c r="T448" s="95"/>
      <c r="U448" s="95"/>
      <c r="AH448" s="132"/>
    </row>
    <row r="449" spans="1:34">
      <c r="A449" s="95" t="s">
        <v>1061</v>
      </c>
      <c r="B449" s="94">
        <v>43790</v>
      </c>
      <c r="C449" s="99" t="s">
        <v>60</v>
      </c>
      <c r="D449" s="95">
        <v>16</v>
      </c>
      <c r="E449" s="98">
        <v>37726</v>
      </c>
      <c r="F449" s="95" t="s">
        <v>61</v>
      </c>
      <c r="G449" s="95" t="s">
        <v>116</v>
      </c>
      <c r="H449" s="95"/>
      <c r="I449" s="95"/>
      <c r="J449" s="95"/>
      <c r="K449" s="95" t="s">
        <v>60</v>
      </c>
      <c r="L449" s="95" t="s">
        <v>60</v>
      </c>
      <c r="M449" s="95" t="s">
        <v>60</v>
      </c>
      <c r="N449" s="95">
        <v>171.1</v>
      </c>
      <c r="O449" s="95">
        <v>62.8</v>
      </c>
      <c r="P449" s="95">
        <f t="shared" si="14"/>
        <v>21.451596760535622</v>
      </c>
      <c r="Q449" s="95" t="s">
        <v>60</v>
      </c>
      <c r="R449" s="95" t="s">
        <v>60</v>
      </c>
      <c r="S449" s="95" t="s">
        <v>60</v>
      </c>
      <c r="T449" s="95" t="s">
        <v>60</v>
      </c>
      <c r="U449" s="95"/>
      <c r="AH449" s="132"/>
    </row>
    <row r="450" spans="1:34">
      <c r="A450" s="95" t="s">
        <v>1062</v>
      </c>
      <c r="B450" s="94">
        <v>43757</v>
      </c>
      <c r="C450" s="95" t="s">
        <v>60</v>
      </c>
      <c r="D450" s="95">
        <v>17</v>
      </c>
      <c r="E450" s="98">
        <v>37371</v>
      </c>
      <c r="F450" s="95" t="s">
        <v>58</v>
      </c>
      <c r="G450" s="95" t="s">
        <v>116</v>
      </c>
      <c r="H450" s="95"/>
      <c r="I450" s="95"/>
      <c r="J450" s="95"/>
      <c r="K450" s="95" t="s">
        <v>60</v>
      </c>
      <c r="L450" s="95" t="s">
        <v>62</v>
      </c>
      <c r="M450" s="95" t="s">
        <v>62</v>
      </c>
      <c r="N450" s="95">
        <v>180.1</v>
      </c>
      <c r="O450" s="95">
        <v>108.35</v>
      </c>
      <c r="P450" s="95">
        <f t="shared" si="14"/>
        <v>33.404231901519331</v>
      </c>
      <c r="Q450" s="95" t="s">
        <v>60</v>
      </c>
      <c r="R450" s="95" t="s">
        <v>60</v>
      </c>
      <c r="S450" s="95" t="s">
        <v>60</v>
      </c>
      <c r="T450" s="95" t="s">
        <v>60</v>
      </c>
      <c r="U450" s="95"/>
      <c r="AH450" s="132"/>
    </row>
    <row r="451" spans="1:34">
      <c r="A451" s="95" t="s">
        <v>1063</v>
      </c>
      <c r="B451" s="94">
        <v>43757</v>
      </c>
      <c r="C451" s="95" t="s">
        <v>60</v>
      </c>
      <c r="D451" s="95">
        <v>16</v>
      </c>
      <c r="E451" s="98">
        <v>37900</v>
      </c>
      <c r="F451" s="95" t="s">
        <v>61</v>
      </c>
      <c r="G451" s="95" t="s">
        <v>116</v>
      </c>
      <c r="H451" s="95"/>
      <c r="I451" s="95"/>
      <c r="J451" s="95"/>
      <c r="K451" s="95" t="s">
        <v>60</v>
      </c>
      <c r="L451" s="95" t="s">
        <v>62</v>
      </c>
      <c r="M451" s="95" t="s">
        <v>62</v>
      </c>
      <c r="N451" s="95">
        <v>165</v>
      </c>
      <c r="O451" s="95">
        <v>76.2</v>
      </c>
      <c r="P451" s="95">
        <f t="shared" si="14"/>
        <v>27.988980716253447</v>
      </c>
      <c r="Q451" s="95" t="s">
        <v>60</v>
      </c>
      <c r="R451" s="95" t="s">
        <v>60</v>
      </c>
      <c r="S451" s="95" t="s">
        <v>60</v>
      </c>
      <c r="T451" s="95" t="s">
        <v>60</v>
      </c>
      <c r="U451" s="95"/>
      <c r="AH451" s="132"/>
    </row>
    <row r="452" spans="1:34">
      <c r="A452" s="95" t="s">
        <v>1064</v>
      </c>
      <c r="B452" s="94">
        <v>43757</v>
      </c>
      <c r="C452" s="95" t="s">
        <v>60</v>
      </c>
      <c r="D452" s="95">
        <v>13</v>
      </c>
      <c r="E452" s="98">
        <v>38982</v>
      </c>
      <c r="F452" s="95" t="s">
        <v>61</v>
      </c>
      <c r="G452" s="95" t="s">
        <v>116</v>
      </c>
      <c r="H452" s="95"/>
      <c r="I452" s="95"/>
      <c r="J452" s="95"/>
      <c r="K452" s="95" t="s">
        <v>60</v>
      </c>
      <c r="L452" s="95" t="s">
        <v>390</v>
      </c>
      <c r="M452" s="95" t="s">
        <v>390</v>
      </c>
      <c r="N452" s="95">
        <v>167</v>
      </c>
      <c r="O452" s="95">
        <v>78.599999999999994</v>
      </c>
      <c r="P452" s="95">
        <f t="shared" si="14"/>
        <v>28.183154648786257</v>
      </c>
      <c r="Q452" s="95" t="s">
        <v>60</v>
      </c>
      <c r="R452" s="95" t="s">
        <v>60</v>
      </c>
      <c r="S452" s="95" t="s">
        <v>60</v>
      </c>
      <c r="T452" s="95" t="s">
        <v>60</v>
      </c>
      <c r="U452" s="95"/>
      <c r="AH452" s="132"/>
    </row>
    <row r="453" spans="1:34">
      <c r="A453" s="95" t="s">
        <v>1065</v>
      </c>
      <c r="B453" s="94">
        <v>43790</v>
      </c>
      <c r="C453" s="99" t="s">
        <v>60</v>
      </c>
      <c r="D453" s="95">
        <v>17</v>
      </c>
      <c r="E453" s="98">
        <v>37351</v>
      </c>
      <c r="F453" s="95" t="s">
        <v>58</v>
      </c>
      <c r="G453" s="95" t="s">
        <v>116</v>
      </c>
      <c r="H453" s="95"/>
      <c r="I453" s="95"/>
      <c r="J453" s="95"/>
      <c r="K453" s="95" t="s">
        <v>60</v>
      </c>
      <c r="L453" s="95" t="s">
        <v>60</v>
      </c>
      <c r="M453" s="95" t="s">
        <v>60</v>
      </c>
      <c r="N453" s="95">
        <v>186.55</v>
      </c>
      <c r="O453" s="95">
        <v>94.2</v>
      </c>
      <c r="P453" s="95">
        <f t="shared" si="14"/>
        <v>27.068263531383991</v>
      </c>
      <c r="Q453" s="95" t="s">
        <v>60</v>
      </c>
      <c r="R453" s="95" t="s">
        <v>60</v>
      </c>
      <c r="S453" s="95" t="s">
        <v>60</v>
      </c>
      <c r="T453" s="95" t="s">
        <v>60</v>
      </c>
      <c r="U453" s="95"/>
      <c r="AH453" s="132"/>
    </row>
    <row r="454" spans="1:34">
      <c r="A454" s="95" t="s">
        <v>1066</v>
      </c>
      <c r="B454" s="94">
        <v>43774</v>
      </c>
      <c r="C454" s="99" t="s">
        <v>60</v>
      </c>
      <c r="D454" s="95">
        <v>14</v>
      </c>
      <c r="E454" s="98">
        <v>38304</v>
      </c>
      <c r="F454" s="95" t="s">
        <v>61</v>
      </c>
      <c r="G454" s="95" t="s">
        <v>204</v>
      </c>
      <c r="H454" s="95"/>
      <c r="I454" s="95"/>
      <c r="J454" s="95"/>
      <c r="K454" s="95" t="s">
        <v>60</v>
      </c>
      <c r="L454" s="95" t="s">
        <v>62</v>
      </c>
      <c r="M454" s="95" t="s">
        <v>62</v>
      </c>
      <c r="N454" s="95">
        <v>161.1</v>
      </c>
      <c r="O454" s="95">
        <v>61.3</v>
      </c>
      <c r="P454" s="95">
        <f t="shared" si="14"/>
        <v>23.619428964663719</v>
      </c>
      <c r="Q454" s="95" t="s">
        <v>60</v>
      </c>
      <c r="R454" s="95"/>
      <c r="S454" s="95" t="s">
        <v>60</v>
      </c>
      <c r="T454" s="95" t="s">
        <v>60</v>
      </c>
      <c r="U454" s="95"/>
      <c r="AH454" s="132"/>
    </row>
    <row r="455" spans="1:34">
      <c r="A455" s="95" t="s">
        <v>1067</v>
      </c>
      <c r="B455" s="94">
        <v>43794</v>
      </c>
      <c r="C455" s="99" t="s">
        <v>60</v>
      </c>
      <c r="D455" s="95">
        <v>14</v>
      </c>
      <c r="E455" s="98">
        <v>38680</v>
      </c>
      <c r="F455" s="95" t="s">
        <v>61</v>
      </c>
      <c r="G455" s="95" t="s">
        <v>116</v>
      </c>
      <c r="H455" s="95"/>
      <c r="I455" s="95"/>
      <c r="J455" s="95"/>
      <c r="K455" s="95" t="s">
        <v>60</v>
      </c>
      <c r="L455" s="95" t="s">
        <v>60</v>
      </c>
      <c r="M455" s="95" t="s">
        <v>60</v>
      </c>
      <c r="N455" s="95">
        <v>170.3</v>
      </c>
      <c r="O455" s="95">
        <v>59.7</v>
      </c>
      <c r="P455" s="95">
        <f t="shared" si="14"/>
        <v>20.584723376832496</v>
      </c>
      <c r="Q455" s="95" t="s">
        <v>60</v>
      </c>
      <c r="R455" s="95" t="s">
        <v>60</v>
      </c>
      <c r="S455" s="95"/>
      <c r="T455" s="95"/>
      <c r="U455" s="95"/>
      <c r="AH455" s="132"/>
    </row>
    <row r="456" spans="1:34">
      <c r="A456" s="95" t="s">
        <v>1068</v>
      </c>
      <c r="B456" s="94">
        <v>43789</v>
      </c>
      <c r="C456" s="99" t="s">
        <v>60</v>
      </c>
      <c r="D456" s="95">
        <v>14</v>
      </c>
      <c r="E456" s="98">
        <v>38570</v>
      </c>
      <c r="F456" s="95" t="s">
        <v>58</v>
      </c>
      <c r="G456" s="95" t="s">
        <v>116</v>
      </c>
      <c r="H456" s="95"/>
      <c r="I456" s="95"/>
      <c r="J456" s="95"/>
      <c r="K456" s="95" t="s">
        <v>60</v>
      </c>
      <c r="L456" s="95" t="s">
        <v>60</v>
      </c>
      <c r="M456" s="95" t="s">
        <v>60</v>
      </c>
      <c r="N456" s="95">
        <v>169.35</v>
      </c>
      <c r="O456" s="95">
        <v>52.7</v>
      </c>
      <c r="P456" s="95">
        <f t="shared" si="14"/>
        <v>18.375544347170869</v>
      </c>
      <c r="Q456" s="95" t="s">
        <v>60</v>
      </c>
      <c r="R456" s="95" t="s">
        <v>60</v>
      </c>
      <c r="S456" s="95"/>
      <c r="T456" s="95" t="s">
        <v>60</v>
      </c>
      <c r="U456" s="95"/>
      <c r="AH456" s="132"/>
    </row>
    <row r="457" spans="1:34">
      <c r="A457" s="95" t="s">
        <v>1069</v>
      </c>
      <c r="B457" s="94">
        <v>43762</v>
      </c>
      <c r="C457" s="95" t="s">
        <v>60</v>
      </c>
      <c r="D457" s="95">
        <v>17</v>
      </c>
      <c r="E457" s="98">
        <v>37347</v>
      </c>
      <c r="F457" s="95" t="s">
        <v>61</v>
      </c>
      <c r="G457" s="95" t="s">
        <v>116</v>
      </c>
      <c r="H457" s="95"/>
      <c r="I457" s="95"/>
      <c r="J457" s="95"/>
      <c r="K457" s="95" t="s">
        <v>60</v>
      </c>
      <c r="L457" s="95" t="s">
        <v>60</v>
      </c>
      <c r="M457" s="95" t="s">
        <v>60</v>
      </c>
      <c r="N457" s="95">
        <v>167.1</v>
      </c>
      <c r="O457" s="95">
        <v>55.2</v>
      </c>
      <c r="P457" s="95">
        <f t="shared" si="14"/>
        <v>19.7690672116053</v>
      </c>
      <c r="Q457" s="95" t="s">
        <v>60</v>
      </c>
      <c r="R457" s="95" t="s">
        <v>60</v>
      </c>
      <c r="S457" s="95" t="s">
        <v>60</v>
      </c>
      <c r="T457" s="95" t="s">
        <v>60</v>
      </c>
      <c r="U457" s="95"/>
      <c r="AH457" s="132"/>
    </row>
    <row r="458" spans="1:34">
      <c r="A458" s="95" t="s">
        <v>1070</v>
      </c>
      <c r="B458" s="94">
        <v>43762</v>
      </c>
      <c r="C458" s="95" t="s">
        <v>60</v>
      </c>
      <c r="D458" s="95">
        <v>17</v>
      </c>
      <c r="E458" s="98">
        <v>37347</v>
      </c>
      <c r="F458" s="95" t="s">
        <v>58</v>
      </c>
      <c r="G458" s="95" t="s">
        <v>116</v>
      </c>
      <c r="H458" s="95"/>
      <c r="I458" s="95" t="s">
        <v>581</v>
      </c>
      <c r="J458" s="95"/>
      <c r="K458" s="95" t="s">
        <v>60</v>
      </c>
      <c r="L458" s="95" t="s">
        <v>60</v>
      </c>
      <c r="M458" s="95" t="s">
        <v>60</v>
      </c>
      <c r="N458" s="95">
        <v>181.1</v>
      </c>
      <c r="O458" s="95">
        <v>69.099999999999994</v>
      </c>
      <c r="P458" s="95">
        <f t="shared" si="14"/>
        <v>21.068865308969876</v>
      </c>
      <c r="Q458" s="95" t="s">
        <v>60</v>
      </c>
      <c r="R458" s="95" t="s">
        <v>60</v>
      </c>
      <c r="S458" s="95" t="s">
        <v>60</v>
      </c>
      <c r="T458" s="95" t="s">
        <v>60</v>
      </c>
      <c r="U458" s="95"/>
      <c r="AH458" s="132"/>
    </row>
    <row r="459" spans="1:34">
      <c r="A459" s="95" t="s">
        <v>1071</v>
      </c>
      <c r="B459" s="94">
        <v>43774</v>
      </c>
      <c r="C459" s="99" t="s">
        <v>60</v>
      </c>
      <c r="D459" s="95">
        <v>16</v>
      </c>
      <c r="E459" s="98">
        <v>37813</v>
      </c>
      <c r="F459" s="95" t="s">
        <v>61</v>
      </c>
      <c r="G459" s="95" t="s">
        <v>116</v>
      </c>
      <c r="H459" s="95" t="s">
        <v>1049</v>
      </c>
      <c r="I459" s="95"/>
      <c r="J459" s="95"/>
      <c r="K459" s="95" t="s">
        <v>60</v>
      </c>
      <c r="L459" s="95" t="s">
        <v>60</v>
      </c>
      <c r="M459" s="95" t="s">
        <v>60</v>
      </c>
      <c r="N459" s="95">
        <v>158</v>
      </c>
      <c r="O459" s="95">
        <v>54.7</v>
      </c>
      <c r="P459" s="95">
        <f t="shared" si="14"/>
        <v>21.911552635795545</v>
      </c>
      <c r="Q459" s="95" t="s">
        <v>60</v>
      </c>
      <c r="R459" s="95"/>
      <c r="S459" s="95" t="s">
        <v>60</v>
      </c>
      <c r="T459" s="95" t="s">
        <v>60</v>
      </c>
      <c r="U459" s="95"/>
      <c r="AH459" s="132"/>
    </row>
    <row r="460" spans="1:34">
      <c r="A460" s="95" t="s">
        <v>1072</v>
      </c>
      <c r="B460" s="94">
        <v>43773</v>
      </c>
      <c r="C460" s="95" t="s">
        <v>60</v>
      </c>
      <c r="D460" s="95">
        <v>17</v>
      </c>
      <c r="E460" s="98">
        <v>37538</v>
      </c>
      <c r="F460" s="95" t="s">
        <v>61</v>
      </c>
      <c r="G460" s="95" t="s">
        <v>116</v>
      </c>
      <c r="H460" s="95"/>
      <c r="I460" s="95"/>
      <c r="J460" s="95"/>
      <c r="K460" s="95" t="s">
        <v>60</v>
      </c>
      <c r="L460" s="95" t="s">
        <v>60</v>
      </c>
      <c r="M460" s="95" t="s">
        <v>60</v>
      </c>
      <c r="N460" s="95">
        <v>169.5</v>
      </c>
      <c r="O460" s="95">
        <v>60.8</v>
      </c>
      <c r="P460" s="95">
        <f t="shared" si="14"/>
        <v>21.162363710723017</v>
      </c>
      <c r="Q460" s="95" t="s">
        <v>60</v>
      </c>
      <c r="R460" s="95" t="s">
        <v>60</v>
      </c>
      <c r="S460" s="95" t="s">
        <v>60</v>
      </c>
      <c r="T460" s="95" t="s">
        <v>60</v>
      </c>
      <c r="U460" s="95"/>
      <c r="AH460" s="132"/>
    </row>
    <row r="461" spans="1:34">
      <c r="A461" s="95" t="s">
        <v>1073</v>
      </c>
      <c r="B461" s="94">
        <v>43752</v>
      </c>
      <c r="C461" s="95" t="s">
        <v>60</v>
      </c>
      <c r="D461" s="95">
        <v>13</v>
      </c>
      <c r="E461" s="98">
        <v>39013</v>
      </c>
      <c r="F461" s="95" t="s">
        <v>61</v>
      </c>
      <c r="G461" s="95" t="s">
        <v>116</v>
      </c>
      <c r="H461" s="95"/>
      <c r="I461" s="95"/>
      <c r="J461" s="95"/>
      <c r="K461" s="95" t="s">
        <v>60</v>
      </c>
      <c r="L461" s="95" t="s">
        <v>60</v>
      </c>
      <c r="M461" s="95" t="s">
        <v>60</v>
      </c>
      <c r="N461" s="95">
        <v>165.35</v>
      </c>
      <c r="O461" s="95">
        <v>50.9</v>
      </c>
      <c r="P461" s="95">
        <f t="shared" si="14"/>
        <v>18.616986500581689</v>
      </c>
      <c r="Q461" s="95" t="s">
        <v>60</v>
      </c>
      <c r="R461" s="95" t="s">
        <v>60</v>
      </c>
      <c r="S461" s="95" t="s">
        <v>60</v>
      </c>
      <c r="T461" s="95" t="s">
        <v>60</v>
      </c>
      <c r="U461" s="95"/>
      <c r="AH461" s="132"/>
    </row>
    <row r="462" spans="1:34">
      <c r="A462" s="95" t="s">
        <v>1074</v>
      </c>
      <c r="B462" s="94">
        <v>43771</v>
      </c>
      <c r="C462" s="95" t="s">
        <v>60</v>
      </c>
      <c r="D462" s="95">
        <v>16</v>
      </c>
      <c r="E462" s="98">
        <v>37701</v>
      </c>
      <c r="F462" s="95" t="s">
        <v>61</v>
      </c>
      <c r="G462" s="95" t="s">
        <v>117</v>
      </c>
      <c r="H462" s="95"/>
      <c r="I462" s="95"/>
      <c r="J462" s="95"/>
      <c r="K462" s="95" t="s">
        <v>60</v>
      </c>
      <c r="L462" s="95" t="s">
        <v>60</v>
      </c>
      <c r="M462" s="95" t="s">
        <v>390</v>
      </c>
      <c r="N462" s="95">
        <v>170</v>
      </c>
      <c r="O462" s="95">
        <v>80.3</v>
      </c>
      <c r="P462" s="95">
        <f t="shared" si="14"/>
        <v>27.785467128027683</v>
      </c>
      <c r="Q462" s="95" t="s">
        <v>60</v>
      </c>
      <c r="R462" s="95" t="s">
        <v>60</v>
      </c>
      <c r="S462" s="95" t="s">
        <v>60</v>
      </c>
      <c r="T462" s="95" t="s">
        <v>60</v>
      </c>
      <c r="U462" s="95"/>
      <c r="AH462" s="132"/>
    </row>
    <row r="463" spans="1:34">
      <c r="A463" s="95" t="s">
        <v>1075</v>
      </c>
      <c r="B463" s="94">
        <v>43771</v>
      </c>
      <c r="C463" s="95" t="s">
        <v>60</v>
      </c>
      <c r="D463" s="95">
        <v>13</v>
      </c>
      <c r="E463" s="98">
        <v>38832</v>
      </c>
      <c r="F463" s="95" t="s">
        <v>58</v>
      </c>
      <c r="G463" s="95" t="s">
        <v>116</v>
      </c>
      <c r="H463" s="95"/>
      <c r="I463" s="95"/>
      <c r="J463" s="95"/>
      <c r="K463" s="95" t="s">
        <v>60</v>
      </c>
      <c r="L463" s="95" t="s">
        <v>60</v>
      </c>
      <c r="M463" s="95" t="s">
        <v>60</v>
      </c>
      <c r="N463" s="95">
        <v>182.2</v>
      </c>
      <c r="O463" s="95">
        <v>68.099999999999994</v>
      </c>
      <c r="P463" s="95">
        <f t="shared" si="14"/>
        <v>20.514000730189981</v>
      </c>
      <c r="Q463" s="95" t="s">
        <v>60</v>
      </c>
      <c r="R463" s="95" t="s">
        <v>60</v>
      </c>
      <c r="S463" s="95" t="s">
        <v>60</v>
      </c>
      <c r="T463" s="95" t="s">
        <v>60</v>
      </c>
      <c r="U463" s="95"/>
      <c r="AH463" s="132"/>
    </row>
    <row r="464" spans="1:34">
      <c r="A464" s="95" t="s">
        <v>1076</v>
      </c>
      <c r="B464" s="94">
        <v>43803</v>
      </c>
      <c r="C464" s="99" t="s">
        <v>60</v>
      </c>
      <c r="D464" s="95">
        <v>15</v>
      </c>
      <c r="E464" s="98">
        <v>38011</v>
      </c>
      <c r="F464" s="95" t="s">
        <v>58</v>
      </c>
      <c r="G464" s="95" t="s">
        <v>116</v>
      </c>
      <c r="H464" s="95" t="s">
        <v>410</v>
      </c>
      <c r="I464" s="95" t="s">
        <v>369</v>
      </c>
      <c r="J464" s="95"/>
      <c r="K464" s="95" t="s">
        <v>60</v>
      </c>
      <c r="L464" s="95" t="s">
        <v>390</v>
      </c>
      <c r="M464" s="95" t="s">
        <v>390</v>
      </c>
      <c r="N464" s="95">
        <v>176.1</v>
      </c>
      <c r="O464" s="95">
        <v>77.8</v>
      </c>
      <c r="P464" s="95">
        <f t="shared" si="14"/>
        <v>25.087702156736228</v>
      </c>
      <c r="Q464" s="95" t="s">
        <v>60</v>
      </c>
      <c r="R464" s="95" t="s">
        <v>60</v>
      </c>
      <c r="S464" s="95" t="s">
        <v>60</v>
      </c>
      <c r="T464" s="95" t="s">
        <v>60</v>
      </c>
      <c r="U464" s="95"/>
      <c r="AH464" s="132"/>
    </row>
    <row r="465" spans="1:34">
      <c r="A465" s="95" t="s">
        <v>1077</v>
      </c>
      <c r="B465" s="94">
        <v>43759</v>
      </c>
      <c r="C465" s="95" t="s">
        <v>60</v>
      </c>
      <c r="D465" s="95">
        <v>13</v>
      </c>
      <c r="E465" s="98">
        <v>38729</v>
      </c>
      <c r="F465" s="95" t="s">
        <v>58</v>
      </c>
      <c r="G465" s="95" t="s">
        <v>116</v>
      </c>
      <c r="H465" s="95"/>
      <c r="I465" s="95"/>
      <c r="J465" s="95"/>
      <c r="K465" s="95" t="s">
        <v>60</v>
      </c>
      <c r="L465" s="95" t="s">
        <v>60</v>
      </c>
      <c r="M465" s="95" t="s">
        <v>60</v>
      </c>
      <c r="N465" s="95">
        <v>171.1</v>
      </c>
      <c r="O465" s="95">
        <v>59.3</v>
      </c>
      <c r="P465" s="95">
        <f t="shared" si="14"/>
        <v>20.256045985665008</v>
      </c>
      <c r="Q465" s="95" t="s">
        <v>60</v>
      </c>
      <c r="R465" s="95" t="s">
        <v>60</v>
      </c>
      <c r="S465" s="95" t="s">
        <v>60</v>
      </c>
      <c r="T465" s="95" t="s">
        <v>60</v>
      </c>
      <c r="U465" s="95"/>
      <c r="AH465" s="132"/>
    </row>
    <row r="466" spans="1:34">
      <c r="A466" s="95" t="s">
        <v>1078</v>
      </c>
      <c r="B466" s="94">
        <v>43759</v>
      </c>
      <c r="C466" s="95" t="s">
        <v>60</v>
      </c>
      <c r="D466" s="95">
        <v>15</v>
      </c>
      <c r="E466" s="98">
        <v>38091</v>
      </c>
      <c r="F466" s="95" t="s">
        <v>58</v>
      </c>
      <c r="G466" s="95" t="s">
        <v>116</v>
      </c>
      <c r="H466" s="95"/>
      <c r="I466" s="95"/>
      <c r="J466" s="95"/>
      <c r="K466" s="95" t="s">
        <v>60</v>
      </c>
      <c r="L466" s="95" t="s">
        <v>60</v>
      </c>
      <c r="M466" s="95" t="s">
        <v>60</v>
      </c>
      <c r="N466" s="95">
        <v>183.3</v>
      </c>
      <c r="O466" s="95">
        <v>98.4</v>
      </c>
      <c r="P466" s="95">
        <f t="shared" si="14"/>
        <v>29.286681792166345</v>
      </c>
      <c r="Q466" s="95" t="s">
        <v>60</v>
      </c>
      <c r="R466" s="95" t="s">
        <v>60</v>
      </c>
      <c r="S466" s="95" t="s">
        <v>60</v>
      </c>
      <c r="T466" s="95" t="s">
        <v>60</v>
      </c>
      <c r="U466" s="95"/>
      <c r="AH466" s="132"/>
    </row>
    <row r="467" spans="1:34">
      <c r="A467" s="95" t="s">
        <v>1079</v>
      </c>
      <c r="B467" s="94">
        <v>43792</v>
      </c>
      <c r="C467" s="99" t="s">
        <v>60</v>
      </c>
      <c r="D467" s="95">
        <v>13</v>
      </c>
      <c r="E467" s="98">
        <v>38861</v>
      </c>
      <c r="F467" s="95" t="s">
        <v>58</v>
      </c>
      <c r="G467" s="95" t="s">
        <v>116</v>
      </c>
      <c r="H467" s="95"/>
      <c r="I467" s="95"/>
      <c r="J467" s="95"/>
      <c r="K467" s="95" t="s">
        <v>60</v>
      </c>
      <c r="L467" s="95" t="s">
        <v>60</v>
      </c>
      <c r="M467" s="95" t="s">
        <v>390</v>
      </c>
      <c r="N467" s="95">
        <v>161</v>
      </c>
      <c r="O467" s="95">
        <v>45.2</v>
      </c>
      <c r="P467" s="95">
        <f t="shared" si="14"/>
        <v>17.437598858068746</v>
      </c>
      <c r="Q467" s="95" t="s">
        <v>60</v>
      </c>
      <c r="R467" s="95" t="s">
        <v>60</v>
      </c>
      <c r="S467" s="95" t="s">
        <v>60</v>
      </c>
      <c r="T467" s="95" t="s">
        <v>60</v>
      </c>
      <c r="U467" s="95"/>
      <c r="AH467" s="132"/>
    </row>
    <row r="468" spans="1:34">
      <c r="A468" s="95" t="s">
        <v>1080</v>
      </c>
      <c r="B468" s="94">
        <v>43787</v>
      </c>
      <c r="C468" s="99" t="s">
        <v>60</v>
      </c>
      <c r="D468" s="95">
        <v>15</v>
      </c>
      <c r="E468" s="98">
        <v>37951</v>
      </c>
      <c r="F468" s="95" t="s">
        <v>58</v>
      </c>
      <c r="G468" s="95" t="s">
        <v>116</v>
      </c>
      <c r="H468" s="95"/>
      <c r="I468" s="95"/>
      <c r="J468" s="95"/>
      <c r="K468" s="95" t="s">
        <v>60</v>
      </c>
      <c r="L468" s="95" t="s">
        <v>60</v>
      </c>
      <c r="M468" s="95" t="s">
        <v>60</v>
      </c>
      <c r="N468" s="95">
        <v>171.1</v>
      </c>
      <c r="O468" s="95">
        <v>73.400000000000006</v>
      </c>
      <c r="P468" s="95">
        <f t="shared" si="14"/>
        <v>25.072407678715205</v>
      </c>
      <c r="Q468" s="95" t="s">
        <v>60</v>
      </c>
      <c r="R468" s="95" t="s">
        <v>60</v>
      </c>
      <c r="S468" s="95" t="s">
        <v>60</v>
      </c>
      <c r="T468" s="95" t="s">
        <v>60</v>
      </c>
      <c r="U468" s="95"/>
      <c r="AH468" s="132"/>
    </row>
    <row r="469" spans="1:34">
      <c r="A469" s="95" t="s">
        <v>1081</v>
      </c>
      <c r="B469" s="94">
        <v>43788</v>
      </c>
      <c r="C469" s="99" t="s">
        <v>60</v>
      </c>
      <c r="D469" s="95">
        <v>12</v>
      </c>
      <c r="E469" s="98">
        <v>39056</v>
      </c>
      <c r="F469" s="95" t="s">
        <v>61</v>
      </c>
      <c r="G469" s="95" t="s">
        <v>116</v>
      </c>
      <c r="H469" s="95"/>
      <c r="I469" s="95"/>
      <c r="J469" s="95"/>
      <c r="K469" s="95" t="s">
        <v>60</v>
      </c>
      <c r="L469" s="95" t="s">
        <v>60</v>
      </c>
      <c r="M469" s="95" t="s">
        <v>60</v>
      </c>
      <c r="N469" s="95">
        <v>169.1</v>
      </c>
      <c r="O469" s="95">
        <v>54.4</v>
      </c>
      <c r="P469" s="95">
        <f t="shared" si="14"/>
        <v>19.024431356599333</v>
      </c>
      <c r="Q469" s="95" t="s">
        <v>60</v>
      </c>
      <c r="R469" s="95" t="s">
        <v>60</v>
      </c>
      <c r="S469" s="95" t="s">
        <v>60</v>
      </c>
      <c r="T469" s="95"/>
      <c r="U469" s="95"/>
      <c r="AH469" s="132"/>
    </row>
    <row r="470" spans="1:34">
      <c r="A470" s="95" t="s">
        <v>1082</v>
      </c>
      <c r="B470" s="94">
        <v>43794</v>
      </c>
      <c r="C470" s="99" t="s">
        <v>60</v>
      </c>
      <c r="D470" s="95">
        <v>16</v>
      </c>
      <c r="E470" s="98">
        <v>37850</v>
      </c>
      <c r="F470" s="95" t="s">
        <v>61</v>
      </c>
      <c r="G470" s="95" t="s">
        <v>116</v>
      </c>
      <c r="H470" s="95"/>
      <c r="I470" s="95"/>
      <c r="J470" s="95"/>
      <c r="K470" s="95" t="s">
        <v>60</v>
      </c>
      <c r="L470" s="95" t="s">
        <v>62</v>
      </c>
      <c r="M470" s="95" t="s">
        <v>62</v>
      </c>
      <c r="N470" s="95">
        <v>162.4</v>
      </c>
      <c r="O470" s="95">
        <v>65.7</v>
      </c>
      <c r="P470" s="95">
        <f t="shared" si="14"/>
        <v>24.911123783639496</v>
      </c>
      <c r="Q470" s="95" t="s">
        <v>60</v>
      </c>
      <c r="R470" s="95" t="s">
        <v>60</v>
      </c>
      <c r="S470" s="95" t="s">
        <v>60</v>
      </c>
      <c r="T470" s="95" t="s">
        <v>60</v>
      </c>
      <c r="U470" s="95"/>
      <c r="AH470" s="132"/>
    </row>
    <row r="471" spans="1:34">
      <c r="A471" s="99" t="s">
        <v>1083</v>
      </c>
      <c r="B471" s="94">
        <v>43810</v>
      </c>
      <c r="C471" s="99" t="s">
        <v>60</v>
      </c>
      <c r="D471" s="95">
        <v>13</v>
      </c>
      <c r="E471" s="98">
        <v>38718</v>
      </c>
      <c r="F471" s="95" t="s">
        <v>58</v>
      </c>
      <c r="G471" s="95" t="s">
        <v>116</v>
      </c>
      <c r="H471" s="95" t="s">
        <v>410</v>
      </c>
      <c r="I471" s="95" t="s">
        <v>974</v>
      </c>
      <c r="J471" s="95"/>
      <c r="K471" s="95" t="s">
        <v>60</v>
      </c>
      <c r="L471" s="95" t="s">
        <v>62</v>
      </c>
      <c r="M471" s="95" t="s">
        <v>62</v>
      </c>
      <c r="N471" s="95">
        <v>146.65</v>
      </c>
      <c r="O471" s="95">
        <v>41</v>
      </c>
      <c r="P471" s="95">
        <f t="shared" si="14"/>
        <v>19.064249893257632</v>
      </c>
      <c r="Q471" s="95" t="s">
        <v>60</v>
      </c>
      <c r="R471" s="95" t="s">
        <v>60</v>
      </c>
      <c r="S471" s="95" t="s">
        <v>60</v>
      </c>
      <c r="T471" s="95"/>
      <c r="U471" s="95"/>
      <c r="AH471" s="132"/>
    </row>
    <row r="472" spans="1:34">
      <c r="A472" s="95" t="s">
        <v>1084</v>
      </c>
      <c r="B472" s="94">
        <v>43806</v>
      </c>
      <c r="C472" s="99" t="s">
        <v>60</v>
      </c>
      <c r="D472" s="95">
        <v>16</v>
      </c>
      <c r="E472" s="98">
        <v>37694</v>
      </c>
      <c r="F472" s="95" t="s">
        <v>58</v>
      </c>
      <c r="G472" s="95" t="s">
        <v>223</v>
      </c>
      <c r="H472" s="95"/>
      <c r="I472" s="95"/>
      <c r="J472" s="95"/>
      <c r="K472" s="95" t="s">
        <v>60</v>
      </c>
      <c r="L472" s="95" t="s">
        <v>60</v>
      </c>
      <c r="M472" s="95" t="s">
        <v>60</v>
      </c>
      <c r="N472" s="95">
        <v>190</v>
      </c>
      <c r="O472" s="95">
        <v>93.8</v>
      </c>
      <c r="P472" s="95">
        <f t="shared" si="14"/>
        <v>25.983379501385041</v>
      </c>
      <c r="Q472" s="95" t="s">
        <v>60</v>
      </c>
      <c r="R472" s="95" t="s">
        <v>60</v>
      </c>
      <c r="S472" s="95" t="s">
        <v>60</v>
      </c>
      <c r="T472" s="95"/>
      <c r="U472" s="95"/>
      <c r="AH472" s="132"/>
    </row>
    <row r="473" spans="1:34">
      <c r="A473" s="95" t="s">
        <v>1085</v>
      </c>
      <c r="B473" s="94">
        <v>43794</v>
      </c>
      <c r="C473" s="99" t="s">
        <v>60</v>
      </c>
      <c r="D473" s="95">
        <v>16</v>
      </c>
      <c r="E473" s="98">
        <v>37892</v>
      </c>
      <c r="F473" s="95" t="s">
        <v>61</v>
      </c>
      <c r="G473" s="95" t="s">
        <v>117</v>
      </c>
      <c r="H473" s="95"/>
      <c r="I473" s="95"/>
      <c r="J473" s="95"/>
      <c r="K473" s="95" t="s">
        <v>60</v>
      </c>
      <c r="L473" s="95" t="s">
        <v>62</v>
      </c>
      <c r="M473" s="95" t="s">
        <v>62</v>
      </c>
      <c r="N473" s="95">
        <v>151.35</v>
      </c>
      <c r="O473" s="95">
        <v>79.650000000000006</v>
      </c>
      <c r="P473" s="95">
        <f t="shared" si="14"/>
        <v>34.77130012248535</v>
      </c>
      <c r="Q473" s="95" t="s">
        <v>60</v>
      </c>
      <c r="R473" s="95" t="s">
        <v>60</v>
      </c>
      <c r="S473" s="95" t="s">
        <v>60</v>
      </c>
      <c r="T473" s="95" t="s">
        <v>60</v>
      </c>
      <c r="U473" s="95"/>
      <c r="AH473" s="132"/>
    </row>
    <row r="474" spans="1:34">
      <c r="A474" s="95" t="s">
        <v>1086</v>
      </c>
      <c r="B474" s="94">
        <v>43795</v>
      </c>
      <c r="C474" s="99" t="s">
        <v>60</v>
      </c>
      <c r="D474" s="95">
        <v>17</v>
      </c>
      <c r="E474" s="98">
        <v>37491</v>
      </c>
      <c r="F474" s="95" t="s">
        <v>58</v>
      </c>
      <c r="G474" s="95" t="s">
        <v>116</v>
      </c>
      <c r="H474" s="95"/>
      <c r="I474" s="95"/>
      <c r="J474" s="95"/>
      <c r="K474" s="95" t="s">
        <v>60</v>
      </c>
      <c r="L474" s="95" t="s">
        <v>60</v>
      </c>
      <c r="M474" s="95" t="s">
        <v>60</v>
      </c>
      <c r="N474" s="95">
        <v>181.5</v>
      </c>
      <c r="O474" s="95">
        <v>76.7</v>
      </c>
      <c r="P474" s="95">
        <f t="shared" si="14"/>
        <v>23.283169789555966</v>
      </c>
      <c r="Q474" s="95" t="s">
        <v>60</v>
      </c>
      <c r="R474" s="95" t="s">
        <v>60</v>
      </c>
      <c r="S474" s="95" t="s">
        <v>60</v>
      </c>
      <c r="T474" s="95" t="s">
        <v>60</v>
      </c>
      <c r="U474" s="95"/>
      <c r="AH474" s="132"/>
    </row>
    <row r="475" spans="1:34">
      <c r="A475" s="95" t="s">
        <v>1087</v>
      </c>
      <c r="B475" s="94">
        <v>43794</v>
      </c>
      <c r="C475" s="99" t="s">
        <v>60</v>
      </c>
      <c r="D475" s="95">
        <v>12</v>
      </c>
      <c r="E475" s="98">
        <v>39160</v>
      </c>
      <c r="F475" s="95" t="s">
        <v>58</v>
      </c>
      <c r="G475" s="95" t="s">
        <v>116</v>
      </c>
      <c r="H475" s="95"/>
      <c r="I475" s="95"/>
      <c r="J475" s="95"/>
      <c r="K475" s="95" t="s">
        <v>60</v>
      </c>
      <c r="L475" s="95" t="s">
        <v>60</v>
      </c>
      <c r="M475" s="95" t="s">
        <v>60</v>
      </c>
      <c r="N475" s="95">
        <v>172.5</v>
      </c>
      <c r="O475" s="95">
        <v>68.849999999999994</v>
      </c>
      <c r="P475" s="95">
        <f t="shared" si="14"/>
        <v>23.137996219281657</v>
      </c>
      <c r="Q475" s="95" t="s">
        <v>60</v>
      </c>
      <c r="R475" s="95" t="s">
        <v>60</v>
      </c>
      <c r="S475" s="95" t="s">
        <v>60</v>
      </c>
      <c r="T475" s="95" t="s">
        <v>60</v>
      </c>
      <c r="U475" s="95"/>
      <c r="AH475" s="132"/>
    </row>
    <row r="476" spans="1:34">
      <c r="A476" s="95" t="s">
        <v>1088</v>
      </c>
      <c r="B476" s="94">
        <v>43773</v>
      </c>
      <c r="C476" s="99" t="s">
        <v>60</v>
      </c>
      <c r="D476" s="95">
        <v>13</v>
      </c>
      <c r="E476" s="98">
        <v>39019</v>
      </c>
      <c r="F476" s="95" t="s">
        <v>61</v>
      </c>
      <c r="G476" s="95" t="s">
        <v>116</v>
      </c>
      <c r="H476" s="95"/>
      <c r="I476" s="95"/>
      <c r="J476" s="95"/>
      <c r="K476" s="95" t="s">
        <v>60</v>
      </c>
      <c r="L476" s="95" t="s">
        <v>60</v>
      </c>
      <c r="M476" s="95" t="s">
        <v>60</v>
      </c>
      <c r="N476" s="95">
        <v>163.05000000000001</v>
      </c>
      <c r="O476" s="95">
        <v>51</v>
      </c>
      <c r="P476" s="95">
        <f t="shared" si="14"/>
        <v>19.183531953416743</v>
      </c>
      <c r="Q476" s="95" t="s">
        <v>60</v>
      </c>
      <c r="R476" s="95" t="s">
        <v>60</v>
      </c>
      <c r="S476" s="95" t="s">
        <v>60</v>
      </c>
      <c r="T476" s="95" t="s">
        <v>60</v>
      </c>
      <c r="U476" s="95"/>
      <c r="AH476" s="132"/>
    </row>
    <row r="477" spans="1:34">
      <c r="A477" s="95" t="s">
        <v>1089</v>
      </c>
      <c r="B477" s="94">
        <v>43794</v>
      </c>
      <c r="C477" s="99" t="s">
        <v>60</v>
      </c>
      <c r="D477" s="95">
        <v>12</v>
      </c>
      <c r="E477" s="98">
        <v>39135</v>
      </c>
      <c r="F477" s="95" t="s">
        <v>61</v>
      </c>
      <c r="G477" s="95" t="s">
        <v>116</v>
      </c>
      <c r="H477" s="95"/>
      <c r="I477" s="95"/>
      <c r="J477" s="95"/>
      <c r="K477" s="95" t="s">
        <v>60</v>
      </c>
      <c r="L477" s="95" t="s">
        <v>60</v>
      </c>
      <c r="M477" s="95" t="s">
        <v>60</v>
      </c>
      <c r="N477" s="95">
        <v>161.05000000000001</v>
      </c>
      <c r="O477" s="95">
        <v>55.2</v>
      </c>
      <c r="P477" s="95">
        <f t="shared" si="14"/>
        <v>21.282253867794218</v>
      </c>
      <c r="Q477" s="95" t="s">
        <v>60</v>
      </c>
      <c r="R477" s="95" t="s">
        <v>60</v>
      </c>
      <c r="S477" s="95"/>
      <c r="T477" s="95" t="s">
        <v>60</v>
      </c>
      <c r="U477" s="95"/>
      <c r="AH477" s="132"/>
    </row>
    <row r="478" spans="1:34">
      <c r="A478" s="95" t="s">
        <v>1090</v>
      </c>
      <c r="B478" s="94">
        <v>43771</v>
      </c>
      <c r="C478" s="95" t="s">
        <v>60</v>
      </c>
      <c r="D478" s="95">
        <v>13</v>
      </c>
      <c r="E478" s="98">
        <v>39022</v>
      </c>
      <c r="F478" s="95" t="s">
        <v>61</v>
      </c>
      <c r="G478" s="95" t="s">
        <v>117</v>
      </c>
      <c r="H478" s="95"/>
      <c r="I478" s="95"/>
      <c r="J478" s="95"/>
      <c r="K478" s="95" t="s">
        <v>60</v>
      </c>
      <c r="L478" s="95" t="s">
        <v>60</v>
      </c>
      <c r="M478" s="95" t="s">
        <v>60</v>
      </c>
      <c r="N478" s="95">
        <v>164</v>
      </c>
      <c r="O478" s="95">
        <v>85.7</v>
      </c>
      <c r="P478" s="95">
        <f t="shared" si="14"/>
        <v>31.863474122546108</v>
      </c>
      <c r="Q478" s="95" t="s">
        <v>60</v>
      </c>
      <c r="R478" s="95" t="s">
        <v>60</v>
      </c>
      <c r="S478" s="95" t="s">
        <v>60</v>
      </c>
      <c r="T478" s="95" t="s">
        <v>60</v>
      </c>
      <c r="U478" s="95"/>
      <c r="AH478" s="132"/>
    </row>
    <row r="479" spans="1:34">
      <c r="A479" s="99" t="s">
        <v>1091</v>
      </c>
      <c r="B479" s="94">
        <v>43809</v>
      </c>
      <c r="C479" s="99" t="s">
        <v>60</v>
      </c>
      <c r="D479" s="95">
        <v>12</v>
      </c>
      <c r="E479" s="98">
        <v>39416</v>
      </c>
      <c r="F479" s="95" t="s">
        <v>58</v>
      </c>
      <c r="G479" s="95" t="s">
        <v>116</v>
      </c>
      <c r="H479" s="95"/>
      <c r="I479" s="95"/>
      <c r="J479" s="95"/>
      <c r="K479" s="95" t="s">
        <v>60</v>
      </c>
      <c r="L479" s="95" t="s">
        <v>390</v>
      </c>
      <c r="M479" s="95" t="s">
        <v>390</v>
      </c>
      <c r="N479" s="95">
        <v>153.9</v>
      </c>
      <c r="O479" s="95">
        <v>61.2</v>
      </c>
      <c r="P479" s="95">
        <f t="shared" si="14"/>
        <v>25.838909598014961</v>
      </c>
      <c r="Q479" s="95" t="s">
        <v>60</v>
      </c>
      <c r="R479" s="95"/>
      <c r="S479" s="95" t="s">
        <v>60</v>
      </c>
      <c r="T479" s="95"/>
      <c r="U479" s="95"/>
      <c r="AH479" s="132"/>
    </row>
    <row r="480" spans="1:34">
      <c r="A480" s="95" t="s">
        <v>1092</v>
      </c>
      <c r="B480" s="94">
        <v>43790</v>
      </c>
      <c r="C480" s="99" t="s">
        <v>60</v>
      </c>
      <c r="D480" s="95">
        <v>12</v>
      </c>
      <c r="E480" s="98">
        <v>39143</v>
      </c>
      <c r="F480" s="95" t="s">
        <v>58</v>
      </c>
      <c r="G480" s="95" t="s">
        <v>116</v>
      </c>
      <c r="H480" s="95"/>
      <c r="I480" s="95"/>
      <c r="J480" s="95"/>
      <c r="K480" s="95" t="s">
        <v>60</v>
      </c>
      <c r="L480" s="95" t="s">
        <v>390</v>
      </c>
      <c r="M480" s="95" t="s">
        <v>390</v>
      </c>
      <c r="N480" s="95">
        <v>154.15</v>
      </c>
      <c r="O480" s="95">
        <v>42.6</v>
      </c>
      <c r="P480" s="95">
        <f t="shared" si="14"/>
        <v>17.927615987940523</v>
      </c>
      <c r="Q480" s="95" t="s">
        <v>60</v>
      </c>
      <c r="R480" s="95" t="s">
        <v>60</v>
      </c>
      <c r="S480" s="95" t="s">
        <v>60</v>
      </c>
      <c r="T480" s="95" t="s">
        <v>60</v>
      </c>
      <c r="U480" s="95"/>
      <c r="AH480" s="132"/>
    </row>
    <row r="481" spans="1:34">
      <c r="A481" s="99" t="s">
        <v>1093</v>
      </c>
      <c r="B481" s="94">
        <v>43810</v>
      </c>
      <c r="C481" s="99" t="s">
        <v>60</v>
      </c>
      <c r="D481" s="95">
        <v>12</v>
      </c>
      <c r="E481" s="98">
        <v>39331</v>
      </c>
      <c r="F481" s="95" t="s">
        <v>58</v>
      </c>
      <c r="G481" s="95" t="s">
        <v>116</v>
      </c>
      <c r="H481" s="95" t="s">
        <v>1094</v>
      </c>
      <c r="I481" s="95" t="s">
        <v>1095</v>
      </c>
      <c r="J481" s="95" t="s">
        <v>410</v>
      </c>
      <c r="K481" s="95" t="s">
        <v>60</v>
      </c>
      <c r="L481" s="95" t="s">
        <v>62</v>
      </c>
      <c r="M481" s="95" t="s">
        <v>62</v>
      </c>
      <c r="N481" s="95">
        <v>150.6</v>
      </c>
      <c r="O481" s="95">
        <v>33.700000000000003</v>
      </c>
      <c r="P481" s="95">
        <f t="shared" si="14"/>
        <v>14.858670673657739</v>
      </c>
      <c r="Q481" s="95" t="s">
        <v>60</v>
      </c>
      <c r="R481" s="95" t="s">
        <v>60</v>
      </c>
      <c r="S481" s="95" t="s">
        <v>60</v>
      </c>
      <c r="T481" s="95"/>
      <c r="U481" s="95"/>
      <c r="AH481" s="132"/>
    </row>
    <row r="482" spans="1:34">
      <c r="A482" s="99" t="s">
        <v>1096</v>
      </c>
      <c r="B482" s="94">
        <v>43855</v>
      </c>
      <c r="C482" s="99" t="s">
        <v>60</v>
      </c>
      <c r="D482" s="95">
        <v>11</v>
      </c>
      <c r="E482" s="98">
        <v>39626</v>
      </c>
      <c r="F482" s="95" t="s">
        <v>61</v>
      </c>
      <c r="G482" s="95" t="s">
        <v>116</v>
      </c>
      <c r="H482" s="95"/>
      <c r="I482" s="95"/>
      <c r="J482" s="95"/>
      <c r="K482" s="95" t="s">
        <v>1097</v>
      </c>
      <c r="L482" s="95" t="s">
        <v>62</v>
      </c>
      <c r="M482" s="95" t="s">
        <v>62</v>
      </c>
      <c r="N482" s="95">
        <v>152.5</v>
      </c>
      <c r="O482" s="95">
        <v>71.2</v>
      </c>
      <c r="P482" s="95">
        <f t="shared" si="14"/>
        <v>30.615425960763243</v>
      </c>
      <c r="Q482" s="95" t="s">
        <v>60</v>
      </c>
      <c r="R482" s="95" t="s">
        <v>60</v>
      </c>
      <c r="S482" s="95"/>
      <c r="T482" s="95"/>
      <c r="U482" s="95"/>
      <c r="AH482" s="132"/>
    </row>
  </sheetData>
  <mergeCells count="3">
    <mergeCell ref="A1:AG1"/>
    <mergeCell ref="A3:AG3"/>
    <mergeCell ref="A381:U38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1DF8-AFE0-A643-AA43-2018F3578969}">
  <sheetPr>
    <tabColor rgb="FFC00000"/>
    <pageSetUpPr fitToPage="1"/>
  </sheetPr>
  <dimension ref="A1:ED493"/>
  <sheetViews>
    <sheetView zoomScaleNormal="100" workbookViewId="0">
      <pane ySplit="6" topLeftCell="A463" activePane="bottomLeft" state="frozen"/>
      <selection pane="bottomLeft" activeCell="A6" sqref="A6:C467"/>
    </sheetView>
  </sheetViews>
  <sheetFormatPr defaultColWidth="10.77734375" defaultRowHeight="24" customHeight="1"/>
  <cols>
    <col min="1" max="1" width="10.77734375" style="7"/>
    <col min="2" max="2" width="13" style="7" customWidth="1"/>
    <col min="3" max="3" width="17" style="7" customWidth="1"/>
    <col min="4" max="4" width="13.6640625" style="7" customWidth="1"/>
    <col min="5" max="5" width="10.77734375" style="7"/>
    <col min="6" max="6" width="30.44140625" style="7" customWidth="1"/>
    <col min="7" max="7" width="12.44140625" style="7" customWidth="1"/>
    <col min="8" max="8" width="17.77734375" style="7" customWidth="1"/>
    <col min="9" max="9" width="16.6640625" style="7" customWidth="1"/>
    <col min="10" max="13" width="11.77734375" style="7" customWidth="1"/>
    <col min="14" max="21" width="11.77734375" style="7" hidden="1" customWidth="1"/>
    <col min="22" max="33" width="11.77734375" style="7" customWidth="1"/>
    <col min="34" max="34" width="8.77734375" style="7" customWidth="1"/>
    <col min="35" max="36" width="11.77734375" style="7" customWidth="1"/>
    <col min="37" max="46" width="11.77734375" style="7" hidden="1" customWidth="1"/>
    <col min="47" max="64" width="11.77734375" style="7" customWidth="1"/>
    <col min="65" max="65" width="8.77734375" style="7" customWidth="1"/>
    <col min="66" max="67" width="11.77734375" style="7" customWidth="1"/>
    <col min="68" max="73" width="11.77734375" style="7" hidden="1" customWidth="1"/>
    <col min="74" max="75" width="11.77734375" style="7" customWidth="1"/>
    <col min="76" max="79" width="11.77734375" style="7" hidden="1" customWidth="1"/>
    <col min="80" max="83" width="11.77734375" style="7" customWidth="1"/>
    <col min="84" max="91" width="11.77734375" style="7" hidden="1" customWidth="1"/>
    <col min="92" max="97" width="11.77734375" style="7" customWidth="1"/>
    <col min="98" max="98" width="8.77734375" style="7" customWidth="1"/>
    <col min="99" max="102" width="10.77734375" style="7" customWidth="1"/>
    <col min="103" max="118" width="10.77734375" style="7"/>
    <col min="119" max="121" width="10.77734375" style="7" customWidth="1"/>
    <col min="122" max="16384" width="10.77734375" style="7"/>
  </cols>
  <sheetData>
    <row r="1" spans="1:134" ht="24" customHeight="1">
      <c r="A1" s="445" t="s">
        <v>1281</v>
      </c>
      <c r="B1" s="446"/>
      <c r="C1" s="446"/>
      <c r="D1" s="446"/>
      <c r="E1" s="446"/>
      <c r="F1" s="446"/>
      <c r="G1" s="446"/>
      <c r="H1" s="446"/>
      <c r="I1" s="428" t="s">
        <v>265</v>
      </c>
      <c r="J1" s="520" t="s">
        <v>0</v>
      </c>
      <c r="K1" s="521"/>
      <c r="L1" s="521"/>
      <c r="M1" s="521"/>
      <c r="N1" s="521"/>
      <c r="O1" s="521"/>
      <c r="P1" s="521"/>
      <c r="Q1" s="521"/>
      <c r="R1" s="521"/>
      <c r="S1" s="521"/>
      <c r="T1" s="521"/>
      <c r="U1" s="521"/>
      <c r="V1" s="521"/>
      <c r="W1" s="521"/>
      <c r="X1" s="521"/>
      <c r="Y1" s="521"/>
      <c r="Z1" s="521"/>
      <c r="AA1" s="521"/>
      <c r="AB1" s="521"/>
      <c r="AC1" s="521"/>
      <c r="AD1" s="521"/>
      <c r="AE1" s="521"/>
      <c r="AF1" s="521"/>
      <c r="AG1" s="522"/>
      <c r="AH1" s="449"/>
      <c r="AI1" s="513" t="s">
        <v>1</v>
      </c>
      <c r="AJ1" s="514"/>
      <c r="AK1" s="514"/>
      <c r="AL1" s="514"/>
      <c r="AM1" s="514"/>
      <c r="AN1" s="514"/>
      <c r="AO1" s="514"/>
      <c r="AP1" s="514"/>
      <c r="AQ1" s="514"/>
      <c r="AR1" s="514"/>
      <c r="AS1" s="514"/>
      <c r="AT1" s="514"/>
      <c r="AU1" s="514"/>
      <c r="AV1" s="514"/>
      <c r="AW1" s="514"/>
      <c r="AX1" s="514"/>
      <c r="AY1" s="514"/>
      <c r="AZ1" s="514"/>
      <c r="BA1" s="514"/>
      <c r="BB1" s="514"/>
      <c r="BC1" s="514"/>
      <c r="BD1" s="514"/>
      <c r="BE1" s="514"/>
      <c r="BF1" s="514"/>
      <c r="BG1" s="514"/>
      <c r="BH1" s="514"/>
      <c r="BI1" s="514"/>
      <c r="BJ1" s="514"/>
      <c r="BK1" s="514"/>
      <c r="BL1" s="515"/>
      <c r="BM1" s="441"/>
      <c r="BN1" s="418" t="s">
        <v>107</v>
      </c>
      <c r="BO1" s="419"/>
      <c r="BP1" s="513" t="s">
        <v>2</v>
      </c>
      <c r="BQ1" s="514"/>
      <c r="BR1" s="514"/>
      <c r="BS1" s="514"/>
      <c r="BT1" s="514"/>
      <c r="BU1" s="514"/>
      <c r="BV1" s="514"/>
      <c r="BW1" s="514"/>
      <c r="BX1" s="514"/>
      <c r="BY1" s="514"/>
      <c r="BZ1" s="514"/>
      <c r="CA1" s="514"/>
      <c r="CB1" s="514"/>
      <c r="CC1" s="514"/>
      <c r="CD1" s="514"/>
      <c r="CE1" s="515"/>
      <c r="CF1" s="513" t="s">
        <v>3</v>
      </c>
      <c r="CG1" s="514"/>
      <c r="CH1" s="514"/>
      <c r="CI1" s="514"/>
      <c r="CJ1" s="514"/>
      <c r="CK1" s="514"/>
      <c r="CL1" s="514"/>
      <c r="CM1" s="514"/>
      <c r="CN1" s="514"/>
      <c r="CO1" s="514"/>
      <c r="CP1" s="514"/>
      <c r="CQ1" s="514"/>
      <c r="CR1" s="514"/>
      <c r="CS1" s="515"/>
      <c r="CT1" s="502"/>
    </row>
    <row r="2" spans="1:134" ht="24" customHeight="1" thickBot="1">
      <c r="A2" s="447"/>
      <c r="B2" s="448"/>
      <c r="C2" s="448"/>
      <c r="D2" s="448"/>
      <c r="E2" s="448"/>
      <c r="F2" s="448"/>
      <c r="G2" s="448"/>
      <c r="H2" s="448"/>
      <c r="I2" s="429"/>
      <c r="J2" s="523"/>
      <c r="K2" s="524"/>
      <c r="L2" s="524"/>
      <c r="M2" s="524"/>
      <c r="N2" s="524"/>
      <c r="O2" s="524"/>
      <c r="P2" s="524"/>
      <c r="Q2" s="524"/>
      <c r="R2" s="524"/>
      <c r="S2" s="524"/>
      <c r="T2" s="524"/>
      <c r="U2" s="524"/>
      <c r="V2" s="524"/>
      <c r="W2" s="524"/>
      <c r="X2" s="524"/>
      <c r="Y2" s="524"/>
      <c r="Z2" s="524"/>
      <c r="AA2" s="524"/>
      <c r="AB2" s="524"/>
      <c r="AC2" s="524"/>
      <c r="AD2" s="524"/>
      <c r="AE2" s="524"/>
      <c r="AF2" s="524"/>
      <c r="AG2" s="525"/>
      <c r="AH2" s="450"/>
      <c r="AI2" s="516"/>
      <c r="AJ2" s="517"/>
      <c r="AK2" s="517"/>
      <c r="AL2" s="517"/>
      <c r="AM2" s="517"/>
      <c r="AN2" s="517"/>
      <c r="AO2" s="517"/>
      <c r="AP2" s="517"/>
      <c r="AQ2" s="517"/>
      <c r="AR2" s="517"/>
      <c r="AS2" s="517"/>
      <c r="AT2" s="517"/>
      <c r="AU2" s="517"/>
      <c r="AV2" s="517"/>
      <c r="AW2" s="517"/>
      <c r="AX2" s="517"/>
      <c r="AY2" s="517"/>
      <c r="AZ2" s="517"/>
      <c r="BA2" s="517"/>
      <c r="BB2" s="517"/>
      <c r="BC2" s="517"/>
      <c r="BD2" s="517"/>
      <c r="BE2" s="517"/>
      <c r="BF2" s="517"/>
      <c r="BG2" s="517"/>
      <c r="BH2" s="517"/>
      <c r="BI2" s="517"/>
      <c r="BJ2" s="517"/>
      <c r="BK2" s="517"/>
      <c r="BL2" s="518"/>
      <c r="BM2" s="442"/>
      <c r="BN2" s="420"/>
      <c r="BO2" s="421"/>
      <c r="BP2" s="516"/>
      <c r="BQ2" s="517"/>
      <c r="BR2" s="517"/>
      <c r="BS2" s="517"/>
      <c r="BT2" s="517"/>
      <c r="BU2" s="517"/>
      <c r="BV2" s="517"/>
      <c r="BW2" s="517"/>
      <c r="BX2" s="517"/>
      <c r="BY2" s="517"/>
      <c r="BZ2" s="517"/>
      <c r="CA2" s="517"/>
      <c r="CB2" s="517"/>
      <c r="CC2" s="517"/>
      <c r="CD2" s="517"/>
      <c r="CE2" s="518"/>
      <c r="CF2" s="516"/>
      <c r="CG2" s="517"/>
      <c r="CH2" s="517"/>
      <c r="CI2" s="517"/>
      <c r="CJ2" s="517"/>
      <c r="CK2" s="517"/>
      <c r="CL2" s="517"/>
      <c r="CM2" s="517"/>
      <c r="CN2" s="517"/>
      <c r="CO2" s="517"/>
      <c r="CP2" s="517"/>
      <c r="CQ2" s="517"/>
      <c r="CR2" s="517"/>
      <c r="CS2" s="518"/>
      <c r="CT2" s="503"/>
    </row>
    <row r="3" spans="1:134" s="393" customFormat="1" ht="39" customHeight="1">
      <c r="A3" s="447"/>
      <c r="B3" s="448"/>
      <c r="C3" s="448"/>
      <c r="D3" s="448"/>
      <c r="E3" s="448"/>
      <c r="F3" s="448"/>
      <c r="G3" s="448"/>
      <c r="H3" s="448"/>
      <c r="I3" s="390" t="s">
        <v>266</v>
      </c>
      <c r="J3" s="474" t="s">
        <v>1280</v>
      </c>
      <c r="K3" s="417"/>
      <c r="L3" s="417"/>
      <c r="M3" s="417"/>
      <c r="N3" s="417"/>
      <c r="O3" s="417"/>
      <c r="P3" s="417"/>
      <c r="Q3" s="417"/>
      <c r="R3" s="417"/>
      <c r="S3" s="417"/>
      <c r="T3" s="417"/>
      <c r="U3" s="417"/>
      <c r="V3" s="417" t="s">
        <v>1279</v>
      </c>
      <c r="W3" s="417"/>
      <c r="X3" s="417" t="s">
        <v>1278</v>
      </c>
      <c r="Y3" s="417"/>
      <c r="Z3" s="458" t="s">
        <v>1277</v>
      </c>
      <c r="AA3" s="459"/>
      <c r="AB3" s="440" t="s">
        <v>267</v>
      </c>
      <c r="AC3" s="440"/>
      <c r="AD3" s="458" t="s">
        <v>1276</v>
      </c>
      <c r="AE3" s="458"/>
      <c r="AF3" s="458" t="s">
        <v>1275</v>
      </c>
      <c r="AG3" s="458"/>
      <c r="AH3" s="451"/>
      <c r="AI3" s="474" t="s">
        <v>1274</v>
      </c>
      <c r="AJ3" s="417"/>
      <c r="AK3" s="417"/>
      <c r="AL3" s="417"/>
      <c r="AM3" s="417"/>
      <c r="AN3" s="417"/>
      <c r="AO3" s="417"/>
      <c r="AP3" s="417"/>
      <c r="AQ3" s="417"/>
      <c r="AR3" s="417"/>
      <c r="AS3" s="417"/>
      <c r="AT3" s="417"/>
      <c r="AU3" s="417" t="s">
        <v>1273</v>
      </c>
      <c r="AV3" s="417"/>
      <c r="AW3" s="417" t="s">
        <v>1272</v>
      </c>
      <c r="AX3" s="417"/>
      <c r="AY3" s="417" t="s">
        <v>1271</v>
      </c>
      <c r="AZ3" s="437"/>
      <c r="BA3" s="438" t="s">
        <v>1270</v>
      </c>
      <c r="BB3" s="439"/>
      <c r="BC3" s="438"/>
      <c r="BD3" s="439"/>
      <c r="BE3" s="440" t="s">
        <v>268</v>
      </c>
      <c r="BF3" s="440"/>
      <c r="BG3" s="469" t="s">
        <v>1269</v>
      </c>
      <c r="BH3" s="470"/>
      <c r="BI3" s="469" t="s">
        <v>1268</v>
      </c>
      <c r="BJ3" s="469"/>
      <c r="BK3" s="469" t="s">
        <v>1267</v>
      </c>
      <c r="BL3" s="511"/>
      <c r="BM3" s="443"/>
      <c r="BN3" s="455" t="s">
        <v>1266</v>
      </c>
      <c r="BO3" s="456"/>
      <c r="BP3" s="461"/>
      <c r="BQ3" s="422"/>
      <c r="BR3" s="422"/>
      <c r="BS3" s="422"/>
      <c r="BT3" s="422"/>
      <c r="BU3" s="422"/>
      <c r="BV3" s="422" t="s">
        <v>1265</v>
      </c>
      <c r="BW3" s="422"/>
      <c r="BX3" s="422"/>
      <c r="BY3" s="422"/>
      <c r="BZ3" s="422"/>
      <c r="CA3" s="422"/>
      <c r="CB3" s="422" t="s">
        <v>1265</v>
      </c>
      <c r="CC3" s="422"/>
      <c r="CD3" s="440" t="s">
        <v>1264</v>
      </c>
      <c r="CE3" s="440"/>
      <c r="CF3" s="461"/>
      <c r="CG3" s="422"/>
      <c r="CH3" s="422"/>
      <c r="CI3" s="475"/>
      <c r="CJ3" s="476"/>
      <c r="CK3" s="477"/>
      <c r="CL3" s="478"/>
      <c r="CM3" s="422"/>
      <c r="CN3" s="422" t="s">
        <v>1263</v>
      </c>
      <c r="CO3" s="422"/>
      <c r="CP3" s="440" t="s">
        <v>1262</v>
      </c>
      <c r="CQ3" s="440"/>
      <c r="CR3" s="528" t="s">
        <v>1261</v>
      </c>
      <c r="CS3" s="529"/>
      <c r="CT3" s="504"/>
    </row>
    <row r="4" spans="1:134" ht="49.05" customHeight="1">
      <c r="A4" s="220" t="s">
        <v>1167</v>
      </c>
      <c r="B4" s="433" t="s">
        <v>1166</v>
      </c>
      <c r="C4" s="433"/>
      <c r="D4" s="434"/>
      <c r="E4" s="435" t="s">
        <v>4</v>
      </c>
      <c r="F4" s="436"/>
      <c r="G4" s="392" t="s">
        <v>5</v>
      </c>
      <c r="H4" s="391" t="s">
        <v>6</v>
      </c>
      <c r="I4" s="390" t="s">
        <v>269</v>
      </c>
      <c r="J4" s="423" t="s">
        <v>1260</v>
      </c>
      <c r="K4" s="424"/>
      <c r="L4" s="424"/>
      <c r="M4" s="424"/>
      <c r="N4" s="424"/>
      <c r="O4" s="424"/>
      <c r="P4" s="424"/>
      <c r="Q4" s="424"/>
      <c r="R4" s="454"/>
      <c r="S4" s="454"/>
      <c r="T4" s="424"/>
      <c r="U4" s="424"/>
      <c r="V4" s="454" t="s">
        <v>1259</v>
      </c>
      <c r="W4" s="454"/>
      <c r="X4" s="424" t="s">
        <v>1258</v>
      </c>
      <c r="Y4" s="424"/>
      <c r="Z4" s="430" t="s">
        <v>1257</v>
      </c>
      <c r="AA4" s="431"/>
      <c r="AB4" s="432" t="s">
        <v>1256</v>
      </c>
      <c r="AC4" s="432"/>
      <c r="AD4" s="430"/>
      <c r="AE4" s="508"/>
      <c r="AF4" s="430"/>
      <c r="AG4" s="508"/>
      <c r="AH4" s="451"/>
      <c r="AI4" s="423" t="s">
        <v>1255</v>
      </c>
      <c r="AJ4" s="424"/>
      <c r="AK4" s="424"/>
      <c r="AL4" s="424"/>
      <c r="AM4" s="424"/>
      <c r="AN4" s="424"/>
      <c r="AO4" s="424"/>
      <c r="AP4" s="424"/>
      <c r="AQ4" s="424"/>
      <c r="AR4" s="424"/>
      <c r="AS4" s="424"/>
      <c r="AT4" s="424"/>
      <c r="AU4" s="424" t="s">
        <v>1254</v>
      </c>
      <c r="AV4" s="424"/>
      <c r="AW4" s="424" t="s">
        <v>1253</v>
      </c>
      <c r="AX4" s="424"/>
      <c r="AY4" s="424" t="s">
        <v>1252</v>
      </c>
      <c r="AZ4" s="425"/>
      <c r="BA4" s="426" t="s">
        <v>1251</v>
      </c>
      <c r="BB4" s="427"/>
      <c r="BC4" s="426"/>
      <c r="BD4" s="427"/>
      <c r="BE4" s="432" t="s">
        <v>1250</v>
      </c>
      <c r="BF4" s="432"/>
      <c r="BG4" s="471" t="s">
        <v>1249</v>
      </c>
      <c r="BH4" s="472"/>
      <c r="BI4" s="471"/>
      <c r="BJ4" s="471"/>
      <c r="BK4" s="471"/>
      <c r="BL4" s="512"/>
      <c r="BM4" s="443"/>
      <c r="BN4" s="398" t="s">
        <v>1248</v>
      </c>
      <c r="BO4" s="473"/>
      <c r="BP4" s="423"/>
      <c r="BQ4" s="424"/>
      <c r="BR4" s="424"/>
      <c r="BS4" s="424"/>
      <c r="BT4" s="399"/>
      <c r="BU4" s="399"/>
      <c r="BV4" s="424" t="s">
        <v>1247</v>
      </c>
      <c r="BW4" s="424"/>
      <c r="BX4" s="424"/>
      <c r="BY4" s="424"/>
      <c r="BZ4" s="424"/>
      <c r="CA4" s="424"/>
      <c r="CB4" s="424"/>
      <c r="CC4" s="424"/>
      <c r="CD4" s="510" t="s">
        <v>1246</v>
      </c>
      <c r="CE4" s="510"/>
      <c r="CF4" s="462"/>
      <c r="CG4" s="463"/>
      <c r="CH4" s="464"/>
      <c r="CI4" s="425"/>
      <c r="CJ4" s="465"/>
      <c r="CK4" s="466"/>
      <c r="CL4" s="467"/>
      <c r="CM4" s="468"/>
      <c r="CN4" s="424" t="s">
        <v>1245</v>
      </c>
      <c r="CO4" s="424"/>
      <c r="CP4" s="510" t="s">
        <v>1244</v>
      </c>
      <c r="CQ4" s="510"/>
      <c r="CR4" s="526" t="s">
        <v>1243</v>
      </c>
      <c r="CS4" s="527"/>
      <c r="CT4" s="505"/>
      <c r="CU4" s="533" t="s">
        <v>1242</v>
      </c>
      <c r="CV4" s="533"/>
      <c r="CW4" s="533"/>
      <c r="CX4" s="533"/>
      <c r="CY4" s="533"/>
      <c r="CZ4" s="533"/>
      <c r="DA4" s="533"/>
      <c r="DB4" s="533"/>
      <c r="DC4" s="533"/>
    </row>
    <row r="5" spans="1:134" s="380" customFormat="1" ht="24" customHeight="1">
      <c r="A5" s="389" t="s">
        <v>7</v>
      </c>
      <c r="B5" s="388" t="s">
        <v>71</v>
      </c>
      <c r="C5" s="387" t="s">
        <v>72</v>
      </c>
      <c r="D5" s="386" t="s">
        <v>8</v>
      </c>
      <c r="E5" s="385" t="s">
        <v>9</v>
      </c>
      <c r="F5" s="384" t="s">
        <v>10</v>
      </c>
      <c r="G5" s="383" t="s">
        <v>11</v>
      </c>
      <c r="H5" s="382" t="s">
        <v>12</v>
      </c>
      <c r="I5" s="381" t="s">
        <v>270</v>
      </c>
      <c r="J5" s="415" t="s">
        <v>1205</v>
      </c>
      <c r="K5" s="416"/>
      <c r="L5" s="416" t="s">
        <v>1204</v>
      </c>
      <c r="M5" s="416"/>
      <c r="N5" s="416" t="s">
        <v>1203</v>
      </c>
      <c r="O5" s="416"/>
      <c r="P5" s="416" t="s">
        <v>1202</v>
      </c>
      <c r="Q5" s="416"/>
      <c r="R5" s="416" t="s">
        <v>1201</v>
      </c>
      <c r="S5" s="416"/>
      <c r="T5" s="416" t="s">
        <v>1200</v>
      </c>
      <c r="U5" s="416"/>
      <c r="V5" s="416" t="s">
        <v>1199</v>
      </c>
      <c r="W5" s="416"/>
      <c r="X5" s="416" t="s">
        <v>1198</v>
      </c>
      <c r="Y5" s="416"/>
      <c r="Z5" s="412" t="s">
        <v>1142</v>
      </c>
      <c r="AA5" s="453"/>
      <c r="AB5" s="460" t="s">
        <v>255</v>
      </c>
      <c r="AC5" s="460"/>
      <c r="AD5" s="412" t="s">
        <v>1197</v>
      </c>
      <c r="AE5" s="412"/>
      <c r="AF5" s="412" t="s">
        <v>1196</v>
      </c>
      <c r="AG5" s="412"/>
      <c r="AH5" s="452"/>
      <c r="AI5" s="519" t="s">
        <v>1195</v>
      </c>
      <c r="AJ5" s="457"/>
      <c r="AK5" s="457" t="s">
        <v>1194</v>
      </c>
      <c r="AL5" s="457"/>
      <c r="AM5" s="457" t="s">
        <v>1193</v>
      </c>
      <c r="AN5" s="457"/>
      <c r="AO5" s="457" t="s">
        <v>1192</v>
      </c>
      <c r="AP5" s="457"/>
      <c r="AQ5" s="457" t="s">
        <v>1191</v>
      </c>
      <c r="AR5" s="457"/>
      <c r="AS5" s="457" t="s">
        <v>1190</v>
      </c>
      <c r="AT5" s="457"/>
      <c r="AU5" s="457" t="s">
        <v>1189</v>
      </c>
      <c r="AV5" s="457"/>
      <c r="AW5" s="457" t="s">
        <v>1188</v>
      </c>
      <c r="AX5" s="457"/>
      <c r="AY5" s="412" t="s">
        <v>1187</v>
      </c>
      <c r="AZ5" s="453"/>
      <c r="BA5" s="499" t="s">
        <v>1186</v>
      </c>
      <c r="BB5" s="499"/>
      <c r="BC5" s="499" t="s">
        <v>1185</v>
      </c>
      <c r="BD5" s="499"/>
      <c r="BE5" s="460" t="s">
        <v>256</v>
      </c>
      <c r="BF5" s="460"/>
      <c r="BG5" s="412" t="s">
        <v>1184</v>
      </c>
      <c r="BH5" s="453"/>
      <c r="BI5" s="412" t="s">
        <v>1183</v>
      </c>
      <c r="BJ5" s="412"/>
      <c r="BK5" s="412" t="s">
        <v>1182</v>
      </c>
      <c r="BL5" s="480"/>
      <c r="BM5" s="444"/>
      <c r="BN5" s="415" t="s">
        <v>13</v>
      </c>
      <c r="BO5" s="497"/>
      <c r="BP5" s="415" t="s">
        <v>1181</v>
      </c>
      <c r="BQ5" s="416"/>
      <c r="BR5" s="416" t="s">
        <v>1180</v>
      </c>
      <c r="BS5" s="416"/>
      <c r="BT5" s="416" t="s">
        <v>1179</v>
      </c>
      <c r="BU5" s="416"/>
      <c r="BV5" s="416" t="s">
        <v>1178</v>
      </c>
      <c r="BW5" s="416"/>
      <c r="BX5" s="416" t="s">
        <v>1177</v>
      </c>
      <c r="BY5" s="416"/>
      <c r="BZ5" s="416" t="s">
        <v>1176</v>
      </c>
      <c r="CA5" s="416"/>
      <c r="CB5" s="416" t="s">
        <v>1175</v>
      </c>
      <c r="CC5" s="416"/>
      <c r="CD5" s="460" t="s">
        <v>236</v>
      </c>
      <c r="CE5" s="460"/>
      <c r="CF5" s="415" t="s">
        <v>1174</v>
      </c>
      <c r="CG5" s="416"/>
      <c r="CH5" s="416" t="s">
        <v>1173</v>
      </c>
      <c r="CI5" s="509"/>
      <c r="CJ5" s="494" t="s">
        <v>1172</v>
      </c>
      <c r="CK5" s="495"/>
      <c r="CL5" s="496" t="s">
        <v>1171</v>
      </c>
      <c r="CM5" s="416"/>
      <c r="CN5" s="412" t="s">
        <v>235</v>
      </c>
      <c r="CO5" s="412"/>
      <c r="CP5" s="460" t="s">
        <v>14</v>
      </c>
      <c r="CQ5" s="460"/>
      <c r="CR5" s="479" t="s">
        <v>108</v>
      </c>
      <c r="CS5" s="480"/>
      <c r="CT5" s="506"/>
      <c r="CU5" s="531" t="s">
        <v>1241</v>
      </c>
      <c r="CV5" s="532"/>
      <c r="CW5" s="532"/>
      <c r="CX5" s="532"/>
      <c r="CY5" s="532" t="s">
        <v>1240</v>
      </c>
      <c r="CZ5" s="532"/>
      <c r="DA5" s="532"/>
      <c r="DB5" s="532"/>
      <c r="DC5" s="532"/>
    </row>
    <row r="6" spans="1:134" s="358" customFormat="1" ht="24" customHeight="1" thickBot="1">
      <c r="A6" s="379" t="s">
        <v>15</v>
      </c>
      <c r="B6" s="29" t="s">
        <v>69</v>
      </c>
      <c r="C6" s="29" t="s">
        <v>16</v>
      </c>
      <c r="D6" s="29" t="s">
        <v>17</v>
      </c>
      <c r="E6" s="29" t="s">
        <v>18</v>
      </c>
      <c r="F6" s="29" t="s">
        <v>19</v>
      </c>
      <c r="G6" s="29" t="s">
        <v>70</v>
      </c>
      <c r="H6" s="29" t="s">
        <v>20</v>
      </c>
      <c r="I6" s="378" t="s">
        <v>1239</v>
      </c>
      <c r="J6" s="370" t="s">
        <v>21</v>
      </c>
      <c r="K6" s="29" t="s">
        <v>73</v>
      </c>
      <c r="L6" s="29" t="s">
        <v>22</v>
      </c>
      <c r="M6" s="29" t="s">
        <v>74</v>
      </c>
      <c r="N6" s="29" t="s">
        <v>23</v>
      </c>
      <c r="O6" s="29" t="s">
        <v>75</v>
      </c>
      <c r="P6" s="29" t="s">
        <v>24</v>
      </c>
      <c r="Q6" s="29" t="s">
        <v>76</v>
      </c>
      <c r="R6" s="29" t="s">
        <v>25</v>
      </c>
      <c r="S6" s="29" t="s">
        <v>77</v>
      </c>
      <c r="T6" s="29" t="s">
        <v>26</v>
      </c>
      <c r="U6" s="29" t="s">
        <v>78</v>
      </c>
      <c r="V6" s="29" t="s">
        <v>27</v>
      </c>
      <c r="W6" s="29" t="s">
        <v>79</v>
      </c>
      <c r="X6" s="29" t="s">
        <v>28</v>
      </c>
      <c r="Y6" s="29" t="s">
        <v>80</v>
      </c>
      <c r="Z6" s="30" t="s">
        <v>29</v>
      </c>
      <c r="AA6" s="30" t="s">
        <v>81</v>
      </c>
      <c r="AB6" s="377" t="s">
        <v>110</v>
      </c>
      <c r="AC6" s="33" t="s">
        <v>111</v>
      </c>
      <c r="AD6" s="30" t="s">
        <v>1238</v>
      </c>
      <c r="AE6" s="30" t="s">
        <v>1237</v>
      </c>
      <c r="AF6" s="30" t="s">
        <v>1236</v>
      </c>
      <c r="AG6" s="30" t="s">
        <v>1235</v>
      </c>
      <c r="AH6" s="34" t="s">
        <v>30</v>
      </c>
      <c r="AI6" s="370" t="s">
        <v>31</v>
      </c>
      <c r="AJ6" s="29" t="s">
        <v>82</v>
      </c>
      <c r="AK6" s="29" t="s">
        <v>32</v>
      </c>
      <c r="AL6" s="29" t="s">
        <v>83</v>
      </c>
      <c r="AM6" s="29" t="s">
        <v>33</v>
      </c>
      <c r="AN6" s="29" t="s">
        <v>84</v>
      </c>
      <c r="AO6" s="29" t="s">
        <v>34</v>
      </c>
      <c r="AP6" s="29" t="s">
        <v>85</v>
      </c>
      <c r="AQ6" s="29" t="s">
        <v>35</v>
      </c>
      <c r="AR6" s="29" t="s">
        <v>86</v>
      </c>
      <c r="AS6" s="29" t="s">
        <v>36</v>
      </c>
      <c r="AT6" s="29" t="s">
        <v>87</v>
      </c>
      <c r="AU6" s="29" t="s">
        <v>37</v>
      </c>
      <c r="AV6" s="29" t="s">
        <v>88</v>
      </c>
      <c r="AW6" s="29" t="s">
        <v>38</v>
      </c>
      <c r="AX6" s="29" t="s">
        <v>89</v>
      </c>
      <c r="AY6" s="29" t="s">
        <v>39</v>
      </c>
      <c r="AZ6" s="374" t="s">
        <v>90</v>
      </c>
      <c r="BA6" s="29" t="s">
        <v>40</v>
      </c>
      <c r="BB6" s="29" t="s">
        <v>91</v>
      </c>
      <c r="BC6" s="376" t="s">
        <v>1234</v>
      </c>
      <c r="BD6" s="375" t="s">
        <v>1233</v>
      </c>
      <c r="BE6" s="36" t="s">
        <v>112</v>
      </c>
      <c r="BF6" s="36" t="s">
        <v>113</v>
      </c>
      <c r="BG6" s="29" t="s">
        <v>1232</v>
      </c>
      <c r="BH6" s="374" t="s">
        <v>1231</v>
      </c>
      <c r="BI6" s="29" t="s">
        <v>1230</v>
      </c>
      <c r="BJ6" s="29" t="s">
        <v>1229</v>
      </c>
      <c r="BK6" s="29" t="s">
        <v>1228</v>
      </c>
      <c r="BL6" s="373" t="s">
        <v>1227</v>
      </c>
      <c r="BM6" s="372" t="s">
        <v>41</v>
      </c>
      <c r="BN6" s="367" t="s">
        <v>42</v>
      </c>
      <c r="BO6" s="371" t="s">
        <v>92</v>
      </c>
      <c r="BP6" s="370" t="s">
        <v>43</v>
      </c>
      <c r="BQ6" s="29" t="s">
        <v>93</v>
      </c>
      <c r="BR6" s="29" t="s">
        <v>44</v>
      </c>
      <c r="BS6" s="29" t="s">
        <v>94</v>
      </c>
      <c r="BT6" s="31" t="s">
        <v>45</v>
      </c>
      <c r="BU6" s="31" t="s">
        <v>95</v>
      </c>
      <c r="BV6" s="29" t="s">
        <v>46</v>
      </c>
      <c r="BW6" s="29" t="s">
        <v>96</v>
      </c>
      <c r="BX6" s="29" t="s">
        <v>47</v>
      </c>
      <c r="BY6" s="29" t="s">
        <v>97</v>
      </c>
      <c r="BZ6" s="29" t="s">
        <v>48</v>
      </c>
      <c r="CA6" s="29" t="s">
        <v>98</v>
      </c>
      <c r="CB6" s="29" t="s">
        <v>49</v>
      </c>
      <c r="CC6" s="29" t="s">
        <v>99</v>
      </c>
      <c r="CD6" s="369" t="s">
        <v>50</v>
      </c>
      <c r="CE6" s="368" t="s">
        <v>100</v>
      </c>
      <c r="CF6" s="367" t="s">
        <v>51</v>
      </c>
      <c r="CG6" s="31" t="s">
        <v>101</v>
      </c>
      <c r="CH6" s="31" t="s">
        <v>52</v>
      </c>
      <c r="CI6" s="35" t="s">
        <v>102</v>
      </c>
      <c r="CJ6" s="366" t="s">
        <v>53</v>
      </c>
      <c r="CK6" s="365" t="s">
        <v>103</v>
      </c>
      <c r="CL6" s="364" t="s">
        <v>54</v>
      </c>
      <c r="CM6" s="31" t="s">
        <v>104</v>
      </c>
      <c r="CN6" s="31" t="s">
        <v>55</v>
      </c>
      <c r="CO6" s="31" t="s">
        <v>105</v>
      </c>
      <c r="CP6" s="363" t="s">
        <v>56</v>
      </c>
      <c r="CQ6" s="363" t="s">
        <v>106</v>
      </c>
      <c r="CR6" s="362" t="s">
        <v>114</v>
      </c>
      <c r="CS6" s="361" t="s">
        <v>115</v>
      </c>
      <c r="CT6" s="360" t="s">
        <v>57</v>
      </c>
      <c r="CU6" s="359" t="s">
        <v>287</v>
      </c>
      <c r="CV6" s="29" t="s">
        <v>1226</v>
      </c>
      <c r="CW6" s="29" t="s">
        <v>1225</v>
      </c>
      <c r="CX6" s="29" t="s">
        <v>288</v>
      </c>
      <c r="CY6" s="29" t="s">
        <v>1224</v>
      </c>
      <c r="CZ6" s="29" t="s">
        <v>1223</v>
      </c>
      <c r="DA6" s="29" t="s">
        <v>1222</v>
      </c>
      <c r="DB6" s="29" t="s">
        <v>1221</v>
      </c>
      <c r="DC6" s="29" t="s">
        <v>1220</v>
      </c>
    </row>
    <row r="7" spans="1:134" s="10" customFormat="1" ht="24" customHeight="1">
      <c r="A7" s="321">
        <v>1</v>
      </c>
      <c r="B7" s="183">
        <v>32100</v>
      </c>
      <c r="C7" s="183">
        <v>43752</v>
      </c>
      <c r="D7" s="182">
        <v>31</v>
      </c>
      <c r="E7" s="3" t="s">
        <v>61</v>
      </c>
      <c r="F7" s="143" t="s">
        <v>116</v>
      </c>
      <c r="G7" s="142">
        <v>38.1253024802282</v>
      </c>
      <c r="H7" s="11" t="s">
        <v>59</v>
      </c>
      <c r="I7" s="281" t="s">
        <v>60</v>
      </c>
      <c r="J7" s="260">
        <v>5</v>
      </c>
      <c r="K7" s="260">
        <v>10</v>
      </c>
      <c r="L7" s="260"/>
      <c r="M7" s="260"/>
      <c r="N7" s="260"/>
      <c r="O7" s="260"/>
      <c r="P7" s="260"/>
      <c r="Q7" s="260"/>
      <c r="R7" s="260"/>
      <c r="S7" s="260"/>
      <c r="T7" s="260"/>
      <c r="U7" s="260"/>
      <c r="V7" s="260">
        <v>5</v>
      </c>
      <c r="W7" s="260">
        <v>160</v>
      </c>
      <c r="X7" s="260">
        <v>40</v>
      </c>
      <c r="Y7" s="260">
        <v>160</v>
      </c>
      <c r="Z7" s="260">
        <v>40</v>
      </c>
      <c r="AA7" s="260">
        <v>160</v>
      </c>
      <c r="AB7" s="260">
        <v>40</v>
      </c>
      <c r="AC7" s="260">
        <v>80</v>
      </c>
      <c r="AD7" s="260"/>
      <c r="AE7" s="260"/>
      <c r="AF7" s="260"/>
      <c r="AG7" s="260"/>
      <c r="AH7" s="32">
        <v>1</v>
      </c>
      <c r="AI7" s="272">
        <v>40</v>
      </c>
      <c r="AJ7" s="271">
        <v>80</v>
      </c>
      <c r="AK7" s="260"/>
      <c r="AL7" s="260"/>
      <c r="AM7" s="260"/>
      <c r="AN7" s="260"/>
      <c r="AO7" s="260"/>
      <c r="AP7" s="260"/>
      <c r="AQ7" s="260"/>
      <c r="AR7" s="260"/>
      <c r="AS7" s="260"/>
      <c r="AT7" s="260"/>
      <c r="AU7" s="260">
        <v>80</v>
      </c>
      <c r="AV7" s="271">
        <v>640</v>
      </c>
      <c r="AW7" s="260">
        <v>40</v>
      </c>
      <c r="AX7" s="271">
        <v>1280</v>
      </c>
      <c r="AY7" s="260">
        <v>10</v>
      </c>
      <c r="AZ7" s="271">
        <v>160</v>
      </c>
      <c r="BA7" s="357">
        <v>10</v>
      </c>
      <c r="BB7" s="357">
        <v>160</v>
      </c>
      <c r="BC7" s="357"/>
      <c r="BD7" s="357"/>
      <c r="BE7" s="276">
        <v>5</v>
      </c>
      <c r="BF7" s="276">
        <v>160</v>
      </c>
      <c r="BG7" s="260">
        <v>40</v>
      </c>
      <c r="BH7" s="271">
        <v>320</v>
      </c>
      <c r="BI7" s="357"/>
      <c r="BJ7" s="357"/>
      <c r="BK7" s="357"/>
      <c r="BL7" s="356"/>
      <c r="BM7" s="320">
        <v>1</v>
      </c>
      <c r="BN7" s="272">
        <v>320</v>
      </c>
      <c r="BO7" s="270">
        <v>2560</v>
      </c>
      <c r="BP7" s="272"/>
      <c r="BQ7" s="260"/>
      <c r="BR7" s="260"/>
      <c r="BS7" s="260"/>
      <c r="BT7" s="260"/>
      <c r="BU7" s="260"/>
      <c r="BV7" s="260">
        <v>320</v>
      </c>
      <c r="BW7" s="260">
        <v>1280</v>
      </c>
      <c r="BX7" s="260"/>
      <c r="BY7" s="260"/>
      <c r="BZ7" s="260"/>
      <c r="CA7" s="260"/>
      <c r="CB7" s="260"/>
      <c r="CC7" s="260"/>
      <c r="CD7" s="260">
        <v>160</v>
      </c>
      <c r="CE7" s="260">
        <v>1280</v>
      </c>
      <c r="CF7" s="272"/>
      <c r="CG7" s="260"/>
      <c r="CH7" s="260"/>
      <c r="CI7" s="260"/>
      <c r="CJ7" s="286"/>
      <c r="CK7" s="286"/>
      <c r="CL7" s="260"/>
      <c r="CM7" s="260"/>
      <c r="CN7" s="260">
        <v>40</v>
      </c>
      <c r="CO7" s="260">
        <v>320</v>
      </c>
      <c r="CP7" s="260">
        <v>40</v>
      </c>
      <c r="CQ7" s="260">
        <v>320</v>
      </c>
      <c r="CR7" s="260">
        <v>5</v>
      </c>
      <c r="CS7" s="270">
        <v>80</v>
      </c>
      <c r="CT7" s="319">
        <v>1</v>
      </c>
      <c r="CU7" s="249">
        <f>Table2821115[[#This Row],[D28 - BR/18]]/Table2821115[[#This Row],[D0 - BR/18]]</f>
        <v>2</v>
      </c>
      <c r="CV7" s="248">
        <f>Table2821115[[#This Row],[D28 - KS/17]]/Table2821115[[#This Row],[D0 - KS/17]]</f>
        <v>32</v>
      </c>
      <c r="CW7" s="248">
        <f>Table2821115[[#This Row],[D28 - Phu/13]]/Table2821115[[#This Row],[D0 - Phu/13]]</f>
        <v>8</v>
      </c>
      <c r="CX7" s="248">
        <f>Table2821115[[#This Row],[D28 - CO/17]]/Table2821115[[#This Row],[D0 - CO/17]]</f>
        <v>8</v>
      </c>
      <c r="CY7" s="248">
        <f>LOG(Table2821115[[#This Row],[BR/18 Fold]],2)</f>
        <v>1</v>
      </c>
      <c r="CZ7" s="248">
        <f>LOG(Table2821115[[#This Row],[KS/17 Fold]],2)</f>
        <v>5</v>
      </c>
      <c r="DA7" s="248">
        <f>LOG(Table2821115[[#This Row],[Phu/13 Fold]],2)</f>
        <v>3</v>
      </c>
      <c r="DB7" s="248">
        <f>LOG(Table2821115[[#This Row],[CO/17 Fold]],2)</f>
        <v>3</v>
      </c>
      <c r="DC7" s="248">
        <f>SUM(Table2821115[[#This Row],[BR/18 Log2]:[CO/17 Log2]])</f>
        <v>12</v>
      </c>
      <c r="DE7" s="484" t="s">
        <v>271</v>
      </c>
      <c r="DF7" s="482"/>
      <c r="DG7" s="481" t="s">
        <v>272</v>
      </c>
      <c r="DH7" s="482"/>
      <c r="DI7" s="482"/>
      <c r="DJ7" s="482"/>
      <c r="DK7" s="482"/>
      <c r="DL7" s="483"/>
      <c r="DM7" s="481" t="s">
        <v>273</v>
      </c>
      <c r="DN7" s="482"/>
      <c r="DO7" s="482"/>
      <c r="DP7" s="482"/>
      <c r="DQ7" s="482"/>
      <c r="DR7" s="483"/>
      <c r="DS7" s="481" t="s">
        <v>290</v>
      </c>
      <c r="DT7" s="482"/>
      <c r="DU7" s="482"/>
      <c r="DV7" s="482"/>
      <c r="DW7" s="482"/>
      <c r="DX7" s="483"/>
      <c r="DY7" s="481" t="s">
        <v>274</v>
      </c>
      <c r="DZ7" s="482"/>
      <c r="EA7" s="482"/>
      <c r="EB7" s="482"/>
      <c r="EC7" s="482"/>
      <c r="ED7" s="498"/>
    </row>
    <row r="8" spans="1:134" s="10" customFormat="1" ht="24" customHeight="1">
      <c r="A8" s="321">
        <v>5</v>
      </c>
      <c r="B8" s="183">
        <v>33566</v>
      </c>
      <c r="C8" s="183">
        <v>43775</v>
      </c>
      <c r="D8" s="182">
        <v>27</v>
      </c>
      <c r="E8" s="3" t="s">
        <v>61</v>
      </c>
      <c r="F8" s="143" t="s">
        <v>116</v>
      </c>
      <c r="G8" s="142">
        <v>28.214998286946535</v>
      </c>
      <c r="H8" s="11" t="s">
        <v>59</v>
      </c>
      <c r="I8" s="281" t="s">
        <v>60</v>
      </c>
      <c r="J8" s="260">
        <v>5</v>
      </c>
      <c r="K8" s="260">
        <v>5</v>
      </c>
      <c r="L8" s="260"/>
      <c r="M8" s="260"/>
      <c r="N8" s="260"/>
      <c r="O8" s="260"/>
      <c r="P8" s="260"/>
      <c r="Q8" s="260"/>
      <c r="R8" s="260"/>
      <c r="S8" s="260"/>
      <c r="T8" s="260"/>
      <c r="U8" s="260"/>
      <c r="V8" s="260">
        <v>5</v>
      </c>
      <c r="W8" s="260">
        <v>5</v>
      </c>
      <c r="X8" s="260">
        <v>20</v>
      </c>
      <c r="Y8" s="260">
        <v>40</v>
      </c>
      <c r="Z8" s="260">
        <v>20</v>
      </c>
      <c r="AA8" s="260">
        <v>40</v>
      </c>
      <c r="AB8" s="260">
        <v>10</v>
      </c>
      <c r="AC8" s="260">
        <v>10</v>
      </c>
      <c r="AD8" s="260"/>
      <c r="AE8" s="260"/>
      <c r="AF8" s="260"/>
      <c r="AG8" s="260"/>
      <c r="AH8" s="32">
        <v>5</v>
      </c>
      <c r="AI8" s="272">
        <v>40</v>
      </c>
      <c r="AJ8" s="271">
        <v>80</v>
      </c>
      <c r="AK8" s="260"/>
      <c r="AL8" s="260"/>
      <c r="AM8" s="260"/>
      <c r="AN8" s="260"/>
      <c r="AO8" s="260"/>
      <c r="AP8" s="260"/>
      <c r="AQ8" s="260"/>
      <c r="AR8" s="260"/>
      <c r="AS8" s="260"/>
      <c r="AT8" s="260"/>
      <c r="AU8" s="260">
        <v>160</v>
      </c>
      <c r="AV8" s="271">
        <v>320</v>
      </c>
      <c r="AW8" s="260">
        <v>80</v>
      </c>
      <c r="AX8" s="271">
        <v>160</v>
      </c>
      <c r="AY8" s="260">
        <v>80</v>
      </c>
      <c r="AZ8" s="271">
        <v>160</v>
      </c>
      <c r="BA8" s="276">
        <v>80</v>
      </c>
      <c r="BB8" s="276">
        <v>160</v>
      </c>
      <c r="BC8" s="276"/>
      <c r="BD8" s="276"/>
      <c r="BE8" s="276">
        <v>5</v>
      </c>
      <c r="BF8" s="276">
        <v>20</v>
      </c>
      <c r="BG8" s="260">
        <v>160</v>
      </c>
      <c r="BH8" s="271">
        <v>160</v>
      </c>
      <c r="BI8" s="276"/>
      <c r="BJ8" s="276"/>
      <c r="BK8" s="276"/>
      <c r="BL8" s="275"/>
      <c r="BM8" s="320">
        <v>5</v>
      </c>
      <c r="BN8" s="272">
        <v>20</v>
      </c>
      <c r="BO8" s="270">
        <v>40</v>
      </c>
      <c r="BP8" s="272"/>
      <c r="BQ8" s="260"/>
      <c r="BR8" s="260"/>
      <c r="BS8" s="260"/>
      <c r="BT8" s="260"/>
      <c r="BU8" s="260"/>
      <c r="BV8" s="260">
        <v>40</v>
      </c>
      <c r="BW8" s="260">
        <v>80</v>
      </c>
      <c r="BX8" s="260"/>
      <c r="BY8" s="260"/>
      <c r="BZ8" s="260"/>
      <c r="CA8" s="260"/>
      <c r="CB8" s="260"/>
      <c r="CC8" s="260"/>
      <c r="CD8" s="260">
        <v>40</v>
      </c>
      <c r="CE8" s="260">
        <v>80</v>
      </c>
      <c r="CF8" s="272"/>
      <c r="CG8" s="260"/>
      <c r="CH8" s="260"/>
      <c r="CI8" s="260"/>
      <c r="CJ8" s="260"/>
      <c r="CK8" s="260"/>
      <c r="CL8" s="260"/>
      <c r="CM8" s="260"/>
      <c r="CN8" s="260">
        <v>20</v>
      </c>
      <c r="CO8" s="260">
        <v>10</v>
      </c>
      <c r="CP8" s="260">
        <v>5</v>
      </c>
      <c r="CQ8" s="260">
        <v>10</v>
      </c>
      <c r="CR8" s="260">
        <v>5</v>
      </c>
      <c r="CS8" s="270">
        <v>5</v>
      </c>
      <c r="CT8" s="319">
        <v>5</v>
      </c>
      <c r="CU8" s="249">
        <f>Table2821115[[#This Row],[D28 - BR/18]]/Table2821115[[#This Row],[D0 - BR/18]]</f>
        <v>1</v>
      </c>
      <c r="CV8" s="248">
        <f>Table2821115[[#This Row],[D28 - KS/17]]/Table2821115[[#This Row],[D0 - KS/17]]</f>
        <v>4</v>
      </c>
      <c r="CW8" s="248">
        <f>Table2821115[[#This Row],[D28 - Phu/13]]/Table2821115[[#This Row],[D0 - Phu/13]]</f>
        <v>2</v>
      </c>
      <c r="CX8" s="248">
        <f>Table2821115[[#This Row],[D28 - CO/17]]/Table2821115[[#This Row],[D0 - CO/17]]</f>
        <v>2</v>
      </c>
      <c r="CY8" s="248">
        <f>LOG(Table2821115[[#This Row],[BR/18 Fold]],2)</f>
        <v>0</v>
      </c>
      <c r="CZ8" s="248">
        <f>LOG(Table2821115[[#This Row],[KS/17 Fold]],2)</f>
        <v>2</v>
      </c>
      <c r="DA8" s="248">
        <f>LOG(Table2821115[[#This Row],[Phu/13 Fold]],2)</f>
        <v>1</v>
      </c>
      <c r="DB8" s="248">
        <f>LOG(Table2821115[[#This Row],[CO/17 Fold]],2)</f>
        <v>1</v>
      </c>
      <c r="DC8" s="248">
        <f>SUM(Table2821115[[#This Row],[BR/18 Log2]:[CO/17 Log2]])</f>
        <v>4</v>
      </c>
      <c r="DE8" s="52" t="s">
        <v>65</v>
      </c>
      <c r="DF8" s="51" t="s">
        <v>17</v>
      </c>
      <c r="DG8" s="354" t="s">
        <v>275</v>
      </c>
      <c r="DH8" s="353" t="s">
        <v>276</v>
      </c>
      <c r="DI8" s="353" t="s">
        <v>277</v>
      </c>
      <c r="DJ8" s="353" t="s">
        <v>285</v>
      </c>
      <c r="DK8" s="353" t="s">
        <v>286</v>
      </c>
      <c r="DL8" s="355" t="s">
        <v>284</v>
      </c>
      <c r="DM8" s="354" t="s">
        <v>275</v>
      </c>
      <c r="DN8" s="353" t="s">
        <v>276</v>
      </c>
      <c r="DO8" s="353" t="s">
        <v>277</v>
      </c>
      <c r="DP8" s="353" t="s">
        <v>285</v>
      </c>
      <c r="DQ8" s="353" t="s">
        <v>286</v>
      </c>
      <c r="DR8" s="355" t="s">
        <v>284</v>
      </c>
      <c r="DS8" s="354" t="s">
        <v>275</v>
      </c>
      <c r="DT8" s="353" t="s">
        <v>276</v>
      </c>
      <c r="DU8" s="353" t="s">
        <v>277</v>
      </c>
      <c r="DV8" s="353" t="s">
        <v>285</v>
      </c>
      <c r="DW8" s="353" t="s">
        <v>286</v>
      </c>
      <c r="DX8" s="355" t="s">
        <v>284</v>
      </c>
      <c r="DY8" s="354" t="s">
        <v>275</v>
      </c>
      <c r="DZ8" s="353" t="s">
        <v>276</v>
      </c>
      <c r="EA8" s="353" t="s">
        <v>277</v>
      </c>
      <c r="EB8" s="353" t="s">
        <v>285</v>
      </c>
      <c r="EC8" s="353" t="s">
        <v>286</v>
      </c>
      <c r="ED8" s="352" t="s">
        <v>284</v>
      </c>
    </row>
    <row r="9" spans="1:134" s="10" customFormat="1" ht="24" customHeight="1">
      <c r="A9" s="324">
        <v>8</v>
      </c>
      <c r="B9" s="190">
        <v>25772</v>
      </c>
      <c r="C9" s="190">
        <v>43741</v>
      </c>
      <c r="D9" s="189">
        <v>49</v>
      </c>
      <c r="E9" s="3" t="s">
        <v>61</v>
      </c>
      <c r="F9" s="143" t="s">
        <v>117</v>
      </c>
      <c r="G9" s="142">
        <v>39.682273349620118</v>
      </c>
      <c r="H9" s="11" t="s">
        <v>59</v>
      </c>
      <c r="I9" s="281" t="s">
        <v>60</v>
      </c>
      <c r="J9" s="260">
        <v>5</v>
      </c>
      <c r="K9" s="260">
        <v>5</v>
      </c>
      <c r="L9" s="260"/>
      <c r="M9" s="260"/>
      <c r="N9" s="260"/>
      <c r="O9" s="260"/>
      <c r="P9" s="260"/>
      <c r="Q9" s="260"/>
      <c r="R9" s="260"/>
      <c r="S9" s="260"/>
      <c r="T9" s="260"/>
      <c r="U9" s="260"/>
      <c r="V9" s="260">
        <v>5</v>
      </c>
      <c r="W9" s="260">
        <v>40</v>
      </c>
      <c r="X9" s="260">
        <v>40</v>
      </c>
      <c r="Y9" s="260">
        <v>160</v>
      </c>
      <c r="Z9" s="260">
        <v>40</v>
      </c>
      <c r="AA9" s="260">
        <v>160</v>
      </c>
      <c r="AB9" s="260">
        <v>40</v>
      </c>
      <c r="AC9" s="260">
        <v>80</v>
      </c>
      <c r="AD9" s="260"/>
      <c r="AE9" s="260"/>
      <c r="AF9" s="260"/>
      <c r="AG9" s="260"/>
      <c r="AH9" s="198">
        <v>8</v>
      </c>
      <c r="AI9" s="272">
        <v>10</v>
      </c>
      <c r="AJ9" s="271">
        <v>40</v>
      </c>
      <c r="AK9" s="260"/>
      <c r="AL9" s="260"/>
      <c r="AM9" s="260"/>
      <c r="AN9" s="260"/>
      <c r="AO9" s="260"/>
      <c r="AP9" s="260"/>
      <c r="AQ9" s="260"/>
      <c r="AR9" s="260"/>
      <c r="AS9" s="260"/>
      <c r="AT9" s="260"/>
      <c r="AU9" s="260">
        <v>40</v>
      </c>
      <c r="AV9" s="271">
        <v>160</v>
      </c>
      <c r="AW9" s="260">
        <v>20</v>
      </c>
      <c r="AX9" s="271">
        <v>80</v>
      </c>
      <c r="AY9" s="260">
        <v>40</v>
      </c>
      <c r="AZ9" s="271">
        <v>160</v>
      </c>
      <c r="BA9" s="276">
        <v>40</v>
      </c>
      <c r="BB9" s="276">
        <v>160</v>
      </c>
      <c r="BC9" s="276"/>
      <c r="BD9" s="276"/>
      <c r="BE9" s="276">
        <v>5</v>
      </c>
      <c r="BF9" s="276">
        <v>80</v>
      </c>
      <c r="BG9" s="260">
        <v>40</v>
      </c>
      <c r="BH9" s="271">
        <v>160</v>
      </c>
      <c r="BI9" s="276"/>
      <c r="BJ9" s="276"/>
      <c r="BK9" s="276"/>
      <c r="BL9" s="275"/>
      <c r="BM9" s="323">
        <v>8</v>
      </c>
      <c r="BN9" s="272">
        <v>40</v>
      </c>
      <c r="BO9" s="270">
        <v>80</v>
      </c>
      <c r="BP9" s="272"/>
      <c r="BQ9" s="260"/>
      <c r="BR9" s="260"/>
      <c r="BS9" s="260"/>
      <c r="BT9" s="260"/>
      <c r="BU9" s="260"/>
      <c r="BV9" s="260">
        <v>5</v>
      </c>
      <c r="BW9" s="260">
        <v>40</v>
      </c>
      <c r="BX9" s="260"/>
      <c r="BY9" s="260"/>
      <c r="BZ9" s="260"/>
      <c r="CA9" s="260"/>
      <c r="CB9" s="260"/>
      <c r="CC9" s="260"/>
      <c r="CD9" s="260">
        <v>20</v>
      </c>
      <c r="CE9" s="260">
        <v>40</v>
      </c>
      <c r="CF9" s="272"/>
      <c r="CG9" s="260"/>
      <c r="CH9" s="260"/>
      <c r="CI9" s="260"/>
      <c r="CJ9" s="260"/>
      <c r="CK9" s="260"/>
      <c r="CL9" s="260"/>
      <c r="CM9" s="260"/>
      <c r="CN9" s="260">
        <v>80</v>
      </c>
      <c r="CO9" s="260">
        <v>40</v>
      </c>
      <c r="CP9" s="260">
        <v>40</v>
      </c>
      <c r="CQ9" s="260">
        <v>80</v>
      </c>
      <c r="CR9" s="260">
        <v>40</v>
      </c>
      <c r="CS9" s="270">
        <v>80</v>
      </c>
      <c r="CT9" s="322">
        <v>8</v>
      </c>
      <c r="CU9" s="249">
        <f>Table2821115[[#This Row],[D28 - BR/18]]/Table2821115[[#This Row],[D0 - BR/18]]</f>
        <v>2</v>
      </c>
      <c r="CV9" s="248">
        <f>Table2821115[[#This Row],[D28 - KS/17]]/Table2821115[[#This Row],[D0 - KS/17]]</f>
        <v>16</v>
      </c>
      <c r="CW9" s="248">
        <f>Table2821115[[#This Row],[D28 - Phu/13]]/Table2821115[[#This Row],[D0 - Phu/13]]</f>
        <v>2</v>
      </c>
      <c r="CX9" s="248">
        <f>Table2821115[[#This Row],[D28 - CO/17]]/Table2821115[[#This Row],[D0 - CO/17]]</f>
        <v>2</v>
      </c>
      <c r="CY9" s="248">
        <f>LOG(Table2821115[[#This Row],[BR/18 Fold]],2)</f>
        <v>1</v>
      </c>
      <c r="CZ9" s="248">
        <f>LOG(Table2821115[[#This Row],[KS/17 Fold]],2)</f>
        <v>4</v>
      </c>
      <c r="DA9" s="248">
        <f>LOG(Table2821115[[#This Row],[Phu/13 Fold]],2)</f>
        <v>1</v>
      </c>
      <c r="DB9" s="248">
        <f>LOG(Table2821115[[#This Row],[CO/17 Fold]],2)</f>
        <v>1</v>
      </c>
      <c r="DC9" s="248">
        <f>SUM(Table2821115[[#This Row],[BR/18 Log2]:[CO/17 Log2]])</f>
        <v>7</v>
      </c>
      <c r="DE9" s="348">
        <f>COUNTIF($D$7:$D$467,"&lt;15")</f>
        <v>36</v>
      </c>
      <c r="DF9" s="351" t="s">
        <v>71</v>
      </c>
      <c r="DG9" s="40">
        <f>AVERAGEIFS($AB$7:$AB$467,$D$7:$D$467,"&lt;15")</f>
        <v>174.58333333333334</v>
      </c>
      <c r="DH9" s="233">
        <f>AVERAGEIFS($AC$7:$AC$467,$D$7:$D$467,"&lt;15")</f>
        <v>191.25</v>
      </c>
      <c r="DI9" s="224">
        <f t="shared" ref="DI9:DI17" si="0">LOG(DH9,2)/LOG(DG9,2)</f>
        <v>1.0176621826261987</v>
      </c>
      <c r="DJ9" s="47">
        <f>(COUNTIFS($AB$7:$AB$467,"&gt;=40",$D$7:$D$467,"&lt;15"))/$DE9</f>
        <v>0.91666666666666663</v>
      </c>
      <c r="DK9" s="47">
        <f>(COUNTIFS($AC$7:$AC$467,"&gt;=40",$D$7:$D$467,"&lt;15"))/$DE9</f>
        <v>0.97222222222222221</v>
      </c>
      <c r="DL9" s="50">
        <f>(COUNTIFS(Table2821115[BR/18 Fold],"&gt;=4",$AC$7:$AC$467,"&gt;=40",$D$7:$D$467,"&lt;15"))/$DE9</f>
        <v>0.1111111111111111</v>
      </c>
      <c r="DM9" s="40">
        <f>AVERAGEIFS($BE$7:$BE$467,$D$7:$D$467,"&lt;15")</f>
        <v>80.972222222222229</v>
      </c>
      <c r="DN9" s="233">
        <f>AVERAGEIFS($BF$7:$BF$467,$D$7:$D$467,"&lt;15")</f>
        <v>381.94444444444446</v>
      </c>
      <c r="DO9" s="224">
        <f t="shared" ref="DO9:DO17" si="1">LOG(DN9,2)/LOG(DM9,2)</f>
        <v>1.3530112718519678</v>
      </c>
      <c r="DP9" s="47">
        <f>(COUNTIFS($BE$7:$BE$467,"&gt;=40",$D$7:$D$467,"&lt;15"))/$DE9</f>
        <v>0.58333333333333337</v>
      </c>
      <c r="DQ9" s="47">
        <f>(COUNTIFS($BF$7:$BF$467,"&gt;=40",$D$7:$D$467,"&lt;15"))/$DE9</f>
        <v>0.91666666666666663</v>
      </c>
      <c r="DR9" s="50">
        <f>(COUNTIFS(Table2821115[KS/17 Fold],"&gt;=4",$BF$7:$BF$467,"&gt;=40",$D$7:$D$467,"&lt;15"))/$DE9</f>
        <v>0.52777777777777779</v>
      </c>
      <c r="DS9" s="40">
        <f>AVERAGEIFS($CD$7:$CD$467,$D$7:$D$467,"&lt;15")</f>
        <v>85.277777777777771</v>
      </c>
      <c r="DT9" s="233">
        <f>AVERAGEIFS($CE$7:$CE$467,$D$7:$D$467,"&lt;15")</f>
        <v>161.66666666666666</v>
      </c>
      <c r="DU9" s="224">
        <f t="shared" ref="DU9:DU17" si="2">LOG(DT9,2)/LOG(DS9,2)</f>
        <v>1.1438675408982846</v>
      </c>
      <c r="DV9" s="47">
        <f>(COUNTIFS($CD$7:$CD$467,"&gt;=40",$D$7:$D$467,"&lt;15"))/$DE9</f>
        <v>0.86111111111111116</v>
      </c>
      <c r="DW9" s="47">
        <f>(COUNTIFS($CE$7:$CE$467,"&gt;=40",$D$7:$D$467,"&lt;15"))/$DE9</f>
        <v>0.97222222222222221</v>
      </c>
      <c r="DX9" s="50">
        <f>(COUNTIFS(Table2821115[Phu/13 Fold],"&gt;=4",$CE$7:$CE$467,"&gt;=40",$D$7:$D$467,"&lt;15"))/$DE9</f>
        <v>0.22222222222222221</v>
      </c>
      <c r="DY9" s="40">
        <f>AVERAGEIFS($CP$7:$CP$467,$D$7:$D$467,"&lt;15")</f>
        <v>81.666666666666671</v>
      </c>
      <c r="DZ9" s="233">
        <f>AVERAGEIFS($CQ$7:$CQ$467,$D$7:$D$467,"&lt;15")</f>
        <v>123.05555555555556</v>
      </c>
      <c r="EA9" s="224">
        <f t="shared" ref="EA9:EA17" si="3">LOG(DZ9,2)/LOG(DY9,2)</f>
        <v>1.093123546608467</v>
      </c>
      <c r="EB9" s="47">
        <f>(COUNTIFS($CP$7:$CP$467,"&gt;=40",$D$7:$D$467,"&lt;15"))/$DE9</f>
        <v>0.75</v>
      </c>
      <c r="EC9" s="47">
        <f>(COUNTIFS($CQ$7:$CQ$467,"&gt;=40",$D$7:$D$467,"&lt;15"))/$DE9</f>
        <v>0.88888888888888884</v>
      </c>
      <c r="ED9" s="53">
        <f>(COUNTIFS(Table2821115[CO/17 Fold],"&gt;=4",$D$7:$D$467,"&lt;15"))/$DE9</f>
        <v>0.25</v>
      </c>
    </row>
    <row r="10" spans="1:134" s="10" customFormat="1" ht="24" customHeight="1">
      <c r="A10" s="321">
        <v>11</v>
      </c>
      <c r="B10" s="183">
        <v>33298</v>
      </c>
      <c r="C10" s="183">
        <v>43844</v>
      </c>
      <c r="D10" s="182">
        <v>28</v>
      </c>
      <c r="E10" s="3" t="s">
        <v>61</v>
      </c>
      <c r="F10" s="143" t="s">
        <v>116</v>
      </c>
      <c r="G10" s="142">
        <v>38.933871319665606</v>
      </c>
      <c r="H10" s="11" t="s">
        <v>59</v>
      </c>
      <c r="I10" s="281" t="s">
        <v>60</v>
      </c>
      <c r="J10" s="260">
        <v>5</v>
      </c>
      <c r="K10" s="260">
        <v>5</v>
      </c>
      <c r="L10" s="260"/>
      <c r="M10" s="260"/>
      <c r="N10" s="260"/>
      <c r="O10" s="260"/>
      <c r="P10" s="260"/>
      <c r="Q10" s="260"/>
      <c r="R10" s="260"/>
      <c r="S10" s="260"/>
      <c r="T10" s="260"/>
      <c r="U10" s="260"/>
      <c r="V10" s="260">
        <v>5</v>
      </c>
      <c r="W10" s="260">
        <v>5</v>
      </c>
      <c r="X10" s="260">
        <v>320</v>
      </c>
      <c r="Y10" s="260">
        <v>320</v>
      </c>
      <c r="Z10" s="260">
        <v>160</v>
      </c>
      <c r="AA10" s="260">
        <v>320</v>
      </c>
      <c r="AB10" s="260">
        <v>160</v>
      </c>
      <c r="AC10" s="260">
        <v>160</v>
      </c>
      <c r="AD10" s="260"/>
      <c r="AE10" s="260"/>
      <c r="AF10" s="260"/>
      <c r="AG10" s="260"/>
      <c r="AH10" s="32">
        <v>11</v>
      </c>
      <c r="AI10" s="272">
        <v>320</v>
      </c>
      <c r="AJ10" s="271">
        <v>320</v>
      </c>
      <c r="AK10" s="260"/>
      <c r="AL10" s="260"/>
      <c r="AM10" s="260"/>
      <c r="AN10" s="260"/>
      <c r="AO10" s="260"/>
      <c r="AP10" s="260"/>
      <c r="AQ10" s="260"/>
      <c r="AR10" s="260"/>
      <c r="AS10" s="260"/>
      <c r="AT10" s="260"/>
      <c r="AU10" s="260">
        <v>160</v>
      </c>
      <c r="AV10" s="271">
        <v>160</v>
      </c>
      <c r="AW10" s="260">
        <v>40</v>
      </c>
      <c r="AX10" s="271">
        <v>80</v>
      </c>
      <c r="AY10" s="260">
        <v>40</v>
      </c>
      <c r="AZ10" s="271">
        <v>40</v>
      </c>
      <c r="BA10" s="276">
        <v>40</v>
      </c>
      <c r="BB10" s="276">
        <v>40</v>
      </c>
      <c r="BC10" s="276"/>
      <c r="BD10" s="276"/>
      <c r="BE10" s="276">
        <v>10</v>
      </c>
      <c r="BF10" s="276">
        <v>20</v>
      </c>
      <c r="BG10" s="260">
        <v>80</v>
      </c>
      <c r="BH10" s="271">
        <v>40</v>
      </c>
      <c r="BI10" s="276"/>
      <c r="BJ10" s="276"/>
      <c r="BK10" s="276"/>
      <c r="BL10" s="275"/>
      <c r="BM10" s="320">
        <v>11</v>
      </c>
      <c r="BN10" s="272">
        <v>640</v>
      </c>
      <c r="BO10" s="270">
        <v>640</v>
      </c>
      <c r="BP10" s="272"/>
      <c r="BQ10" s="260"/>
      <c r="BR10" s="260"/>
      <c r="BS10" s="260"/>
      <c r="BT10" s="260"/>
      <c r="BU10" s="260"/>
      <c r="BV10" s="260">
        <v>640</v>
      </c>
      <c r="BW10" s="260">
        <v>640</v>
      </c>
      <c r="BX10" s="260"/>
      <c r="BY10" s="260"/>
      <c r="BZ10" s="260"/>
      <c r="CA10" s="260"/>
      <c r="CB10" s="260"/>
      <c r="CC10" s="260"/>
      <c r="CD10" s="260">
        <v>640</v>
      </c>
      <c r="CE10" s="260">
        <v>640</v>
      </c>
      <c r="CF10" s="272"/>
      <c r="CG10" s="260"/>
      <c r="CH10" s="260"/>
      <c r="CI10" s="260"/>
      <c r="CJ10" s="260"/>
      <c r="CK10" s="260"/>
      <c r="CL10" s="260"/>
      <c r="CM10" s="260"/>
      <c r="CN10" s="260">
        <v>5</v>
      </c>
      <c r="CO10" s="260">
        <v>80</v>
      </c>
      <c r="CP10" s="260">
        <v>80</v>
      </c>
      <c r="CQ10" s="260">
        <v>80</v>
      </c>
      <c r="CR10" s="260">
        <v>10</v>
      </c>
      <c r="CS10" s="270">
        <v>10</v>
      </c>
      <c r="CT10" s="319">
        <v>11</v>
      </c>
      <c r="CU10" s="249">
        <f>Table2821115[[#This Row],[D28 - BR/18]]/Table2821115[[#This Row],[D0 - BR/18]]</f>
        <v>1</v>
      </c>
      <c r="CV10" s="248">
        <f>Table2821115[[#This Row],[D28 - KS/17]]/Table2821115[[#This Row],[D0 - KS/17]]</f>
        <v>2</v>
      </c>
      <c r="CW10" s="248">
        <f>Table2821115[[#This Row],[D28 - Phu/13]]/Table2821115[[#This Row],[D0 - Phu/13]]</f>
        <v>1</v>
      </c>
      <c r="CX10" s="248">
        <f>Table2821115[[#This Row],[D28 - CO/17]]/Table2821115[[#This Row],[D0 - CO/17]]</f>
        <v>1</v>
      </c>
      <c r="CY10" s="248">
        <f>LOG(Table2821115[[#This Row],[BR/18 Fold]],2)</f>
        <v>0</v>
      </c>
      <c r="CZ10" s="248">
        <f>LOG(Table2821115[[#This Row],[KS/17 Fold]],2)</f>
        <v>1</v>
      </c>
      <c r="DA10" s="248">
        <f>LOG(Table2821115[[#This Row],[Phu/13 Fold]],2)</f>
        <v>0</v>
      </c>
      <c r="DB10" s="248">
        <f>LOG(Table2821115[[#This Row],[CO/17 Fold]],2)</f>
        <v>0</v>
      </c>
      <c r="DC10" s="248">
        <f>SUM(Table2821115[[#This Row],[BR/18 Log2]:[CO/17 Log2]])</f>
        <v>1</v>
      </c>
      <c r="DE10" s="38">
        <f>COUNTIFS($D$7:$D$467,"&gt;14",$D$7:$D$467,"&lt;18")</f>
        <v>63</v>
      </c>
      <c r="DF10" s="350" t="s">
        <v>72</v>
      </c>
      <c r="DG10" s="39">
        <f>AVERAGEIFS($AB$7:$AB$467,$D$7:$D$467,"&gt;14",$D$7:$D$467,"&lt;18")</f>
        <v>121.58730158730158</v>
      </c>
      <c r="DH10" s="345">
        <f>AVERAGEIFS($AC$7:$AC$467,$D$7:$D$467,"&gt;14",$D$7:$D$467,"&lt;18")</f>
        <v>151.74603174603175</v>
      </c>
      <c r="DI10" s="338">
        <f t="shared" si="0"/>
        <v>1.0461555308875183</v>
      </c>
      <c r="DJ10" s="46">
        <f>(COUNTIFS($AB$7:$AB$467,"&gt;=40",$D$7:$D$467,"&gt;14",$D$7:$D$467,"&lt;18"))/$DE10</f>
        <v>0.95238095238095233</v>
      </c>
      <c r="DK10" s="46">
        <f>(COUNTIFS($AC$7:$AC$467,"&gt;=40",$D$7:$D$467,"&gt;14",$D$7:$D$467,"&lt;18"))/$DE10</f>
        <v>0.96825396825396826</v>
      </c>
      <c r="DL10" s="49">
        <f>(COUNTIFS(Table2821115[BR/18 Fold],"&gt;=4",$AC$7:$AC$467,"&gt;=40",$D$7:$D$467,"&gt;14",$D$7:$D$467,"&lt;18"))/$DE10</f>
        <v>0</v>
      </c>
      <c r="DM10" s="39">
        <f>AVERAGEIFS($BE$7:$BE$467,$D$7:$D$467,"&gt;14",$D$7:$D$467,"&lt;18")</f>
        <v>76.666666666666671</v>
      </c>
      <c r="DN10" s="345">
        <f>AVERAGEIFS($BF$7:$BF$467,$D$7:$D$467,"&gt;14",$D$7:$D$467,"&lt;18")</f>
        <v>234.12698412698413</v>
      </c>
      <c r="DO10" s="338">
        <f t="shared" si="1"/>
        <v>1.2572658370049608</v>
      </c>
      <c r="DP10" s="46">
        <f>(COUNTIFS($BE$7:$BE$467,"&gt;=40",$D$7:$D$467,"&gt;14",$D$7:$D$467,"&lt;18"))/$DE10</f>
        <v>0.61904761904761907</v>
      </c>
      <c r="DQ10" s="46">
        <f>(COUNTIFS($BF$7:$BF$467,"&gt;=40",$D$7:$D$467,"&gt;14",$D$7:$D$467,"&lt;18"))/$DE10</f>
        <v>0.90476190476190477</v>
      </c>
      <c r="DR10" s="49">
        <f>(COUNTIFS(Table2821115[KS/17 Fold],"&gt;=4",$BF$7:$BF$467,"&gt;=40",$D$7:$D$467,"&gt;14",$D$7:$D$467,"&lt;18"))/$DE10</f>
        <v>0.46031746031746029</v>
      </c>
      <c r="DS10" s="39">
        <f>AVERAGEIFS($CD$7:$CD$467,$D$7:$D$467,"&gt;14",$D$7:$D$467,"&lt;18")</f>
        <v>115.71428571428571</v>
      </c>
      <c r="DT10" s="345">
        <f>AVERAGEIFS($CE$7:$CE$467,$D$7:$D$467,"&gt;14",$D$7:$D$467,"&lt;18")</f>
        <v>153.01587301587301</v>
      </c>
      <c r="DU10" s="338">
        <f t="shared" si="2"/>
        <v>1.0588108323004164</v>
      </c>
      <c r="DV10" s="46">
        <f>(COUNTIFS($CD$7:$CD$467,"&gt;=40",$D$7:$D$467,"&gt;14",$D$7:$D$467,"&lt;18"))/$DE10</f>
        <v>0.88888888888888884</v>
      </c>
      <c r="DW10" s="46">
        <f>(COUNTIFS($CE$7:$CE$467,"&gt;=40",$D$7:$D$467,"&gt;14",$D$7:$D$467,"&lt;18"))/$DE10</f>
        <v>1</v>
      </c>
      <c r="DX10" s="49">
        <f>(COUNTIFS(Table2821115[Phu/13 Fold],"&gt;=4",$CE$7:$CE$467,"&gt;=40",$D$7:$D$467,"&gt;14",$D$7:$D$467,"&lt;18"))/$DE10</f>
        <v>4.7619047619047616E-2</v>
      </c>
      <c r="DY10" s="39">
        <f>AVERAGEIFS($CP$7:$CP$467,$D$7:$D$467,"&gt;14",$D$7:$D$467,"&lt;18")</f>
        <v>134.84126984126985</v>
      </c>
      <c r="DZ10" s="345">
        <f>AVERAGEIFS($CQ$7:$CQ$467,$D$7:$D$467,"&gt;14",$D$7:$D$467,"&lt;18")</f>
        <v>122.93650793650794</v>
      </c>
      <c r="EA10" s="338">
        <f t="shared" si="3"/>
        <v>0.98115244119195899</v>
      </c>
      <c r="EB10" s="46">
        <f>(COUNTIFS($CP$7:$CP$467,"&gt;=40",$D$7:$D$467,"&gt;14",$D$7:$D$467,"&lt;18"))/$DE10</f>
        <v>0.87301587301587302</v>
      </c>
      <c r="EC10" s="46">
        <f>(COUNTIFS($CQ$7:$CQ$467,"&gt;=40",$D$7:$D$467,"&gt;14",$D$7:$D$467,"&lt;18"))/$DE10</f>
        <v>0.90476190476190477</v>
      </c>
      <c r="ED10" s="54">
        <f>(COUNTIFS(Table2821115[CO/17 Fold],"&gt;=4",$D$7:$D$467,"&gt;14",$D$7:$D$467,"&lt;18"))/$DE10</f>
        <v>9.5238095238095233E-2</v>
      </c>
    </row>
    <row r="11" spans="1:134" s="10" customFormat="1" ht="24" customHeight="1">
      <c r="A11" s="318">
        <v>14</v>
      </c>
      <c r="B11" s="180">
        <v>20114</v>
      </c>
      <c r="C11" s="180">
        <v>43749</v>
      </c>
      <c r="D11" s="179">
        <v>64</v>
      </c>
      <c r="E11" s="3" t="s">
        <v>61</v>
      </c>
      <c r="F11" s="143" t="s">
        <v>116</v>
      </c>
      <c r="G11" s="142">
        <v>26.613655726398633</v>
      </c>
      <c r="H11" s="11" t="s">
        <v>59</v>
      </c>
      <c r="I11" s="281" t="s">
        <v>60</v>
      </c>
      <c r="J11" s="260">
        <v>5</v>
      </c>
      <c r="K11" s="260">
        <v>5</v>
      </c>
      <c r="L11" s="260"/>
      <c r="M11" s="260"/>
      <c r="N11" s="260"/>
      <c r="O11" s="260"/>
      <c r="P11" s="260"/>
      <c r="Q11" s="260"/>
      <c r="R11" s="260"/>
      <c r="S11" s="260"/>
      <c r="T11" s="260"/>
      <c r="U11" s="260"/>
      <c r="V11" s="260">
        <v>5</v>
      </c>
      <c r="W11" s="260">
        <v>5</v>
      </c>
      <c r="X11" s="260">
        <v>5</v>
      </c>
      <c r="Y11" s="260">
        <v>20</v>
      </c>
      <c r="Z11" s="260">
        <v>5</v>
      </c>
      <c r="AA11" s="260">
        <v>20</v>
      </c>
      <c r="AB11" s="260">
        <v>5</v>
      </c>
      <c r="AC11" s="260">
        <v>10</v>
      </c>
      <c r="AD11" s="260"/>
      <c r="AE11" s="260"/>
      <c r="AF11" s="260"/>
      <c r="AG11" s="260"/>
      <c r="AH11" s="195">
        <v>14</v>
      </c>
      <c r="AI11" s="272">
        <v>5</v>
      </c>
      <c r="AJ11" s="271">
        <v>5</v>
      </c>
      <c r="AK11" s="260"/>
      <c r="AL11" s="260"/>
      <c r="AM11" s="260"/>
      <c r="AN11" s="260"/>
      <c r="AO11" s="260"/>
      <c r="AP11" s="260"/>
      <c r="AQ11" s="260"/>
      <c r="AR11" s="260"/>
      <c r="AS11" s="260"/>
      <c r="AT11" s="260"/>
      <c r="AU11" s="260">
        <v>40</v>
      </c>
      <c r="AV11" s="271">
        <v>80</v>
      </c>
      <c r="AW11" s="260">
        <v>20</v>
      </c>
      <c r="AX11" s="271">
        <v>80</v>
      </c>
      <c r="AY11" s="260">
        <v>10</v>
      </c>
      <c r="AZ11" s="271">
        <v>40</v>
      </c>
      <c r="BA11" s="276">
        <v>10</v>
      </c>
      <c r="BB11" s="276">
        <v>40</v>
      </c>
      <c r="BC11" s="276"/>
      <c r="BD11" s="276"/>
      <c r="BE11" s="276">
        <v>5</v>
      </c>
      <c r="BF11" s="276">
        <v>20</v>
      </c>
      <c r="BG11" s="260">
        <v>20</v>
      </c>
      <c r="BH11" s="271">
        <v>80</v>
      </c>
      <c r="BI11" s="276"/>
      <c r="BJ11" s="276"/>
      <c r="BK11" s="276"/>
      <c r="BL11" s="275"/>
      <c r="BM11" s="316">
        <v>14</v>
      </c>
      <c r="BN11" s="272">
        <v>5</v>
      </c>
      <c r="BO11" s="270">
        <v>20</v>
      </c>
      <c r="BP11" s="272"/>
      <c r="BQ11" s="260"/>
      <c r="BR11" s="260"/>
      <c r="BS11" s="260"/>
      <c r="BT11" s="260"/>
      <c r="BU11" s="260"/>
      <c r="BV11" s="260">
        <v>5</v>
      </c>
      <c r="BW11" s="260">
        <v>20</v>
      </c>
      <c r="BX11" s="260"/>
      <c r="BY11" s="260"/>
      <c r="BZ11" s="260"/>
      <c r="CA11" s="260"/>
      <c r="CB11" s="260"/>
      <c r="CC11" s="260"/>
      <c r="CD11" s="260">
        <v>5</v>
      </c>
      <c r="CE11" s="260">
        <v>40</v>
      </c>
      <c r="CF11" s="272"/>
      <c r="CG11" s="260"/>
      <c r="CH11" s="260"/>
      <c r="CI11" s="260"/>
      <c r="CJ11" s="260"/>
      <c r="CK11" s="260"/>
      <c r="CL11" s="260"/>
      <c r="CM11" s="260"/>
      <c r="CN11" s="260">
        <v>5</v>
      </c>
      <c r="CO11" s="260">
        <v>10</v>
      </c>
      <c r="CP11" s="260">
        <v>5</v>
      </c>
      <c r="CQ11" s="260">
        <v>10</v>
      </c>
      <c r="CR11" s="260">
        <v>5</v>
      </c>
      <c r="CS11" s="270">
        <v>10</v>
      </c>
      <c r="CT11" s="315">
        <v>14</v>
      </c>
      <c r="CU11" s="249">
        <f>Table2821115[[#This Row],[D28 - BR/18]]/Table2821115[[#This Row],[D0 - BR/18]]</f>
        <v>2</v>
      </c>
      <c r="CV11" s="248">
        <f>Table2821115[[#This Row],[D28 - KS/17]]/Table2821115[[#This Row],[D0 - KS/17]]</f>
        <v>4</v>
      </c>
      <c r="CW11" s="248">
        <f>Table2821115[[#This Row],[D28 - Phu/13]]/Table2821115[[#This Row],[D0 - Phu/13]]</f>
        <v>8</v>
      </c>
      <c r="CX11" s="248">
        <f>Table2821115[[#This Row],[D28 - CO/17]]/Table2821115[[#This Row],[D0 - CO/17]]</f>
        <v>2</v>
      </c>
      <c r="CY11" s="248">
        <f>LOG(Table2821115[[#This Row],[BR/18 Fold]],2)</f>
        <v>1</v>
      </c>
      <c r="CZ11" s="248">
        <f>LOG(Table2821115[[#This Row],[KS/17 Fold]],2)</f>
        <v>2</v>
      </c>
      <c r="DA11" s="248">
        <f>LOG(Table2821115[[#This Row],[Phu/13 Fold]],2)</f>
        <v>3</v>
      </c>
      <c r="DB11" s="248">
        <f>LOG(Table2821115[[#This Row],[CO/17 Fold]],2)</f>
        <v>1</v>
      </c>
      <c r="DC11" s="248">
        <f>SUM(Table2821115[[#This Row],[BR/18 Log2]:[CO/17 Log2]])</f>
        <v>7</v>
      </c>
      <c r="DE11" s="348">
        <f>COUNTIFS($D$7:$D$467,"&gt;17",$D$7:$D$467,"&lt;35")</f>
        <v>90</v>
      </c>
      <c r="DF11" s="349" t="s">
        <v>8</v>
      </c>
      <c r="DG11" s="40">
        <f>AVERAGEIFS($AB$7:$AB$467,$D$7:$D$467,"&gt;17",$D$7:$D$467,"&lt;35")</f>
        <v>54.111111111111114</v>
      </c>
      <c r="DH11" s="233">
        <f>AVERAGEIFS($AC$7:$AC$467,$D$7:$D$467,"&gt;17",$D$7:$D$467,"&lt;35")</f>
        <v>141.22222222222223</v>
      </c>
      <c r="DI11" s="224">
        <f t="shared" si="0"/>
        <v>1.2403622257086568</v>
      </c>
      <c r="DJ11" s="47">
        <f>(COUNTIFS($AB$7:$AB$467,"&gt;=40",$D$7:$D$467,"&gt;17",$D$7:$D$467,"&lt;35"))/$DE11</f>
        <v>0.56666666666666665</v>
      </c>
      <c r="DK11" s="47">
        <f>(COUNTIFS($AC$7:$AC$467,"&gt;=40",$D$7:$D$467,"&gt;17",$D$7:$D$467,"&lt;35"))/$DE11</f>
        <v>0.93333333333333335</v>
      </c>
      <c r="DL11" s="50">
        <f>(COUNTIFS(Table2821115[BR/18 Fold],"&gt;=4",$AC$7:$AC$467,"&gt;=40",$D$7:$D$467,"&gt;17",$D$7:$D$467,"&lt;35"))/$DE11</f>
        <v>0.37777777777777777</v>
      </c>
      <c r="DM11" s="40">
        <f>AVERAGEIFS($BE$7:$BE$467,$D$7:$D$467,"&gt;17",$D$7:$D$467,"&lt;35")</f>
        <v>19</v>
      </c>
      <c r="DN11" s="233">
        <f>AVERAGEIFS($BF$7:$BF$467,$D$7:$D$467,"&gt;17",$D$7:$D$467,"&lt;35")</f>
        <v>132.11111111111111</v>
      </c>
      <c r="DO11" s="224">
        <f t="shared" si="1"/>
        <v>1.6585989228878852</v>
      </c>
      <c r="DP11" s="47">
        <f>(COUNTIFS($BE$7:$BE$467,"&gt;=40",$D$7:$D$467,"&gt;17",$D$7:$D$467,"&lt;35"))/$DE11</f>
        <v>0.15555555555555556</v>
      </c>
      <c r="DQ11" s="47">
        <f>(COUNTIFS($BF$7:$BF$467,"&gt;=40",$D$7:$D$467,"&gt;17",$D$7:$D$467,"&lt;35"))/$DE11</f>
        <v>0.7</v>
      </c>
      <c r="DR11" s="50">
        <f>(COUNTIFS(Table2821115[KS/17 Fold],"&gt;=4",$BF$7:$BF$467,"&gt;=40",$D$7:$D$467,"&gt;17",$D$7:$D$467,"&lt;35"))/$DE11</f>
        <v>0.6</v>
      </c>
      <c r="DS11" s="40">
        <f>AVERAGEIFS($CD$7:$CD$467,$D$7:$D$467,"&gt;17",$D$7:$D$467,"&lt;35")</f>
        <v>120.66666666666667</v>
      </c>
      <c r="DT11" s="233">
        <f>AVERAGEIFS($CE$7:$CE$467,$D$7:$D$467,"&gt;17",$D$7:$D$467,"&lt;35")</f>
        <v>252.22222222222223</v>
      </c>
      <c r="DU11" s="224">
        <f t="shared" si="2"/>
        <v>1.1538230126153315</v>
      </c>
      <c r="DV11" s="47">
        <f>(COUNTIFS($CD$7:$CD$467,"&gt;=40",$D$7:$D$467,"&gt;17",$D$7:$D$467,"&lt;35"))/$DE11</f>
        <v>0.78888888888888886</v>
      </c>
      <c r="DW11" s="47">
        <f>(COUNTIFS($CE$7:$CE$467,"&gt;=40",$D$7:$D$467,"&gt;17",$D$7:$D$467,"&lt;35"))/$DE11</f>
        <v>0.98888888888888893</v>
      </c>
      <c r="DX11" s="50">
        <f>(COUNTIFS(Table2821115[Phu/13 Fold],"&gt;=4",$CE$7:$CE$467,"&gt;=40",$D$7:$D$467,"&gt;17",$D$7:$D$467,"&lt;35"))/$DE11</f>
        <v>0.4</v>
      </c>
      <c r="DY11" s="40">
        <f>AVERAGEIFS($CP$7:$CP$467,$D$7:$D$467,"&gt;17",$D$7:$D$467,"&lt;35")</f>
        <v>44.055555555555557</v>
      </c>
      <c r="DZ11" s="233">
        <f>AVERAGEIFS($CQ$7:$CQ$467,$D$7:$D$467,"&gt;17",$D$7:$D$467,"&lt;35")</f>
        <v>105.05555555555556</v>
      </c>
      <c r="EA11" s="224">
        <f t="shared" si="3"/>
        <v>1.2295731051760226</v>
      </c>
      <c r="EB11" s="47">
        <f>(COUNTIFS($CP$7:$CP$467,"&gt;=40",$D$7:$D$467,"&gt;17",$D$7:$D$467,"&lt;35"))/$DE11</f>
        <v>0.46666666666666667</v>
      </c>
      <c r="EC11" s="47">
        <f>(COUNTIFS($CQ$7:$CQ$467,"&gt;=40",$D$7:$D$467,"&gt;17",$D$7:$D$467,"&lt;35"))/$DE11</f>
        <v>0.85555555555555551</v>
      </c>
      <c r="ED11" s="53">
        <f>(COUNTIFS(Table2821115[CO/17 Fold],"&gt;=4",$D$7:$D$467,"&gt;17",$D$7:$D$467,"&lt;35"))/$DE11</f>
        <v>0.37777777777777777</v>
      </c>
    </row>
    <row r="12" spans="1:134" s="10" customFormat="1" ht="24" customHeight="1">
      <c r="A12" s="324">
        <v>16</v>
      </c>
      <c r="B12" s="190">
        <v>28741</v>
      </c>
      <c r="C12" s="190">
        <v>43766</v>
      </c>
      <c r="D12" s="189">
        <v>41</v>
      </c>
      <c r="E12" s="3" t="s">
        <v>61</v>
      </c>
      <c r="F12" s="143" t="s">
        <v>118</v>
      </c>
      <c r="G12" s="142">
        <v>28.440954975164232</v>
      </c>
      <c r="H12" s="11" t="s">
        <v>59</v>
      </c>
      <c r="I12" s="281" t="s">
        <v>60</v>
      </c>
      <c r="J12" s="260">
        <v>5</v>
      </c>
      <c r="K12" s="260">
        <v>10</v>
      </c>
      <c r="L12" s="260"/>
      <c r="M12" s="260"/>
      <c r="N12" s="260"/>
      <c r="O12" s="260"/>
      <c r="P12" s="260"/>
      <c r="Q12" s="260"/>
      <c r="R12" s="260"/>
      <c r="S12" s="260"/>
      <c r="T12" s="260"/>
      <c r="U12" s="260"/>
      <c r="V12" s="260">
        <v>5</v>
      </c>
      <c r="W12" s="260">
        <v>20</v>
      </c>
      <c r="X12" s="260">
        <v>10</v>
      </c>
      <c r="Y12" s="260">
        <v>40</v>
      </c>
      <c r="Z12" s="260">
        <v>10</v>
      </c>
      <c r="AA12" s="260">
        <v>40</v>
      </c>
      <c r="AB12" s="260">
        <v>10</v>
      </c>
      <c r="AC12" s="260">
        <v>20</v>
      </c>
      <c r="AD12" s="260"/>
      <c r="AE12" s="260"/>
      <c r="AF12" s="260"/>
      <c r="AG12" s="260"/>
      <c r="AH12" s="198">
        <v>16</v>
      </c>
      <c r="AI12" s="272">
        <v>5</v>
      </c>
      <c r="AJ12" s="271">
        <v>5</v>
      </c>
      <c r="AK12" s="260"/>
      <c r="AL12" s="260"/>
      <c r="AM12" s="260"/>
      <c r="AN12" s="260"/>
      <c r="AO12" s="260"/>
      <c r="AP12" s="260"/>
      <c r="AQ12" s="260"/>
      <c r="AR12" s="260"/>
      <c r="AS12" s="260"/>
      <c r="AT12" s="260"/>
      <c r="AU12" s="260">
        <v>5</v>
      </c>
      <c r="AV12" s="271">
        <v>80</v>
      </c>
      <c r="AW12" s="260">
        <v>5</v>
      </c>
      <c r="AX12" s="271">
        <v>80</v>
      </c>
      <c r="AY12" s="260">
        <v>5</v>
      </c>
      <c r="AZ12" s="271">
        <v>20</v>
      </c>
      <c r="BA12" s="276">
        <v>5</v>
      </c>
      <c r="BB12" s="276">
        <v>20</v>
      </c>
      <c r="BC12" s="276"/>
      <c r="BD12" s="276"/>
      <c r="BE12" s="276">
        <v>5</v>
      </c>
      <c r="BF12" s="276">
        <v>40</v>
      </c>
      <c r="BG12" s="260">
        <v>5</v>
      </c>
      <c r="BH12" s="271">
        <v>40</v>
      </c>
      <c r="BI12" s="276"/>
      <c r="BJ12" s="276"/>
      <c r="BK12" s="276"/>
      <c r="BL12" s="275"/>
      <c r="BM12" s="323">
        <v>16</v>
      </c>
      <c r="BN12" s="272">
        <v>10</v>
      </c>
      <c r="BO12" s="270">
        <v>40</v>
      </c>
      <c r="BP12" s="272"/>
      <c r="BQ12" s="260"/>
      <c r="BR12" s="260"/>
      <c r="BS12" s="260"/>
      <c r="BT12" s="260"/>
      <c r="BU12" s="260"/>
      <c r="BV12" s="260">
        <v>20</v>
      </c>
      <c r="BW12" s="260">
        <v>40</v>
      </c>
      <c r="BX12" s="260"/>
      <c r="BY12" s="260"/>
      <c r="BZ12" s="260"/>
      <c r="CA12" s="260"/>
      <c r="CB12" s="260"/>
      <c r="CC12" s="260"/>
      <c r="CD12" s="260">
        <v>20</v>
      </c>
      <c r="CE12" s="260">
        <v>80</v>
      </c>
      <c r="CF12" s="272"/>
      <c r="CG12" s="260"/>
      <c r="CH12" s="260"/>
      <c r="CI12" s="260"/>
      <c r="CJ12" s="260"/>
      <c r="CK12" s="260"/>
      <c r="CL12" s="260"/>
      <c r="CM12" s="260"/>
      <c r="CN12" s="260">
        <v>5</v>
      </c>
      <c r="CO12" s="260">
        <v>20</v>
      </c>
      <c r="CP12" s="260">
        <v>5</v>
      </c>
      <c r="CQ12" s="260">
        <v>20</v>
      </c>
      <c r="CR12" s="260">
        <v>5</v>
      </c>
      <c r="CS12" s="270">
        <v>20</v>
      </c>
      <c r="CT12" s="322">
        <v>16</v>
      </c>
      <c r="CU12" s="249">
        <f>Table2821115[[#This Row],[D28 - BR/18]]/Table2821115[[#This Row],[D0 - BR/18]]</f>
        <v>2</v>
      </c>
      <c r="CV12" s="248">
        <f>Table2821115[[#This Row],[D28 - KS/17]]/Table2821115[[#This Row],[D0 - KS/17]]</f>
        <v>8</v>
      </c>
      <c r="CW12" s="248">
        <f>Table2821115[[#This Row],[D28 - Phu/13]]/Table2821115[[#This Row],[D0 - Phu/13]]</f>
        <v>4</v>
      </c>
      <c r="CX12" s="248">
        <f>Table2821115[[#This Row],[D28 - CO/17]]/Table2821115[[#This Row],[D0 - CO/17]]</f>
        <v>4</v>
      </c>
      <c r="CY12" s="248">
        <f>LOG(Table2821115[[#This Row],[BR/18 Fold]],2)</f>
        <v>1</v>
      </c>
      <c r="CZ12" s="248">
        <f>LOG(Table2821115[[#This Row],[KS/17 Fold]],2)</f>
        <v>3</v>
      </c>
      <c r="DA12" s="248">
        <f>LOG(Table2821115[[#This Row],[Phu/13 Fold]],2)</f>
        <v>2</v>
      </c>
      <c r="DB12" s="248">
        <f>LOG(Table2821115[[#This Row],[CO/17 Fold]],2)</f>
        <v>2</v>
      </c>
      <c r="DC12" s="248">
        <f>SUM(Table2821115[[#This Row],[BR/18 Log2]:[CO/17 Log2]])</f>
        <v>8</v>
      </c>
      <c r="DE12" s="38">
        <f>COUNTIFS($D$7:$D$467,"&gt;34",$D$7:$D$467,"&lt;50")</f>
        <v>91</v>
      </c>
      <c r="DF12" s="41" t="s">
        <v>9</v>
      </c>
      <c r="DG12" s="39">
        <f>AVERAGEIFS($AB$7:$AB$467,$D$7:$D$467,"&gt;34",$D$7:$D$467,"&lt;50")</f>
        <v>35.494505494505496</v>
      </c>
      <c r="DH12" s="345">
        <f>AVERAGEIFS($AC$7:$AC$467,$D$7:$D$467,"&gt;34",$D$7:$D$467,"&lt;50")</f>
        <v>76.263736263736263</v>
      </c>
      <c r="DI12" s="338">
        <f t="shared" si="0"/>
        <v>1.2142725305733908</v>
      </c>
      <c r="DJ12" s="46">
        <f>(COUNTIFS($AB$7:$AB$467,"&gt;=40",$D$7:$D$467,"&gt;34",$D$7:$D$467,"&lt;50"))/$DE12</f>
        <v>0.32967032967032966</v>
      </c>
      <c r="DK12" s="46">
        <f>(COUNTIFS($AC$7:$AC$467,"&gt;=40",$D$7:$D$467,"&gt;34",$D$7:$D$467,"&lt;50"))/$DE12</f>
        <v>0.63736263736263732</v>
      </c>
      <c r="DL12" s="49">
        <f>(COUNTIFS(Table2821115[BR/18 Fold],"&gt;=4",$AC$7:$AC$467,"&gt;=40",$D$7:$D$467,"&gt;34",$D$7:$D$467,"&lt;50"))/$DE12</f>
        <v>0.27472527472527475</v>
      </c>
      <c r="DM12" s="39">
        <f>AVERAGEIFS($BE$7:$BE$467,$D$7:$D$467,"&gt;34",$D$7:$D$467,"&lt;50")</f>
        <v>14.615384615384615</v>
      </c>
      <c r="DN12" s="345">
        <f>AVERAGEIFS($BF$7:$BF$467,$D$7:$D$467,"&gt;34",$D$7:$D$467,"&lt;50")</f>
        <v>84.835164835164832</v>
      </c>
      <c r="DO12" s="338">
        <f t="shared" si="1"/>
        <v>1.6556996388523135</v>
      </c>
      <c r="DP12" s="46">
        <f>(COUNTIFS($BE$7:$BE$467,"&gt;=40",$D$7:$D$467,"&gt;34",$D$7:$D$467,"&lt;50"))/$DE12</f>
        <v>9.8901098901098897E-2</v>
      </c>
      <c r="DQ12" s="46">
        <f>(COUNTIFS($BF$7:$BF$467,"&gt;=40",$D$7:$D$467,"&gt;34",$D$7:$D$467,"&lt;50"))/$DE12</f>
        <v>0.61538461538461542</v>
      </c>
      <c r="DR12" s="49">
        <f>(COUNTIFS(Table2821115[KS/17 Fold],"&gt;=4",$BF$7:$BF$467,"&gt;=40",$D$7:$D$467,"&gt;34",$D$7:$D$467,"&lt;50"))/$DE12</f>
        <v>0.50549450549450547</v>
      </c>
      <c r="DS12" s="39">
        <f>AVERAGEIFS($CD$7:$CD$467,$D$7:$D$467,"&gt;34",$D$7:$D$467,"&lt;50")</f>
        <v>59.395604395604394</v>
      </c>
      <c r="DT12" s="345">
        <f>AVERAGEIFS($CE$7:$CE$467,$D$7:$D$467,"&gt;34",$D$7:$D$467,"&lt;50")</f>
        <v>163.4065934065934</v>
      </c>
      <c r="DU12" s="338">
        <f t="shared" si="2"/>
        <v>1.2477881343282815</v>
      </c>
      <c r="DV12" s="46">
        <f>(COUNTIFS($CD$7:$CD$467,"&gt;=40",$D$7:$D$467,"&gt;34",$D$7:$D$467,"&lt;50"))/$DE12</f>
        <v>0.47252747252747251</v>
      </c>
      <c r="DW12" s="46">
        <f>(COUNTIFS($CE$7:$CE$467,"&gt;=40",$D$7:$D$467,"&gt;34",$D$7:$D$467,"&lt;50"))/$DE12</f>
        <v>0.82417582417582413</v>
      </c>
      <c r="DX12" s="49">
        <f>(COUNTIFS(Table2821115[Phu/13 Fold],"&gt;=4",$CE$7:$CE$467,"&gt;=40",$D$7:$D$467,"&gt;34",$D$7:$D$467,"&lt;50"))/$DE12</f>
        <v>0.35164835164835168</v>
      </c>
      <c r="DY12" s="39">
        <f>AVERAGEIFS($CP$7:$CP$467,$D$7:$D$467,"&gt;34",$D$7:$D$467,"&lt;50")</f>
        <v>90.714285714285708</v>
      </c>
      <c r="DZ12" s="345">
        <f>AVERAGEIFS($CQ$7:$CQ$467,$D$7:$D$467,"&gt;34",$D$7:$D$467,"&lt;50")</f>
        <v>175.60439560439559</v>
      </c>
      <c r="EA12" s="338">
        <f t="shared" si="3"/>
        <v>1.1465307555977873</v>
      </c>
      <c r="EB12" s="46">
        <f>(COUNTIFS($CP$7:$CP$467,"&gt;=40",$D$7:$D$467,"&gt;34",$D$7:$D$467,"&lt;50"))/$DE12</f>
        <v>0.64835164835164838</v>
      </c>
      <c r="EC12" s="46">
        <f>(COUNTIFS($CQ$7:$CQ$467,"&gt;=40",$D$7:$D$467,"&gt;34",$D$7:$D$467,"&lt;50"))/$DE12</f>
        <v>0.86813186813186816</v>
      </c>
      <c r="ED12" s="54">
        <f>(COUNTIFS(Table2821115[CO/17 Fold],"&gt;=4",$D$7:$D$467,"&gt;34",$D$7:$D$467,"&lt;50"))/$DE12</f>
        <v>0.30769230769230771</v>
      </c>
    </row>
    <row r="13" spans="1:134" s="10" customFormat="1" ht="24" customHeight="1">
      <c r="A13" s="318">
        <v>17</v>
      </c>
      <c r="B13" s="180">
        <v>23833</v>
      </c>
      <c r="C13" s="180">
        <v>43742</v>
      </c>
      <c r="D13" s="179">
        <v>54</v>
      </c>
      <c r="E13" s="4" t="s">
        <v>58</v>
      </c>
      <c r="F13" s="143" t="s">
        <v>116</v>
      </c>
      <c r="G13" s="142">
        <v>33.61586226223077</v>
      </c>
      <c r="H13" s="11" t="s">
        <v>59</v>
      </c>
      <c r="I13" s="281" t="s">
        <v>60</v>
      </c>
      <c r="J13" s="260">
        <v>5</v>
      </c>
      <c r="K13" s="260">
        <v>5</v>
      </c>
      <c r="L13" s="260"/>
      <c r="M13" s="260"/>
      <c r="N13" s="260"/>
      <c r="O13" s="260"/>
      <c r="P13" s="260"/>
      <c r="Q13" s="260"/>
      <c r="R13" s="260"/>
      <c r="S13" s="260"/>
      <c r="T13" s="260"/>
      <c r="U13" s="260"/>
      <c r="V13" s="260">
        <v>5</v>
      </c>
      <c r="W13" s="260">
        <v>10</v>
      </c>
      <c r="X13" s="260">
        <v>5</v>
      </c>
      <c r="Y13" s="260">
        <v>5</v>
      </c>
      <c r="Z13" s="260">
        <v>5</v>
      </c>
      <c r="AA13" s="260">
        <v>10</v>
      </c>
      <c r="AB13" s="260">
        <v>5</v>
      </c>
      <c r="AC13" s="260">
        <v>10</v>
      </c>
      <c r="AD13" s="260"/>
      <c r="AE13" s="260"/>
      <c r="AF13" s="260"/>
      <c r="AG13" s="260"/>
      <c r="AH13" s="195">
        <v>17</v>
      </c>
      <c r="AI13" s="272">
        <v>10</v>
      </c>
      <c r="AJ13" s="271">
        <v>10</v>
      </c>
      <c r="AK13" s="260"/>
      <c r="AL13" s="260"/>
      <c r="AM13" s="260"/>
      <c r="AN13" s="260"/>
      <c r="AO13" s="260"/>
      <c r="AP13" s="260"/>
      <c r="AQ13" s="260"/>
      <c r="AR13" s="260"/>
      <c r="AS13" s="260"/>
      <c r="AT13" s="260"/>
      <c r="AU13" s="260">
        <v>40</v>
      </c>
      <c r="AV13" s="271">
        <v>40</v>
      </c>
      <c r="AW13" s="260">
        <v>20</v>
      </c>
      <c r="AX13" s="271">
        <v>40</v>
      </c>
      <c r="AY13" s="260">
        <v>5</v>
      </c>
      <c r="AZ13" s="271">
        <v>5</v>
      </c>
      <c r="BA13" s="276">
        <v>5</v>
      </c>
      <c r="BB13" s="276">
        <v>5</v>
      </c>
      <c r="BC13" s="276"/>
      <c r="BD13" s="276"/>
      <c r="BE13" s="276">
        <v>5</v>
      </c>
      <c r="BF13" s="276">
        <v>5</v>
      </c>
      <c r="BG13" s="260">
        <v>20</v>
      </c>
      <c r="BH13" s="271">
        <v>40</v>
      </c>
      <c r="BI13" s="276"/>
      <c r="BJ13" s="276"/>
      <c r="BK13" s="276"/>
      <c r="BL13" s="275"/>
      <c r="BM13" s="316">
        <v>17</v>
      </c>
      <c r="BN13" s="272">
        <v>40</v>
      </c>
      <c r="BO13" s="270">
        <v>40</v>
      </c>
      <c r="BP13" s="272"/>
      <c r="BQ13" s="260"/>
      <c r="BR13" s="260"/>
      <c r="BS13" s="260"/>
      <c r="BT13" s="260"/>
      <c r="BU13" s="260"/>
      <c r="BV13" s="260">
        <v>5</v>
      </c>
      <c r="BW13" s="260">
        <v>40</v>
      </c>
      <c r="BX13" s="260"/>
      <c r="BY13" s="260"/>
      <c r="BZ13" s="260"/>
      <c r="CA13" s="260"/>
      <c r="CB13" s="260"/>
      <c r="CC13" s="260"/>
      <c r="CD13" s="260">
        <v>20</v>
      </c>
      <c r="CE13" s="260">
        <v>40</v>
      </c>
      <c r="CF13" s="272"/>
      <c r="CG13" s="260"/>
      <c r="CH13" s="260"/>
      <c r="CI13" s="260"/>
      <c r="CJ13" s="260"/>
      <c r="CK13" s="260"/>
      <c r="CL13" s="260"/>
      <c r="CM13" s="260"/>
      <c r="CN13" s="260">
        <v>40</v>
      </c>
      <c r="CO13" s="260">
        <v>80</v>
      </c>
      <c r="CP13" s="260">
        <v>20</v>
      </c>
      <c r="CQ13" s="260">
        <v>20</v>
      </c>
      <c r="CR13" s="260">
        <v>20</v>
      </c>
      <c r="CS13" s="270">
        <v>20</v>
      </c>
      <c r="CT13" s="315">
        <v>17</v>
      </c>
      <c r="CU13" s="249">
        <f>Table2821115[[#This Row],[D28 - BR/18]]/Table2821115[[#This Row],[D0 - BR/18]]</f>
        <v>2</v>
      </c>
      <c r="CV13" s="248">
        <f>Table2821115[[#This Row],[D28 - KS/17]]/Table2821115[[#This Row],[D0 - KS/17]]</f>
        <v>1</v>
      </c>
      <c r="CW13" s="248">
        <f>Table2821115[[#This Row],[D28 - Phu/13]]/Table2821115[[#This Row],[D0 - Phu/13]]</f>
        <v>2</v>
      </c>
      <c r="CX13" s="248">
        <f>Table2821115[[#This Row],[D28 - CO/17]]/Table2821115[[#This Row],[D0 - CO/17]]</f>
        <v>1</v>
      </c>
      <c r="CY13" s="248">
        <f>LOG(Table2821115[[#This Row],[BR/18 Fold]],2)</f>
        <v>1</v>
      </c>
      <c r="CZ13" s="248">
        <f>LOG(Table2821115[[#This Row],[KS/17 Fold]],2)</f>
        <v>0</v>
      </c>
      <c r="DA13" s="248">
        <f>LOG(Table2821115[[#This Row],[Phu/13 Fold]],2)</f>
        <v>1</v>
      </c>
      <c r="DB13" s="248">
        <f>LOG(Table2821115[[#This Row],[CO/17 Fold]],2)</f>
        <v>0</v>
      </c>
      <c r="DC13" s="248">
        <f>SUM(Table2821115[[#This Row],[BR/18 Log2]:[CO/17 Log2]])</f>
        <v>2</v>
      </c>
      <c r="DE13" s="348">
        <f>COUNTIFS($D$7:$D$467,"&gt;49",$D$7:$D$467,"&lt;65")</f>
        <v>91</v>
      </c>
      <c r="DF13" s="347" t="s">
        <v>10</v>
      </c>
      <c r="DG13" s="40">
        <f>AVERAGEIFS($AB$7:$AB$467,$D$7:$D$467,"&gt;49",$D$7:$D$467,"&lt;65")</f>
        <v>23.131868131868131</v>
      </c>
      <c r="DH13" s="233">
        <f>AVERAGEIFS($AC$7:$AC$467,$D$7:$D$467,"&gt;49",$D$7:$D$467,"&lt;65")</f>
        <v>80.989010989010993</v>
      </c>
      <c r="DI13" s="224">
        <f t="shared" si="0"/>
        <v>1.3989232635073015</v>
      </c>
      <c r="DJ13" s="47">
        <f>(COUNTIFS($AB$7:$AB$467,"&gt;=40",$D$7:$D$467,"&gt;49",$D$7:$D$467,"&lt;65"))/$DE13</f>
        <v>0.16483516483516483</v>
      </c>
      <c r="DK13" s="47">
        <f>(COUNTIFS($AC$7:$AC$467,"&gt;=40",$D$7:$D$467,"&gt;49",$D$7:$D$467,"&lt;65"))/$DE13</f>
        <v>0.5714285714285714</v>
      </c>
      <c r="DL13" s="50">
        <f>(COUNTIFS(Table2821115[BR/18 Fold],"&gt;=4",$AC$7:$AC$467,"&gt;=40",$D$7:$D$467,"&gt;49",$D$7:$D$467,"&lt;65"))/$DE13</f>
        <v>0.2967032967032967</v>
      </c>
      <c r="DM13" s="40">
        <f>AVERAGEIFS($BE$7:$BE$467,$D$7:$D$467,"&gt;49",$D$7:$D$467,"&lt;65")</f>
        <v>13.241758241758241</v>
      </c>
      <c r="DN13" s="233">
        <f>AVERAGEIFS($BF$7:$BF$467,$D$7:$D$467,"&gt;49",$D$7:$D$467,"&lt;65")</f>
        <v>81.978021978021971</v>
      </c>
      <c r="DO13" s="224">
        <f t="shared" si="1"/>
        <v>1.7056953046903709</v>
      </c>
      <c r="DP13" s="47">
        <f>(COUNTIFS($BE$7:$BE$467,"&gt;=40",$D$7:$D$467,"&gt;49",$D$7:$D$467,"&lt;65"))/$DE13</f>
        <v>6.5934065934065936E-2</v>
      </c>
      <c r="DQ13" s="47">
        <f>(COUNTIFS($BF$7:$BF$467,"&gt;=40",$D$7:$D$467,"&gt;49",$D$7:$D$467,"&lt;65"))/$DE13</f>
        <v>0.47252747252747251</v>
      </c>
      <c r="DR13" s="50">
        <f>(COUNTIFS(Table2821115[KS/17 Fold],"&gt;=4",$BF$7:$BF$467,"&gt;=40",$D$7:$D$467,"&gt;49",$D$7:$D$467,"&lt;65"))/$DE13</f>
        <v>0.40659340659340659</v>
      </c>
      <c r="DS13" s="40">
        <f>AVERAGEIFS($CD$7:$CD$467,$D$7:$D$467,"&gt;49",$D$7:$D$467,"&lt;65")</f>
        <v>67.252747252747255</v>
      </c>
      <c r="DT13" s="233">
        <f>AVERAGEIFS($CE$7:$CE$467,$D$7:$D$467,"&gt;49",$D$7:$D$467,"&lt;65")</f>
        <v>153.07692307692307</v>
      </c>
      <c r="DU13" s="224">
        <f t="shared" si="2"/>
        <v>1.1954356481332586</v>
      </c>
      <c r="DV13" s="47">
        <f>(COUNTIFS($CD$7:$CD$467,"&gt;=40",$D$7:$D$467,"&gt;49",$D$7:$D$467,"&lt;65"))/$DE13</f>
        <v>0.5494505494505495</v>
      </c>
      <c r="DW13" s="47">
        <f>(COUNTIFS($CE$7:$CE$467,"&gt;=40",$D$7:$D$467,"&gt;49",$D$7:$D$467,"&lt;65"))/$DE13</f>
        <v>0.8351648351648352</v>
      </c>
      <c r="DX13" s="50">
        <f>(COUNTIFS(Table2821115[Phu/13 Fold],"&gt;=4",$CE$7:$CE$467,"&gt;=40",$D$7:$D$467,"&gt;49",$D$7:$D$467,"&lt;65"))/$DE13</f>
        <v>0.34065934065934067</v>
      </c>
      <c r="DY13" s="40">
        <f>AVERAGEIFS($CP$7:$CP$467,$D$7:$D$467,"&gt;49",$D$7:$D$467,"&lt;65")</f>
        <v>57.912087912087912</v>
      </c>
      <c r="DZ13" s="233">
        <f>AVERAGEIFS($CQ$7:$CQ$467,$D$7:$D$467,"&gt;49",$D$7:$D$467,"&lt;65")</f>
        <v>99.120879120879124</v>
      </c>
      <c r="EA13" s="224">
        <f t="shared" si="3"/>
        <v>1.1324029937092721</v>
      </c>
      <c r="EB13" s="47">
        <f>(COUNTIFS($CP$7:$CP$467,"&gt;=40",$D$7:$D$467,"&gt;49",$D$7:$D$467,"&lt;65"))/$DE13</f>
        <v>0.48351648351648352</v>
      </c>
      <c r="EC13" s="47">
        <f>(COUNTIFS($CQ$7:$CQ$467,"&gt;=40",$D$7:$D$467,"&gt;49",$D$7:$D$467,"&lt;65"))/$DE13</f>
        <v>0.74725274725274726</v>
      </c>
      <c r="ED13" s="53">
        <f>(COUNTIFS(Table2821115[CO/17 Fold],"&gt;=4",$D$7:$D$467,"&gt;49",$D$7:$D$467,"&lt;65"))/$DE13</f>
        <v>0.30769230769230771</v>
      </c>
    </row>
    <row r="14" spans="1:134" s="10" customFormat="1" ht="24" customHeight="1">
      <c r="A14" s="324">
        <v>22</v>
      </c>
      <c r="B14" s="190">
        <v>28132</v>
      </c>
      <c r="C14" s="190">
        <v>43768</v>
      </c>
      <c r="D14" s="189">
        <v>42</v>
      </c>
      <c r="E14" s="4" t="s">
        <v>58</v>
      </c>
      <c r="F14" s="143" t="s">
        <v>116</v>
      </c>
      <c r="G14" s="142">
        <v>45.048188620592548</v>
      </c>
      <c r="H14" s="11" t="s">
        <v>59</v>
      </c>
      <c r="I14" s="281" t="s">
        <v>60</v>
      </c>
      <c r="J14" s="260">
        <v>5</v>
      </c>
      <c r="K14" s="260">
        <v>5</v>
      </c>
      <c r="L14" s="260"/>
      <c r="M14" s="260"/>
      <c r="N14" s="260"/>
      <c r="O14" s="260"/>
      <c r="P14" s="260"/>
      <c r="Q14" s="260"/>
      <c r="R14" s="260"/>
      <c r="S14" s="260"/>
      <c r="T14" s="260"/>
      <c r="U14" s="260"/>
      <c r="V14" s="260">
        <v>5</v>
      </c>
      <c r="W14" s="260">
        <v>5</v>
      </c>
      <c r="X14" s="260">
        <v>5</v>
      </c>
      <c r="Y14" s="260">
        <v>40</v>
      </c>
      <c r="Z14" s="260">
        <v>20</v>
      </c>
      <c r="AA14" s="260">
        <v>160</v>
      </c>
      <c r="AB14" s="260">
        <v>20</v>
      </c>
      <c r="AC14" s="260">
        <v>80</v>
      </c>
      <c r="AD14" s="260"/>
      <c r="AE14" s="260"/>
      <c r="AF14" s="260"/>
      <c r="AG14" s="260"/>
      <c r="AH14" s="198">
        <v>22</v>
      </c>
      <c r="AI14" s="272">
        <v>80</v>
      </c>
      <c r="AJ14" s="271">
        <v>160</v>
      </c>
      <c r="AK14" s="260"/>
      <c r="AL14" s="260"/>
      <c r="AM14" s="260"/>
      <c r="AN14" s="260"/>
      <c r="AO14" s="260"/>
      <c r="AP14" s="260"/>
      <c r="AQ14" s="260"/>
      <c r="AR14" s="260"/>
      <c r="AS14" s="260"/>
      <c r="AT14" s="260"/>
      <c r="AU14" s="260">
        <v>40</v>
      </c>
      <c r="AV14" s="271">
        <v>80</v>
      </c>
      <c r="AW14" s="260">
        <v>40</v>
      </c>
      <c r="AX14" s="271">
        <v>80</v>
      </c>
      <c r="AY14" s="260">
        <v>5</v>
      </c>
      <c r="AZ14" s="271">
        <v>5</v>
      </c>
      <c r="BA14" s="276">
        <v>10</v>
      </c>
      <c r="BB14" s="276">
        <v>20</v>
      </c>
      <c r="BC14" s="276"/>
      <c r="BD14" s="276"/>
      <c r="BE14" s="276">
        <v>20</v>
      </c>
      <c r="BF14" s="276">
        <v>40</v>
      </c>
      <c r="BG14" s="260">
        <v>20</v>
      </c>
      <c r="BH14" s="271">
        <v>20</v>
      </c>
      <c r="BI14" s="276"/>
      <c r="BJ14" s="276"/>
      <c r="BK14" s="276"/>
      <c r="BL14" s="275"/>
      <c r="BM14" s="323">
        <v>22</v>
      </c>
      <c r="BN14" s="272">
        <v>5</v>
      </c>
      <c r="BO14" s="270">
        <v>5</v>
      </c>
      <c r="BP14" s="272"/>
      <c r="BQ14" s="260"/>
      <c r="BR14" s="260"/>
      <c r="BS14" s="260"/>
      <c r="BT14" s="260"/>
      <c r="BU14" s="260"/>
      <c r="BV14" s="260">
        <v>5</v>
      </c>
      <c r="BW14" s="260">
        <v>40</v>
      </c>
      <c r="BX14" s="260"/>
      <c r="BY14" s="260"/>
      <c r="BZ14" s="260"/>
      <c r="CA14" s="260"/>
      <c r="CB14" s="260"/>
      <c r="CC14" s="260"/>
      <c r="CD14" s="260">
        <v>20</v>
      </c>
      <c r="CE14" s="260">
        <v>40</v>
      </c>
      <c r="CF14" s="272"/>
      <c r="CG14" s="260"/>
      <c r="CH14" s="260"/>
      <c r="CI14" s="260"/>
      <c r="CJ14" s="260"/>
      <c r="CK14" s="260"/>
      <c r="CL14" s="260"/>
      <c r="CM14" s="260"/>
      <c r="CN14" s="260">
        <v>5</v>
      </c>
      <c r="CO14" s="260">
        <v>20</v>
      </c>
      <c r="CP14" s="260">
        <v>40</v>
      </c>
      <c r="CQ14" s="260">
        <v>40</v>
      </c>
      <c r="CR14" s="260">
        <v>40</v>
      </c>
      <c r="CS14" s="270">
        <v>40</v>
      </c>
      <c r="CT14" s="322">
        <v>22</v>
      </c>
      <c r="CU14" s="249">
        <f>Table2821115[[#This Row],[D28 - BR/18]]/Table2821115[[#This Row],[D0 - BR/18]]</f>
        <v>4</v>
      </c>
      <c r="CV14" s="248">
        <f>Table2821115[[#This Row],[D28 - KS/17]]/Table2821115[[#This Row],[D0 - KS/17]]</f>
        <v>2</v>
      </c>
      <c r="CW14" s="248">
        <f>Table2821115[[#This Row],[D28 - Phu/13]]/Table2821115[[#This Row],[D0 - Phu/13]]</f>
        <v>2</v>
      </c>
      <c r="CX14" s="248">
        <f>Table2821115[[#This Row],[D28 - CO/17]]/Table2821115[[#This Row],[D0 - CO/17]]</f>
        <v>1</v>
      </c>
      <c r="CY14" s="248">
        <f>LOG(Table2821115[[#This Row],[BR/18 Fold]],2)</f>
        <v>2</v>
      </c>
      <c r="CZ14" s="248">
        <f>LOG(Table2821115[[#This Row],[KS/17 Fold]],2)</f>
        <v>1</v>
      </c>
      <c r="DA14" s="248">
        <f>LOG(Table2821115[[#This Row],[Phu/13 Fold]],2)</f>
        <v>1</v>
      </c>
      <c r="DB14" s="248">
        <f>LOG(Table2821115[[#This Row],[CO/17 Fold]],2)</f>
        <v>0</v>
      </c>
      <c r="DC14" s="248">
        <f>SUM(Table2821115[[#This Row],[BR/18 Log2]:[CO/17 Log2]])</f>
        <v>4</v>
      </c>
      <c r="DE14" s="38">
        <f>COUNTIF($D$7:$D$467,"&gt;64")</f>
        <v>90</v>
      </c>
      <c r="DF14" s="41" t="s">
        <v>66</v>
      </c>
      <c r="DG14" s="39">
        <f>AVERAGEIFS($AB$7:$AB$467,$D$7:$D$467,"&gt;64")</f>
        <v>13.833333333333334</v>
      </c>
      <c r="DH14" s="345">
        <f>AVERAGEIFS($AC$7:$AC$467,$D$7:$D$467,"&gt;64")</f>
        <v>42.611111111111114</v>
      </c>
      <c r="DI14" s="338">
        <f t="shared" si="0"/>
        <v>1.4282448259346732</v>
      </c>
      <c r="DJ14" s="46">
        <f>(COUNTIFS($AB$7:$AB$467,"&gt;=40",$D$7:$D$467,"&gt;64"))/$DE14</f>
        <v>0.1111111111111111</v>
      </c>
      <c r="DK14" s="46">
        <f>(COUNTIFS($AC$7:$AC$467,"&gt;=40",$D$7:$D$467,"&gt;64"))/$DE14</f>
        <v>0.3888888888888889</v>
      </c>
      <c r="DL14" s="49">
        <f>(COUNTIFS(Table2821115[BR/18 Fold],"&gt;=4",$AC$7:$AC$467,"&gt;=40",$D$7:$D$467,"&gt;64"))/$DE14</f>
        <v>0.23333333333333334</v>
      </c>
      <c r="DM14" s="39">
        <f>AVERAGEIFS($BE$7:$BE$467,$D$7:$D$467,"&gt;64")</f>
        <v>11.944444444444445</v>
      </c>
      <c r="DN14" s="345">
        <f>AVERAGEIFS($BF$7:$BF$467,$D$7:$D$467,"&gt;64")</f>
        <v>102.66666666666667</v>
      </c>
      <c r="DO14" s="338">
        <f t="shared" si="1"/>
        <v>1.8673347897736725</v>
      </c>
      <c r="DP14" s="46">
        <f>(COUNTIFS($BE$7:$BE$467,"&gt;=40",$D$7:$D$467,"&gt;64"))/$DE14</f>
        <v>0.1</v>
      </c>
      <c r="DQ14" s="46">
        <f>(COUNTIFS($BF$7:$BF$467,"&gt;=40",$D$7:$D$467,"&gt;64"))/$DE14</f>
        <v>0.56666666666666665</v>
      </c>
      <c r="DR14" s="49">
        <f>(COUNTIFS(Table2821115[KS/17 Fold],"&gt;=4",$BF$7:$BF$467,"&gt;=40",$D$7:$D$467,"&gt;64"))/$DE14</f>
        <v>0.48888888888888887</v>
      </c>
      <c r="DS14" s="39">
        <f>AVERAGEIFS($CD$7:$CD$467,$D$7:$D$467,"&gt;64")</f>
        <v>61.777777777777779</v>
      </c>
      <c r="DT14" s="345">
        <f>AVERAGEIFS($CE$7:$CE$467,$D$7:$D$467,"&gt;64")</f>
        <v>77.833333333333329</v>
      </c>
      <c r="DU14" s="338">
        <f t="shared" si="2"/>
        <v>1.0560260997303927</v>
      </c>
      <c r="DV14" s="46">
        <f>(COUNTIFS($CD$7:$CD$467,"&gt;=40",$D$7:$D$467,"&gt;64"))/$DE14</f>
        <v>0.46666666666666667</v>
      </c>
      <c r="DW14" s="46">
        <f>(COUNTIFS($CE$7:$CE$467,"&gt;=40",$D$7:$D$467,"&gt;64"))/$DE14</f>
        <v>0.57777777777777772</v>
      </c>
      <c r="DX14" s="49">
        <f>(COUNTIFS(Table2821115[Phu/13 Fold],"&gt;=4",$CE$7:$CE$467,"&gt;=40",$D$7:$D$467,"&gt;64"))/$DE14</f>
        <v>7.7777777777777779E-2</v>
      </c>
      <c r="DY14" s="39">
        <f>AVERAGEIFS($CP$7:$CP$467,$D$7:$D$467,"&gt;64")</f>
        <v>27.388888888888889</v>
      </c>
      <c r="DZ14" s="345">
        <f>AVERAGEIFS($CQ$7:$CQ$467,$D$7:$D$467,"&gt;64")</f>
        <v>59.777777777777779</v>
      </c>
      <c r="EA14" s="338">
        <f t="shared" si="3"/>
        <v>1.2357897780532778</v>
      </c>
      <c r="EB14" s="46">
        <f>(COUNTIFS($CP$7:$CP$467,"&gt;=40",$D$7:$D$467,"&gt;64"))/$DE14</f>
        <v>0.28888888888888886</v>
      </c>
      <c r="EC14" s="46">
        <f>(COUNTIFS($CQ$7:$CQ$467,"&gt;=40",$D$7:$D$467,"&gt;64"))/$DE14</f>
        <v>0.68888888888888888</v>
      </c>
      <c r="ED14" s="54">
        <f>(COUNTIFS(Table2821115[CO/17 Fold],"&gt;=4",$D$7:$D$467,"&gt;64"))/$DE14</f>
        <v>0.33333333333333331</v>
      </c>
    </row>
    <row r="15" spans="1:134" s="10" customFormat="1" ht="24" customHeight="1">
      <c r="A15" s="321">
        <v>29</v>
      </c>
      <c r="B15" s="183">
        <v>33948</v>
      </c>
      <c r="C15" s="183">
        <v>43788</v>
      </c>
      <c r="D15" s="182">
        <v>26</v>
      </c>
      <c r="E15" s="3" t="s">
        <v>61</v>
      </c>
      <c r="F15" s="143" t="s">
        <v>116</v>
      </c>
      <c r="G15" s="142">
        <v>26.1207623006962</v>
      </c>
      <c r="H15" s="11" t="s">
        <v>59</v>
      </c>
      <c r="I15" s="281" t="s">
        <v>60</v>
      </c>
      <c r="J15" s="260">
        <v>5</v>
      </c>
      <c r="K15" s="260">
        <v>5</v>
      </c>
      <c r="L15" s="260"/>
      <c r="M15" s="260"/>
      <c r="N15" s="260"/>
      <c r="O15" s="260"/>
      <c r="P15" s="260"/>
      <c r="Q15" s="260"/>
      <c r="R15" s="260"/>
      <c r="S15" s="260"/>
      <c r="T15" s="260"/>
      <c r="U15" s="260"/>
      <c r="V15" s="260">
        <v>5</v>
      </c>
      <c r="W15" s="260">
        <v>10</v>
      </c>
      <c r="X15" s="260">
        <v>40</v>
      </c>
      <c r="Y15" s="260">
        <v>160</v>
      </c>
      <c r="Z15" s="260">
        <v>40</v>
      </c>
      <c r="AA15" s="260">
        <v>160</v>
      </c>
      <c r="AB15" s="260">
        <v>40</v>
      </c>
      <c r="AC15" s="260">
        <v>80</v>
      </c>
      <c r="AD15" s="260"/>
      <c r="AE15" s="260"/>
      <c r="AF15" s="260"/>
      <c r="AG15" s="260"/>
      <c r="AH15" s="32">
        <v>29</v>
      </c>
      <c r="AI15" s="272">
        <v>80</v>
      </c>
      <c r="AJ15" s="271">
        <v>80</v>
      </c>
      <c r="AK15" s="260"/>
      <c r="AL15" s="260"/>
      <c r="AM15" s="260"/>
      <c r="AN15" s="260"/>
      <c r="AO15" s="260"/>
      <c r="AP15" s="260"/>
      <c r="AQ15" s="260"/>
      <c r="AR15" s="260"/>
      <c r="AS15" s="260"/>
      <c r="AT15" s="260"/>
      <c r="AU15" s="260">
        <v>40</v>
      </c>
      <c r="AV15" s="271">
        <v>80</v>
      </c>
      <c r="AW15" s="260">
        <v>40</v>
      </c>
      <c r="AX15" s="271">
        <v>80</v>
      </c>
      <c r="AY15" s="260">
        <v>40</v>
      </c>
      <c r="AZ15" s="271">
        <v>80</v>
      </c>
      <c r="BA15" s="276">
        <v>40</v>
      </c>
      <c r="BB15" s="276">
        <v>40</v>
      </c>
      <c r="BC15" s="276"/>
      <c r="BD15" s="276"/>
      <c r="BE15" s="276">
        <v>10</v>
      </c>
      <c r="BF15" s="276">
        <v>20</v>
      </c>
      <c r="BG15" s="260">
        <v>40</v>
      </c>
      <c r="BH15" s="271">
        <v>80</v>
      </c>
      <c r="BI15" s="276"/>
      <c r="BJ15" s="276"/>
      <c r="BK15" s="276"/>
      <c r="BL15" s="275"/>
      <c r="BM15" s="320">
        <v>29</v>
      </c>
      <c r="BN15" s="272">
        <v>320</v>
      </c>
      <c r="BO15" s="270">
        <v>320</v>
      </c>
      <c r="BP15" s="272"/>
      <c r="BQ15" s="260"/>
      <c r="BR15" s="260"/>
      <c r="BS15" s="260"/>
      <c r="BT15" s="260"/>
      <c r="BU15" s="260"/>
      <c r="BV15" s="260">
        <v>160</v>
      </c>
      <c r="BW15" s="260">
        <v>320</v>
      </c>
      <c r="BX15" s="260"/>
      <c r="BY15" s="260"/>
      <c r="BZ15" s="260"/>
      <c r="CA15" s="260"/>
      <c r="CB15" s="260"/>
      <c r="CC15" s="260"/>
      <c r="CD15" s="260">
        <v>160</v>
      </c>
      <c r="CE15" s="260">
        <v>320</v>
      </c>
      <c r="CF15" s="272"/>
      <c r="CG15" s="260"/>
      <c r="CH15" s="260"/>
      <c r="CI15" s="260"/>
      <c r="CJ15" s="260"/>
      <c r="CK15" s="260"/>
      <c r="CL15" s="260"/>
      <c r="CM15" s="260"/>
      <c r="CN15" s="260">
        <v>40</v>
      </c>
      <c r="CO15" s="260">
        <v>80</v>
      </c>
      <c r="CP15" s="260">
        <v>80</v>
      </c>
      <c r="CQ15" s="260">
        <v>160</v>
      </c>
      <c r="CR15" s="260">
        <v>40</v>
      </c>
      <c r="CS15" s="270">
        <v>80</v>
      </c>
      <c r="CT15" s="319">
        <v>29</v>
      </c>
      <c r="CU15" s="249">
        <f>Table2821115[[#This Row],[D28 - BR/18]]/Table2821115[[#This Row],[D0 - BR/18]]</f>
        <v>2</v>
      </c>
      <c r="CV15" s="248">
        <f>Table2821115[[#This Row],[D28 - KS/17]]/Table2821115[[#This Row],[D0 - KS/17]]</f>
        <v>2</v>
      </c>
      <c r="CW15" s="248">
        <f>Table2821115[[#This Row],[D28 - Phu/13]]/Table2821115[[#This Row],[D0 - Phu/13]]</f>
        <v>2</v>
      </c>
      <c r="CX15" s="248">
        <f>Table2821115[[#This Row],[D28 - CO/17]]/Table2821115[[#This Row],[D0 - CO/17]]</f>
        <v>2</v>
      </c>
      <c r="CY15" s="248">
        <f>LOG(Table2821115[[#This Row],[BR/18 Fold]],2)</f>
        <v>1</v>
      </c>
      <c r="CZ15" s="248">
        <f>LOG(Table2821115[[#This Row],[KS/17 Fold]],2)</f>
        <v>1</v>
      </c>
      <c r="DA15" s="248">
        <f>LOG(Table2821115[[#This Row],[Phu/13 Fold]],2)</f>
        <v>1</v>
      </c>
      <c r="DB15" s="248">
        <f>LOG(Table2821115[[#This Row],[CO/17 Fold]],2)</f>
        <v>1</v>
      </c>
      <c r="DC15" s="248">
        <f>SUM(Table2821115[[#This Row],[BR/18 Log2]:[CO/17 Log2]])</f>
        <v>4</v>
      </c>
      <c r="DE15" s="344">
        <f>COUNTIFS($D$7:$D$467,"&gt;64",$H$7:$H$467,"*Standard*")</f>
        <v>21</v>
      </c>
      <c r="DF15" s="343" t="s">
        <v>67</v>
      </c>
      <c r="DG15" s="37">
        <f>AVERAGEIFS($AB$7:$AB$467,$H$7:$H$467,"*Standard*",$D$7:$D$467,"&gt;64")</f>
        <v>16.428571428571427</v>
      </c>
      <c r="DH15" s="341">
        <f>AVERAGEIFS($AC$7:$AC$467,$H$7:$H$467,"*Standard*",$D$7:$D$467,"&gt;64")</f>
        <v>72.857142857142861</v>
      </c>
      <c r="DI15" s="341">
        <f t="shared" si="0"/>
        <v>1.5321425156237602</v>
      </c>
      <c r="DJ15" s="45">
        <f>(COUNTIFS($AB$7:$AB$467,"&gt;=40",$H$7:$H$467,"*Standard*",$D$7:$D$467,"&gt;64"))/$DE15</f>
        <v>0.19047619047619047</v>
      </c>
      <c r="DK15" s="45">
        <f>(COUNTIFS($AC$7:$AC$467,"&gt;=40",$H$7:$H$467,"*Standard*",$D$7:$D$467,"&gt;64"))/$DE15</f>
        <v>0.42857142857142855</v>
      </c>
      <c r="DL15" s="48">
        <f>(COUNTIFS(Table2821115[BR/18 Fold],"&gt;=4",$AC$7:$AC$467,"&gt;=40",$H$7:$H$467,"*Standard*",$D$7:$D$467,"&gt;64"))/$DE15</f>
        <v>0.23809523809523808</v>
      </c>
      <c r="DM15" s="37">
        <f>AVERAGEIFS($BE$7:$BE$467,$H$7:$H$467,"*Standard*",$D$7:$D$467,"&gt;64")</f>
        <v>15.952380952380953</v>
      </c>
      <c r="DN15" s="341">
        <f>AVERAGEIFS($BF$7:$BF$467,$H$7:$H$467,"*Standard*",$D$7:$D$467,"&gt;64")</f>
        <v>164.28571428571428</v>
      </c>
      <c r="DO15" s="341">
        <f t="shared" si="1"/>
        <v>1.8419960149476495</v>
      </c>
      <c r="DP15" s="45">
        <f>(COUNTIFS($BE$7:$BE$467,"&gt;=40",$H$7:$H$467,"*Standard*",$D$7:$D$467,"&gt;64"))/$DE15</f>
        <v>0.14285714285714285</v>
      </c>
      <c r="DQ15" s="45">
        <f>(COUNTIFS($BF$7:$BF$467,"&gt;=40",$H$7:$H$467,"*Standard*",$D$7:$D$467,"&gt;64"))/$DE15</f>
        <v>0.66666666666666663</v>
      </c>
      <c r="DR15" s="48">
        <f>(COUNTIFS(Table2821115[KS/17 Fold],"&gt;=4",$BF$7:$BF$467,"&gt;=40",$H$7:$H$467,"*Standard*",$D$7:$D$467,"&gt;64"))/$DE15</f>
        <v>0.5714285714285714</v>
      </c>
      <c r="DS15" s="37">
        <f>AVERAGEIFS($CD$7:$CD$467,$H$7:$H$467,"*Standard*",$D$7:$D$467,"&gt;64")</f>
        <v>64.523809523809518</v>
      </c>
      <c r="DT15" s="341">
        <f>AVERAGEIFS($CE$7:$CE$467,$H$7:$H$467,"*Standard*",$D$7:$D$467,"&gt;64")</f>
        <v>113.80952380952381</v>
      </c>
      <c r="DU15" s="341">
        <f t="shared" si="2"/>
        <v>1.1361860429640054</v>
      </c>
      <c r="DV15" s="45">
        <f>(COUNTIFS($CD$7:$CD$467,"&gt;=40",$H$7:$H$467,"*Standard*",$D$7:$D$467,"&gt;64"))/$DE15</f>
        <v>0.47619047619047616</v>
      </c>
      <c r="DW15" s="45">
        <f>(COUNTIFS($CE$7:$CE$467,"&gt;=40",$H$7:$H$467,"*Standard*",$D$7:$D$467,"&gt;64"))/$DE15</f>
        <v>0.66666666666666663</v>
      </c>
      <c r="DX15" s="48">
        <f>(COUNTIFS(Table2821115[Phu/13 Fold],"&gt;=4",$CE$7:$CE$467,"&gt;=40",$H$7:$H$467,"*Standard*",$D$7:$D$467,"&gt;64"))/$DE15</f>
        <v>0.19047619047619047</v>
      </c>
      <c r="DY15" s="37">
        <f>AVERAGEIFS($CP$7:$CP$467,$H$7:$H$467,"*Standard*",$D$7:$D$467,"&gt;64")</f>
        <v>22.38095238095238</v>
      </c>
      <c r="DZ15" s="341">
        <f>AVERAGEIFS($CQ$7:$CQ$467,$H$7:$H$467,"*Standard*",$D$7:$D$467,"&gt;64")</f>
        <v>69.523809523809518</v>
      </c>
      <c r="EA15" s="341">
        <f t="shared" si="3"/>
        <v>1.3646661346196447</v>
      </c>
      <c r="EB15" s="45">
        <f>(COUNTIFS($CP$7:$CP$467,"&gt;=40",$H$7:$H$467,"*Standard*",$D$7:$D$467,"&gt;64"))/$DE15</f>
        <v>0.2857142857142857</v>
      </c>
      <c r="EC15" s="45">
        <f>(COUNTIFS($CQ$7:$CQ$467,"&gt;=40",$H$7:$H$467,"*Standard*",$D$7:$D$467,"&gt;64"))/$DE15</f>
        <v>0.61904761904761907</v>
      </c>
      <c r="ED15" s="55">
        <f>(COUNTIFS(Table2821115[CO/17 Fold],"&gt;=4",$H$7:$H$467,"*Standard*",$D$7:$D$467,"&gt;64"))/$DE15</f>
        <v>0.47619047619047616</v>
      </c>
    </row>
    <row r="16" spans="1:134" s="10" customFormat="1" ht="24" customHeight="1">
      <c r="A16" s="321">
        <v>30</v>
      </c>
      <c r="B16" s="183">
        <v>31782</v>
      </c>
      <c r="C16" s="183">
        <v>43853</v>
      </c>
      <c r="D16" s="182">
        <v>33</v>
      </c>
      <c r="E16" s="4" t="s">
        <v>58</v>
      </c>
      <c r="F16" s="143" t="s">
        <v>118</v>
      </c>
      <c r="G16" s="142">
        <v>26.687805522526091</v>
      </c>
      <c r="H16" s="11" t="s">
        <v>59</v>
      </c>
      <c r="I16" s="281" t="s">
        <v>60</v>
      </c>
      <c r="J16" s="260">
        <v>5</v>
      </c>
      <c r="K16" s="260">
        <v>5</v>
      </c>
      <c r="L16" s="260"/>
      <c r="M16" s="260"/>
      <c r="N16" s="260"/>
      <c r="O16" s="260"/>
      <c r="P16" s="260"/>
      <c r="Q16" s="260"/>
      <c r="R16" s="260"/>
      <c r="S16" s="260"/>
      <c r="T16" s="260"/>
      <c r="U16" s="260"/>
      <c r="V16" s="260">
        <v>5</v>
      </c>
      <c r="W16" s="260">
        <v>10</v>
      </c>
      <c r="X16" s="260">
        <v>160</v>
      </c>
      <c r="Y16" s="260">
        <v>320</v>
      </c>
      <c r="Z16" s="260">
        <v>320</v>
      </c>
      <c r="AA16" s="260">
        <v>640</v>
      </c>
      <c r="AB16" s="260">
        <v>160</v>
      </c>
      <c r="AC16" s="260">
        <v>320</v>
      </c>
      <c r="AD16" s="260"/>
      <c r="AE16" s="260"/>
      <c r="AF16" s="260"/>
      <c r="AG16" s="260"/>
      <c r="AH16" s="32">
        <v>30</v>
      </c>
      <c r="AI16" s="272">
        <v>160</v>
      </c>
      <c r="AJ16" s="271">
        <v>320</v>
      </c>
      <c r="AK16" s="260"/>
      <c r="AL16" s="260"/>
      <c r="AM16" s="260"/>
      <c r="AN16" s="260"/>
      <c r="AO16" s="260"/>
      <c r="AP16" s="260"/>
      <c r="AQ16" s="260"/>
      <c r="AR16" s="260"/>
      <c r="AS16" s="260"/>
      <c r="AT16" s="260"/>
      <c r="AU16" s="260">
        <v>40</v>
      </c>
      <c r="AV16" s="271">
        <v>160</v>
      </c>
      <c r="AW16" s="260">
        <v>20</v>
      </c>
      <c r="AX16" s="271">
        <v>80</v>
      </c>
      <c r="AY16" s="260">
        <v>5</v>
      </c>
      <c r="AZ16" s="271">
        <v>80</v>
      </c>
      <c r="BA16" s="276">
        <v>40</v>
      </c>
      <c r="BB16" s="276">
        <v>80</v>
      </c>
      <c r="BC16" s="276"/>
      <c r="BD16" s="276"/>
      <c r="BE16" s="276">
        <v>5</v>
      </c>
      <c r="BF16" s="276">
        <v>20</v>
      </c>
      <c r="BG16" s="260">
        <v>40</v>
      </c>
      <c r="BH16" s="271">
        <v>160</v>
      </c>
      <c r="BI16" s="276"/>
      <c r="BJ16" s="276"/>
      <c r="BK16" s="276"/>
      <c r="BL16" s="275"/>
      <c r="BM16" s="320">
        <v>30</v>
      </c>
      <c r="BN16" s="272">
        <v>10</v>
      </c>
      <c r="BO16" s="270">
        <v>40</v>
      </c>
      <c r="BP16" s="272"/>
      <c r="BQ16" s="260"/>
      <c r="BR16" s="260"/>
      <c r="BS16" s="260"/>
      <c r="BT16" s="260"/>
      <c r="BU16" s="260"/>
      <c r="BV16" s="260">
        <v>5</v>
      </c>
      <c r="BW16" s="260">
        <v>5</v>
      </c>
      <c r="BX16" s="260"/>
      <c r="BY16" s="260"/>
      <c r="BZ16" s="260"/>
      <c r="CA16" s="260"/>
      <c r="CB16" s="260"/>
      <c r="CC16" s="260"/>
      <c r="CD16" s="260">
        <v>20</v>
      </c>
      <c r="CE16" s="260">
        <v>80</v>
      </c>
      <c r="CF16" s="272"/>
      <c r="CG16" s="260"/>
      <c r="CH16" s="260"/>
      <c r="CI16" s="260"/>
      <c r="CJ16" s="260"/>
      <c r="CK16" s="260"/>
      <c r="CL16" s="260"/>
      <c r="CM16" s="260"/>
      <c r="CN16" s="260">
        <v>5</v>
      </c>
      <c r="CO16" s="260">
        <v>40</v>
      </c>
      <c r="CP16" s="260">
        <v>40</v>
      </c>
      <c r="CQ16" s="260">
        <v>80</v>
      </c>
      <c r="CR16" s="260">
        <v>20</v>
      </c>
      <c r="CS16" s="270">
        <v>80</v>
      </c>
      <c r="CT16" s="319">
        <v>30</v>
      </c>
      <c r="CU16" s="249">
        <f>Table2821115[[#This Row],[D28 - BR/18]]/Table2821115[[#This Row],[D0 - BR/18]]</f>
        <v>2</v>
      </c>
      <c r="CV16" s="248">
        <f>Table2821115[[#This Row],[D28 - KS/17]]/Table2821115[[#This Row],[D0 - KS/17]]</f>
        <v>4</v>
      </c>
      <c r="CW16" s="248">
        <f>Table2821115[[#This Row],[D28 - Phu/13]]/Table2821115[[#This Row],[D0 - Phu/13]]</f>
        <v>4</v>
      </c>
      <c r="CX16" s="248">
        <f>Table2821115[[#This Row],[D28 - CO/17]]/Table2821115[[#This Row],[D0 - CO/17]]</f>
        <v>2</v>
      </c>
      <c r="CY16" s="248">
        <f>LOG(Table2821115[[#This Row],[BR/18 Fold]],2)</f>
        <v>1</v>
      </c>
      <c r="CZ16" s="248">
        <f>LOG(Table2821115[[#This Row],[KS/17 Fold]],2)</f>
        <v>2</v>
      </c>
      <c r="DA16" s="248">
        <f>LOG(Table2821115[[#This Row],[Phu/13 Fold]],2)</f>
        <v>2</v>
      </c>
      <c r="DB16" s="248">
        <f>LOG(Table2821115[[#This Row],[CO/17 Fold]],2)</f>
        <v>1</v>
      </c>
      <c r="DC16" s="248">
        <f>SUM(Table2821115[[#This Row],[BR/18 Log2]:[CO/17 Log2]])</f>
        <v>6</v>
      </c>
      <c r="DE16" s="42">
        <f>COUNTIFS($D$7:$D$467,"&gt;64",$H$7:$H$467,"*High*")</f>
        <v>69</v>
      </c>
      <c r="DF16" s="340" t="s">
        <v>291</v>
      </c>
      <c r="DG16" s="39">
        <f>AVERAGEIFS($AB$7:$AB$467,$H$7:$H$467,"*High*",$D$7:$D$467,"&gt;64")</f>
        <v>13.043478260869565</v>
      </c>
      <c r="DH16" s="338">
        <f>AVERAGEIFS($AC$7:$AC$467,$H$7:$H$467,"*High*",$D$7:$D$467,"&gt;64")</f>
        <v>33.405797101449274</v>
      </c>
      <c r="DI16" s="338">
        <f t="shared" si="0"/>
        <v>1.3661743143164775</v>
      </c>
      <c r="DJ16" s="46">
        <f>(COUNTIFS($AB$7:$AB$467,"&gt;=40",$H$7:$H$467,"*High*",$D$7:$D$467,"&gt;64"))/$DE16</f>
        <v>8.6956521739130432E-2</v>
      </c>
      <c r="DK16" s="46">
        <f>(COUNTIFS($AC$7:$AC$467,"&gt;=40",$H$7:$H$467,"*High*",$D$7:$D$467,"&gt;64"))/$DE16</f>
        <v>0.37681159420289856</v>
      </c>
      <c r="DL16" s="49">
        <f>(COUNTIFS(Table2821115[BR/18 Fold],"&gt;=4",$AC$7:$AC$467,"&gt;=40",$H$7:$H$467,"*High*",$D$7:$D$467,"&gt;64"))/$DE16</f>
        <v>0.2318840579710145</v>
      </c>
      <c r="DM16" s="39">
        <f>AVERAGEIFS($BE$7:$BE$467,$H$7:$H$467,"*High*",$D$7:$D$467,"&gt;64")</f>
        <v>10.72463768115942</v>
      </c>
      <c r="DN16" s="338">
        <f>AVERAGEIFS($BF$7:$BF$467,$H$7:$H$467,"*High*",$D$7:$D$467,"&gt;64")</f>
        <v>83.913043478260875</v>
      </c>
      <c r="DO16" s="338">
        <f t="shared" si="1"/>
        <v>1.8671020054647143</v>
      </c>
      <c r="DP16" s="46">
        <f>(COUNTIFS($BE$7:$BE$467,"&gt;=40",$H$7:$H$467,"*High*",$D$7:$D$467,"&gt;64"))/$DE16</f>
        <v>8.6956521739130432E-2</v>
      </c>
      <c r="DQ16" s="46">
        <f>(COUNTIFS($BF$7:$BF$467,"&gt;=40",$H$7:$H$467,"*High*",$D$7:$D$467,"&gt;64"))/$DE16</f>
        <v>0.53623188405797106</v>
      </c>
      <c r="DR16" s="49">
        <f>(COUNTIFS(Table2821115[KS/17 Fold],"&gt;=4",$BF$7:$BF$467,"&gt;=40",$H$7:$H$467,"*High*",$D$7:$D$467,"&gt;64"))/$DE16</f>
        <v>0.46376811594202899</v>
      </c>
      <c r="DS16" s="39">
        <f>AVERAGEIFS($CD$7:$CD$467,$H$7:$H$467,"*High*",$D$7:$D$467,"&gt;64")</f>
        <v>60.94202898550725</v>
      </c>
      <c r="DT16" s="338">
        <f>AVERAGEIFS($CE$7:$CE$467,$H$7:$H$467,"*High*",$D$7:$D$467,"&gt;64")</f>
        <v>66.884057971014499</v>
      </c>
      <c r="DU16" s="338">
        <f t="shared" si="2"/>
        <v>1.0226373031793718</v>
      </c>
      <c r="DV16" s="46">
        <f>(COUNTIFS($CD$7:$CD$467,"&gt;=40",$H$7:$H$467,"*High*",$D$7:$D$467,"&gt;64"))/$DE16</f>
        <v>0.46376811594202899</v>
      </c>
      <c r="DW16" s="46">
        <f>(COUNTIFS($CE$7:$CE$467,"&gt;=40",$H$7:$H$467,"*High*",$D$7:$D$467,"&gt;64"))/$DE16</f>
        <v>0.55072463768115942</v>
      </c>
      <c r="DX16" s="49">
        <f>(COUNTIFS(Table2821115[Phu/13 Fold],"&gt;=4",$CE$7:$CE$467,"&gt;=40",$H$7:$H$467,"*High*",$D$7:$D$467,"&gt;64"))/$DE16</f>
        <v>4.3478260869565216E-2</v>
      </c>
      <c r="DY16" s="39">
        <f>AVERAGEIFS($CP$7:$CP$467,$H$7:$H$467,"*High*",$D$7:$D$467,"&gt;64")</f>
        <v>28.913043478260871</v>
      </c>
      <c r="DZ16" s="338">
        <f>AVERAGEIFS($CQ$7:$CQ$467,$H$7:$H$467,"*High*",$D$7:$D$467,"&gt;64")</f>
        <v>56.811594202898547</v>
      </c>
      <c r="EA16" s="338">
        <f t="shared" si="3"/>
        <v>1.2007695639619043</v>
      </c>
      <c r="EB16" s="46">
        <f>(COUNTIFS($CP$7:$CP$467,"&gt;=40",$H$7:$H$467,"*High*",$D$7:$D$467,"&gt;64"))/$DE16</f>
        <v>0.28985507246376813</v>
      </c>
      <c r="EC16" s="46">
        <f>(COUNTIFS($CQ$7:$CQ$467,"&gt;=40",$H$7:$H$467,"*High*",$D$7:$D$467,"&gt;64"))/$DE16</f>
        <v>0.71014492753623193</v>
      </c>
      <c r="ED16" s="54">
        <f>(COUNTIFS(Table2821115[CO/17 Fold],"&gt;=4",$H$7:$H$467,"*High*",$D$7:$D$467,"&gt;64"))/$DE16</f>
        <v>0.28985507246376813</v>
      </c>
    </row>
    <row r="17" spans="1:134" s="10" customFormat="1" ht="24" customHeight="1" thickBot="1">
      <c r="A17" s="321">
        <v>34</v>
      </c>
      <c r="B17" s="183">
        <v>33042</v>
      </c>
      <c r="C17" s="183">
        <v>43788</v>
      </c>
      <c r="D17" s="182">
        <v>29</v>
      </c>
      <c r="E17" s="3" t="s">
        <v>61</v>
      </c>
      <c r="F17" s="143" t="s">
        <v>116</v>
      </c>
      <c r="G17" s="142">
        <v>27.109248242293134</v>
      </c>
      <c r="H17" s="11" t="s">
        <v>59</v>
      </c>
      <c r="I17" s="281" t="s">
        <v>60</v>
      </c>
      <c r="J17" s="260">
        <v>5</v>
      </c>
      <c r="K17" s="260">
        <v>5</v>
      </c>
      <c r="L17" s="260"/>
      <c r="M17" s="260"/>
      <c r="N17" s="260"/>
      <c r="O17" s="260"/>
      <c r="P17" s="260"/>
      <c r="Q17" s="260"/>
      <c r="R17" s="260"/>
      <c r="S17" s="260"/>
      <c r="T17" s="260"/>
      <c r="U17" s="260"/>
      <c r="V17" s="260">
        <v>5</v>
      </c>
      <c r="W17" s="260">
        <v>5</v>
      </c>
      <c r="X17" s="260">
        <v>40</v>
      </c>
      <c r="Y17" s="260">
        <v>160</v>
      </c>
      <c r="Z17" s="260">
        <v>80</v>
      </c>
      <c r="AA17" s="260">
        <v>160</v>
      </c>
      <c r="AB17" s="260">
        <v>80</v>
      </c>
      <c r="AC17" s="260">
        <v>160</v>
      </c>
      <c r="AD17" s="260"/>
      <c r="AE17" s="260"/>
      <c r="AF17" s="260"/>
      <c r="AG17" s="260"/>
      <c r="AH17" s="32">
        <v>34</v>
      </c>
      <c r="AI17" s="272">
        <v>160</v>
      </c>
      <c r="AJ17" s="271">
        <v>320</v>
      </c>
      <c r="AK17" s="260"/>
      <c r="AL17" s="260"/>
      <c r="AM17" s="260"/>
      <c r="AN17" s="260"/>
      <c r="AO17" s="260"/>
      <c r="AP17" s="260"/>
      <c r="AQ17" s="260"/>
      <c r="AR17" s="260"/>
      <c r="AS17" s="260"/>
      <c r="AT17" s="260"/>
      <c r="AU17" s="260">
        <v>640</v>
      </c>
      <c r="AV17" s="271">
        <v>1280</v>
      </c>
      <c r="AW17" s="260">
        <v>320</v>
      </c>
      <c r="AX17" s="271">
        <v>640</v>
      </c>
      <c r="AY17" s="260">
        <v>320</v>
      </c>
      <c r="AZ17" s="271">
        <v>640</v>
      </c>
      <c r="BA17" s="276">
        <v>320</v>
      </c>
      <c r="BB17" s="276">
        <v>640</v>
      </c>
      <c r="BC17" s="276"/>
      <c r="BD17" s="276"/>
      <c r="BE17" s="276">
        <v>20</v>
      </c>
      <c r="BF17" s="276">
        <v>160</v>
      </c>
      <c r="BG17" s="260">
        <v>320</v>
      </c>
      <c r="BH17" s="271">
        <v>1280</v>
      </c>
      <c r="BI17" s="276"/>
      <c r="BJ17" s="276"/>
      <c r="BK17" s="276"/>
      <c r="BL17" s="275"/>
      <c r="BM17" s="320">
        <v>34</v>
      </c>
      <c r="BN17" s="272">
        <v>640</v>
      </c>
      <c r="BO17" s="270">
        <v>1280</v>
      </c>
      <c r="BP17" s="272"/>
      <c r="BQ17" s="260"/>
      <c r="BR17" s="260"/>
      <c r="BS17" s="260"/>
      <c r="BT17" s="260"/>
      <c r="BU17" s="260"/>
      <c r="BV17" s="260">
        <v>320</v>
      </c>
      <c r="BW17" s="260">
        <v>640</v>
      </c>
      <c r="BX17" s="260"/>
      <c r="BY17" s="260"/>
      <c r="BZ17" s="260"/>
      <c r="CA17" s="260"/>
      <c r="CB17" s="260"/>
      <c r="CC17" s="260"/>
      <c r="CD17" s="260">
        <v>320</v>
      </c>
      <c r="CE17" s="260">
        <v>640</v>
      </c>
      <c r="CF17" s="272"/>
      <c r="CG17" s="260"/>
      <c r="CH17" s="260"/>
      <c r="CI17" s="260"/>
      <c r="CJ17" s="260"/>
      <c r="CK17" s="260"/>
      <c r="CL17" s="260"/>
      <c r="CM17" s="260"/>
      <c r="CN17" s="260">
        <v>160</v>
      </c>
      <c r="CO17" s="260">
        <v>320</v>
      </c>
      <c r="CP17" s="260">
        <v>40</v>
      </c>
      <c r="CQ17" s="260">
        <v>160</v>
      </c>
      <c r="CR17" s="260">
        <v>20</v>
      </c>
      <c r="CS17" s="270">
        <v>40</v>
      </c>
      <c r="CT17" s="319">
        <v>34</v>
      </c>
      <c r="CU17" s="249">
        <f>Table2821115[[#This Row],[D28 - BR/18]]/Table2821115[[#This Row],[D0 - BR/18]]</f>
        <v>2</v>
      </c>
      <c r="CV17" s="248">
        <f>Table2821115[[#This Row],[D28 - KS/17]]/Table2821115[[#This Row],[D0 - KS/17]]</f>
        <v>8</v>
      </c>
      <c r="CW17" s="248">
        <f>Table2821115[[#This Row],[D28 - Phu/13]]/Table2821115[[#This Row],[D0 - Phu/13]]</f>
        <v>2</v>
      </c>
      <c r="CX17" s="248">
        <f>Table2821115[[#This Row],[D28 - CO/17]]/Table2821115[[#This Row],[D0 - CO/17]]</f>
        <v>4</v>
      </c>
      <c r="CY17" s="248">
        <f>LOG(Table2821115[[#This Row],[BR/18 Fold]],2)</f>
        <v>1</v>
      </c>
      <c r="CZ17" s="248">
        <f>LOG(Table2821115[[#This Row],[KS/17 Fold]],2)</f>
        <v>3</v>
      </c>
      <c r="DA17" s="248">
        <f>LOG(Table2821115[[#This Row],[Phu/13 Fold]],2)</f>
        <v>1</v>
      </c>
      <c r="DB17" s="248">
        <f>LOG(Table2821115[[#This Row],[CO/17 Fold]],2)</f>
        <v>2</v>
      </c>
      <c r="DC17" s="248">
        <f>SUM(Table2821115[[#This Row],[BR/18 Log2]:[CO/17 Log2]])</f>
        <v>7</v>
      </c>
      <c r="DE17" s="43">
        <f>COUNT($D$7:$D$467)</f>
        <v>461</v>
      </c>
      <c r="DF17" s="337" t="s">
        <v>278</v>
      </c>
      <c r="DG17" s="336">
        <f>GEOMEAN($AB$7:$AB$467)</f>
        <v>23.244988944442113</v>
      </c>
      <c r="DH17" s="335">
        <f>GEOMEAN($AC$7:$AC$467)</f>
        <v>53.386904488431455</v>
      </c>
      <c r="DI17" s="335">
        <f t="shared" si="0"/>
        <v>1.2642886926899231</v>
      </c>
      <c r="DJ17" s="56">
        <f>(COUNTIF($AB$7:$AB$467,"&gt;=40"))/$DE17</f>
        <v>0.4316702819956616</v>
      </c>
      <c r="DK17" s="56">
        <f>(COUNTIF($AC$7:$AC$467,"&gt;=40"))/$DE17</f>
        <v>0.70498915401301521</v>
      </c>
      <c r="DL17" s="57">
        <f>(COUNTIFS(Table2821115[BR/18 Fold],"&gt;=4",$AC$7:$AC$467,"&gt;=40"))/$DE17</f>
        <v>0.24078091106290672</v>
      </c>
      <c r="DM17" s="336">
        <f>GEOMEAN($BE$7:$BE$467)</f>
        <v>11.94134459234593</v>
      </c>
      <c r="DN17" s="335">
        <f>GEOMEAN($BF$7:$BF$467)</f>
        <v>55.515284606170951</v>
      </c>
      <c r="DO17" s="335">
        <f t="shared" si="1"/>
        <v>1.6196159302285569</v>
      </c>
      <c r="DP17" s="56">
        <f>(COUNTIF($BE$7:$BE$467,"&gt;=40"))/$DE17</f>
        <v>0.21258134490238612</v>
      </c>
      <c r="DQ17" s="56">
        <f>(COUNTIF($BF$7:$BF$467,"&gt;=40"))/$DE17</f>
        <v>0.65726681127982645</v>
      </c>
      <c r="DR17" s="57">
        <f>(COUNTIFS($BF$7:$BF$467,"&gt;=40",Table2821115[KS/17 Fold],"&gt;=4"))/$DE17</f>
        <v>0.49674620390455532</v>
      </c>
      <c r="DS17" s="336">
        <f>GEOMEAN($CD$7:$CD$467)</f>
        <v>42.28835096918889</v>
      </c>
      <c r="DT17" s="335">
        <f>GEOMEAN($CE$7:$CE$467)</f>
        <v>89.012812666767118</v>
      </c>
      <c r="DU17" s="335">
        <f t="shared" si="2"/>
        <v>1.198762544412554</v>
      </c>
      <c r="DV17" s="56">
        <f>(COUNTIF($CD$7:$CD$467,"&gt;=40"))/$DE17</f>
        <v>0.63557483731019526</v>
      </c>
      <c r="DW17" s="56">
        <f>(COUNTIF($CE$7:$CE$467,"&gt;=40"))/$DE17</f>
        <v>0.84598698481561818</v>
      </c>
      <c r="DX17" s="57">
        <f>(COUNTIFS($CE$7:$CE$467,"&gt;=40",Table2821115[Phu/13 Fold],"&gt;=4"))/$DE17</f>
        <v>0.25379609544468545</v>
      </c>
      <c r="DY17" s="336">
        <f>GEOMEAN($CP$7:$CP$467)</f>
        <v>32.116110449143214</v>
      </c>
      <c r="DZ17" s="335">
        <f>GEOMEAN($CQ$7:$CQ$467)</f>
        <v>67.906867521930153</v>
      </c>
      <c r="EA17" s="335">
        <f t="shared" si="3"/>
        <v>1.2158265101669341</v>
      </c>
      <c r="EB17" s="56">
        <f>(COUNTIF($CP$7:$CP$467,"&gt;=40"))/$DE17</f>
        <v>0.5488069414316703</v>
      </c>
      <c r="EC17" s="56">
        <f>(COUNTIF($CQ$7:$CQ$467,"&gt;=40"))/$DE17</f>
        <v>0.81344902386117135</v>
      </c>
      <c r="ED17" s="58">
        <f>(COUNTIF(Table2821115[CO/17 Fold],"&gt;=4"))/$DE17</f>
        <v>0.29284164859002171</v>
      </c>
    </row>
    <row r="18" spans="1:134" s="10" customFormat="1" ht="24" customHeight="1">
      <c r="A18" s="318">
        <v>37</v>
      </c>
      <c r="B18" s="180">
        <v>21742</v>
      </c>
      <c r="C18" s="180">
        <v>43740</v>
      </c>
      <c r="D18" s="179">
        <v>60</v>
      </c>
      <c r="E18" s="3" t="s">
        <v>61</v>
      </c>
      <c r="F18" s="143" t="s">
        <v>116</v>
      </c>
      <c r="G18" s="142">
        <v>29.273183235230636</v>
      </c>
      <c r="H18" s="11" t="s">
        <v>59</v>
      </c>
      <c r="I18" s="281" t="s">
        <v>60</v>
      </c>
      <c r="J18" s="260">
        <v>5</v>
      </c>
      <c r="K18" s="260">
        <v>5</v>
      </c>
      <c r="L18" s="260"/>
      <c r="M18" s="260"/>
      <c r="N18" s="260"/>
      <c r="O18" s="260"/>
      <c r="P18" s="260"/>
      <c r="Q18" s="260"/>
      <c r="R18" s="260"/>
      <c r="S18" s="260"/>
      <c r="T18" s="260"/>
      <c r="U18" s="260"/>
      <c r="V18" s="260">
        <v>5</v>
      </c>
      <c r="W18" s="260">
        <v>5</v>
      </c>
      <c r="X18" s="260">
        <v>40</v>
      </c>
      <c r="Y18" s="260">
        <v>160</v>
      </c>
      <c r="Z18" s="260">
        <v>80</v>
      </c>
      <c r="AA18" s="260">
        <v>320</v>
      </c>
      <c r="AB18" s="260">
        <v>80</v>
      </c>
      <c r="AC18" s="260">
        <v>160</v>
      </c>
      <c r="AD18" s="260"/>
      <c r="AE18" s="260"/>
      <c r="AF18" s="260"/>
      <c r="AG18" s="260"/>
      <c r="AH18" s="195">
        <v>37</v>
      </c>
      <c r="AI18" s="272">
        <v>5</v>
      </c>
      <c r="AJ18" s="271">
        <v>5</v>
      </c>
      <c r="AK18" s="260"/>
      <c r="AL18" s="260"/>
      <c r="AM18" s="260"/>
      <c r="AN18" s="260"/>
      <c r="AO18" s="260"/>
      <c r="AP18" s="260"/>
      <c r="AQ18" s="260"/>
      <c r="AR18" s="260"/>
      <c r="AS18" s="260"/>
      <c r="AT18" s="260"/>
      <c r="AU18" s="260">
        <v>40</v>
      </c>
      <c r="AV18" s="271">
        <v>640</v>
      </c>
      <c r="AW18" s="260">
        <v>40</v>
      </c>
      <c r="AX18" s="271">
        <v>1280</v>
      </c>
      <c r="AY18" s="260">
        <v>5</v>
      </c>
      <c r="AZ18" s="271">
        <v>5</v>
      </c>
      <c r="BA18" s="276">
        <v>40</v>
      </c>
      <c r="BB18" s="276">
        <v>640</v>
      </c>
      <c r="BC18" s="276"/>
      <c r="BD18" s="276"/>
      <c r="BE18" s="276">
        <v>10</v>
      </c>
      <c r="BF18" s="276">
        <v>640</v>
      </c>
      <c r="BG18" s="260">
        <v>40</v>
      </c>
      <c r="BH18" s="271">
        <v>640</v>
      </c>
      <c r="BI18" s="276"/>
      <c r="BJ18" s="276"/>
      <c r="BK18" s="276"/>
      <c r="BL18" s="275"/>
      <c r="BM18" s="316">
        <v>37</v>
      </c>
      <c r="BN18" s="272">
        <v>10</v>
      </c>
      <c r="BO18" s="270">
        <v>40</v>
      </c>
      <c r="BP18" s="272"/>
      <c r="BQ18" s="260"/>
      <c r="BR18" s="260"/>
      <c r="BS18" s="260"/>
      <c r="BT18" s="260"/>
      <c r="BU18" s="260"/>
      <c r="BV18" s="260">
        <v>5</v>
      </c>
      <c r="BW18" s="260">
        <v>80</v>
      </c>
      <c r="BX18" s="260"/>
      <c r="BY18" s="260"/>
      <c r="BZ18" s="260"/>
      <c r="CA18" s="260"/>
      <c r="CB18" s="260"/>
      <c r="CC18" s="260"/>
      <c r="CD18" s="260">
        <v>20</v>
      </c>
      <c r="CE18" s="260">
        <v>160</v>
      </c>
      <c r="CF18" s="272"/>
      <c r="CG18" s="260"/>
      <c r="CH18" s="260"/>
      <c r="CI18" s="260"/>
      <c r="CJ18" s="260"/>
      <c r="CK18" s="260"/>
      <c r="CL18" s="260"/>
      <c r="CM18" s="260"/>
      <c r="CN18" s="260">
        <v>10</v>
      </c>
      <c r="CO18" s="260">
        <v>40</v>
      </c>
      <c r="CP18" s="260">
        <v>10</v>
      </c>
      <c r="CQ18" s="260">
        <v>40</v>
      </c>
      <c r="CR18" s="260">
        <v>5</v>
      </c>
      <c r="CS18" s="270">
        <v>20</v>
      </c>
      <c r="CT18" s="315">
        <v>37</v>
      </c>
      <c r="CU18" s="249">
        <f>Table2821115[[#This Row],[D28 - BR/18]]/Table2821115[[#This Row],[D0 - BR/18]]</f>
        <v>2</v>
      </c>
      <c r="CV18" s="248">
        <f>Table2821115[[#This Row],[D28 - KS/17]]/Table2821115[[#This Row],[D0 - KS/17]]</f>
        <v>64</v>
      </c>
      <c r="CW18" s="248">
        <f>Table2821115[[#This Row],[D28 - Phu/13]]/Table2821115[[#This Row],[D0 - Phu/13]]</f>
        <v>8</v>
      </c>
      <c r="CX18" s="248">
        <f>Table2821115[[#This Row],[D28 - CO/17]]/Table2821115[[#This Row],[D0 - CO/17]]</f>
        <v>4</v>
      </c>
      <c r="CY18" s="248">
        <f>LOG(Table2821115[[#This Row],[BR/18 Fold]],2)</f>
        <v>1</v>
      </c>
      <c r="CZ18" s="248">
        <f>LOG(Table2821115[[#This Row],[KS/17 Fold]],2)</f>
        <v>6</v>
      </c>
      <c r="DA18" s="248">
        <f>LOG(Table2821115[[#This Row],[Phu/13 Fold]],2)</f>
        <v>3</v>
      </c>
      <c r="DB18" s="248">
        <f>LOG(Table2821115[[#This Row],[CO/17 Fold]],2)</f>
        <v>2</v>
      </c>
      <c r="DC18" s="248">
        <f>SUM(Table2821115[[#This Row],[BR/18 Log2]:[CO/17 Log2]])</f>
        <v>12</v>
      </c>
      <c r="DE18" s="484" t="s">
        <v>1219</v>
      </c>
      <c r="DF18" s="482"/>
      <c r="DG18" s="481" t="s">
        <v>272</v>
      </c>
      <c r="DH18" s="482"/>
      <c r="DI18" s="482"/>
      <c r="DJ18" s="482"/>
      <c r="DK18" s="482"/>
      <c r="DL18" s="483"/>
      <c r="DM18" s="481" t="s">
        <v>273</v>
      </c>
      <c r="DN18" s="482"/>
      <c r="DO18" s="482"/>
      <c r="DP18" s="482"/>
      <c r="DQ18" s="482"/>
      <c r="DR18" s="483"/>
      <c r="DS18" s="481" t="s">
        <v>290</v>
      </c>
      <c r="DT18" s="482"/>
      <c r="DU18" s="482"/>
      <c r="DV18" s="482"/>
      <c r="DW18" s="482"/>
      <c r="DX18" s="483"/>
      <c r="DY18" s="481" t="s">
        <v>274</v>
      </c>
      <c r="DZ18" s="482"/>
      <c r="EA18" s="482"/>
      <c r="EB18" s="482"/>
      <c r="EC18" s="482"/>
      <c r="ED18" s="498"/>
    </row>
    <row r="19" spans="1:134" s="10" customFormat="1" ht="24" customHeight="1">
      <c r="A19" s="324">
        <v>38</v>
      </c>
      <c r="B19" s="190">
        <v>26961</v>
      </c>
      <c r="C19" s="190">
        <v>43769</v>
      </c>
      <c r="D19" s="189">
        <v>46</v>
      </c>
      <c r="E19" s="4" t="s">
        <v>58</v>
      </c>
      <c r="F19" s="143" t="s">
        <v>116</v>
      </c>
      <c r="G19" s="142">
        <v>30.643538270697825</v>
      </c>
      <c r="H19" s="11" t="s">
        <v>59</v>
      </c>
      <c r="I19" s="281" t="s">
        <v>60</v>
      </c>
      <c r="J19" s="260">
        <v>5</v>
      </c>
      <c r="K19" s="260">
        <v>5</v>
      </c>
      <c r="L19" s="260"/>
      <c r="M19" s="260"/>
      <c r="N19" s="260"/>
      <c r="O19" s="260"/>
      <c r="P19" s="260"/>
      <c r="Q19" s="260"/>
      <c r="R19" s="260"/>
      <c r="S19" s="260"/>
      <c r="T19" s="260"/>
      <c r="U19" s="260"/>
      <c r="V19" s="260">
        <v>20</v>
      </c>
      <c r="W19" s="260">
        <v>20</v>
      </c>
      <c r="X19" s="260">
        <v>160</v>
      </c>
      <c r="Y19" s="260">
        <v>10</v>
      </c>
      <c r="Z19" s="260">
        <v>20</v>
      </c>
      <c r="AA19" s="260">
        <v>80</v>
      </c>
      <c r="AB19" s="260">
        <v>20</v>
      </c>
      <c r="AC19" s="260">
        <v>40</v>
      </c>
      <c r="AD19" s="260"/>
      <c r="AE19" s="260"/>
      <c r="AF19" s="260"/>
      <c r="AG19" s="260"/>
      <c r="AH19" s="198">
        <v>38</v>
      </c>
      <c r="AI19" s="272">
        <v>5</v>
      </c>
      <c r="AJ19" s="271">
        <v>5</v>
      </c>
      <c r="AK19" s="260"/>
      <c r="AL19" s="260"/>
      <c r="AM19" s="260"/>
      <c r="AN19" s="260"/>
      <c r="AO19" s="260"/>
      <c r="AP19" s="260"/>
      <c r="AQ19" s="260"/>
      <c r="AR19" s="260"/>
      <c r="AS19" s="260"/>
      <c r="AT19" s="260"/>
      <c r="AU19" s="260">
        <v>40</v>
      </c>
      <c r="AV19" s="271">
        <v>80</v>
      </c>
      <c r="AW19" s="260">
        <v>40</v>
      </c>
      <c r="AX19" s="271">
        <v>160</v>
      </c>
      <c r="AY19" s="260">
        <v>40</v>
      </c>
      <c r="AZ19" s="271">
        <v>640</v>
      </c>
      <c r="BA19" s="276">
        <v>40</v>
      </c>
      <c r="BB19" s="276">
        <v>160</v>
      </c>
      <c r="BC19" s="276"/>
      <c r="BD19" s="276"/>
      <c r="BE19" s="276">
        <v>10</v>
      </c>
      <c r="BF19" s="276">
        <v>160</v>
      </c>
      <c r="BG19" s="260">
        <v>40</v>
      </c>
      <c r="BH19" s="271">
        <v>160</v>
      </c>
      <c r="BI19" s="276"/>
      <c r="BJ19" s="276"/>
      <c r="BK19" s="276"/>
      <c r="BL19" s="275"/>
      <c r="BM19" s="323">
        <v>38</v>
      </c>
      <c r="BN19" s="272">
        <v>160</v>
      </c>
      <c r="BO19" s="270">
        <v>160</v>
      </c>
      <c r="BP19" s="272"/>
      <c r="BQ19" s="260"/>
      <c r="BR19" s="260"/>
      <c r="BS19" s="260"/>
      <c r="BT19" s="260"/>
      <c r="BU19" s="260"/>
      <c r="BV19" s="260">
        <v>160</v>
      </c>
      <c r="BW19" s="260">
        <v>5</v>
      </c>
      <c r="BX19" s="260"/>
      <c r="BY19" s="260"/>
      <c r="BZ19" s="260"/>
      <c r="CA19" s="260"/>
      <c r="CB19" s="260"/>
      <c r="CC19" s="260"/>
      <c r="CD19" s="260">
        <v>80</v>
      </c>
      <c r="CE19" s="260">
        <v>80</v>
      </c>
      <c r="CF19" s="272"/>
      <c r="CG19" s="260"/>
      <c r="CH19" s="260"/>
      <c r="CI19" s="260"/>
      <c r="CJ19" s="260"/>
      <c r="CK19" s="260"/>
      <c r="CL19" s="260"/>
      <c r="CM19" s="260"/>
      <c r="CN19" s="260">
        <v>80</v>
      </c>
      <c r="CO19" s="260">
        <v>80</v>
      </c>
      <c r="CP19" s="260">
        <v>160</v>
      </c>
      <c r="CQ19" s="260">
        <v>160</v>
      </c>
      <c r="CR19" s="260">
        <v>80</v>
      </c>
      <c r="CS19" s="270">
        <v>80</v>
      </c>
      <c r="CT19" s="322">
        <v>38</v>
      </c>
      <c r="CU19" s="249">
        <f>Table2821115[[#This Row],[D28 - BR/18]]/Table2821115[[#This Row],[D0 - BR/18]]</f>
        <v>2</v>
      </c>
      <c r="CV19" s="248">
        <f>Table2821115[[#This Row],[D28 - KS/17]]/Table2821115[[#This Row],[D0 - KS/17]]</f>
        <v>16</v>
      </c>
      <c r="CW19" s="248">
        <f>Table2821115[[#This Row],[D28 - Phu/13]]/Table2821115[[#This Row],[D0 - Phu/13]]</f>
        <v>1</v>
      </c>
      <c r="CX19" s="248">
        <f>Table2821115[[#This Row],[D28 - CO/17]]/Table2821115[[#This Row],[D0 - CO/17]]</f>
        <v>1</v>
      </c>
      <c r="CY19" s="248">
        <f>LOG(Table2821115[[#This Row],[BR/18 Fold]],2)</f>
        <v>1</v>
      </c>
      <c r="CZ19" s="248">
        <f>LOG(Table2821115[[#This Row],[KS/17 Fold]],2)</f>
        <v>4</v>
      </c>
      <c r="DA19" s="248">
        <f>LOG(Table2821115[[#This Row],[Phu/13 Fold]],2)</f>
        <v>0</v>
      </c>
      <c r="DB19" s="248">
        <f>LOG(Table2821115[[#This Row],[CO/17 Fold]],2)</f>
        <v>0</v>
      </c>
      <c r="DC19" s="248">
        <f>SUM(Table2821115[[#This Row],[BR/18 Log2]:[CO/17 Log2]])</f>
        <v>5</v>
      </c>
      <c r="DE19" s="52" t="s">
        <v>65</v>
      </c>
      <c r="DF19" s="51" t="s">
        <v>17</v>
      </c>
      <c r="DG19" s="354" t="s">
        <v>275</v>
      </c>
      <c r="DH19" s="353" t="s">
        <v>276</v>
      </c>
      <c r="DI19" s="353" t="s">
        <v>277</v>
      </c>
      <c r="DJ19" s="353" t="s">
        <v>285</v>
      </c>
      <c r="DK19" s="353" t="s">
        <v>286</v>
      </c>
      <c r="DL19" s="355" t="s">
        <v>284</v>
      </c>
      <c r="DM19" s="354" t="s">
        <v>275</v>
      </c>
      <c r="DN19" s="353" t="s">
        <v>276</v>
      </c>
      <c r="DO19" s="353" t="s">
        <v>277</v>
      </c>
      <c r="DP19" s="353" t="s">
        <v>285</v>
      </c>
      <c r="DQ19" s="353" t="s">
        <v>286</v>
      </c>
      <c r="DR19" s="355" t="s">
        <v>284</v>
      </c>
      <c r="DS19" s="354" t="s">
        <v>275</v>
      </c>
      <c r="DT19" s="353" t="s">
        <v>276</v>
      </c>
      <c r="DU19" s="353" t="s">
        <v>277</v>
      </c>
      <c r="DV19" s="353" t="s">
        <v>285</v>
      </c>
      <c r="DW19" s="353" t="s">
        <v>286</v>
      </c>
      <c r="DX19" s="355" t="s">
        <v>284</v>
      </c>
      <c r="DY19" s="354" t="s">
        <v>275</v>
      </c>
      <c r="DZ19" s="353" t="s">
        <v>276</v>
      </c>
      <c r="EA19" s="353" t="s">
        <v>277</v>
      </c>
      <c r="EB19" s="353" t="s">
        <v>285</v>
      </c>
      <c r="EC19" s="353" t="s">
        <v>286</v>
      </c>
      <c r="ED19" s="352" t="s">
        <v>284</v>
      </c>
    </row>
    <row r="20" spans="1:134" s="10" customFormat="1" ht="24" customHeight="1">
      <c r="A20" s="321">
        <v>39</v>
      </c>
      <c r="B20" s="183">
        <v>34635</v>
      </c>
      <c r="C20" s="183">
        <v>43803</v>
      </c>
      <c r="D20" s="182">
        <v>25</v>
      </c>
      <c r="E20" s="3" t="s">
        <v>61</v>
      </c>
      <c r="F20" s="143" t="s">
        <v>116</v>
      </c>
      <c r="G20" s="142">
        <v>23.454815812361474</v>
      </c>
      <c r="H20" s="11" t="s">
        <v>59</v>
      </c>
      <c r="I20" s="281" t="s">
        <v>60</v>
      </c>
      <c r="J20" s="260">
        <v>5</v>
      </c>
      <c r="K20" s="260">
        <v>5</v>
      </c>
      <c r="L20" s="260"/>
      <c r="M20" s="260"/>
      <c r="N20" s="260"/>
      <c r="O20" s="260"/>
      <c r="P20" s="260"/>
      <c r="Q20" s="260"/>
      <c r="R20" s="260"/>
      <c r="S20" s="260"/>
      <c r="T20" s="260"/>
      <c r="U20" s="260"/>
      <c r="V20" s="260">
        <v>5</v>
      </c>
      <c r="W20" s="260">
        <v>5</v>
      </c>
      <c r="X20" s="260">
        <v>40</v>
      </c>
      <c r="Y20" s="260">
        <v>80</v>
      </c>
      <c r="Z20" s="260">
        <v>80</v>
      </c>
      <c r="AA20" s="260">
        <v>80</v>
      </c>
      <c r="AB20" s="260">
        <v>40</v>
      </c>
      <c r="AC20" s="260">
        <v>40</v>
      </c>
      <c r="AD20" s="260"/>
      <c r="AE20" s="260"/>
      <c r="AF20" s="260"/>
      <c r="AG20" s="260"/>
      <c r="AH20" s="32">
        <v>39</v>
      </c>
      <c r="AI20" s="272">
        <v>160</v>
      </c>
      <c r="AJ20" s="271">
        <v>160</v>
      </c>
      <c r="AK20" s="260"/>
      <c r="AL20" s="260"/>
      <c r="AM20" s="260"/>
      <c r="AN20" s="260"/>
      <c r="AO20" s="260"/>
      <c r="AP20" s="260"/>
      <c r="AQ20" s="260"/>
      <c r="AR20" s="260"/>
      <c r="AS20" s="260"/>
      <c r="AT20" s="260"/>
      <c r="AU20" s="260">
        <v>320</v>
      </c>
      <c r="AV20" s="271">
        <v>320</v>
      </c>
      <c r="AW20" s="260">
        <v>160</v>
      </c>
      <c r="AX20" s="271">
        <v>160</v>
      </c>
      <c r="AY20" s="260">
        <v>160</v>
      </c>
      <c r="AZ20" s="271">
        <v>160</v>
      </c>
      <c r="BA20" s="276">
        <v>160</v>
      </c>
      <c r="BB20" s="276">
        <v>160</v>
      </c>
      <c r="BC20" s="276"/>
      <c r="BD20" s="276"/>
      <c r="BE20" s="276">
        <v>80</v>
      </c>
      <c r="BF20" s="276">
        <v>80</v>
      </c>
      <c r="BG20" s="260">
        <v>320</v>
      </c>
      <c r="BH20" s="271">
        <v>320</v>
      </c>
      <c r="BI20" s="276"/>
      <c r="BJ20" s="276"/>
      <c r="BK20" s="276"/>
      <c r="BL20" s="275"/>
      <c r="BM20" s="320">
        <v>39</v>
      </c>
      <c r="BN20" s="272">
        <v>20</v>
      </c>
      <c r="BO20" s="270">
        <v>20</v>
      </c>
      <c r="BP20" s="272"/>
      <c r="BQ20" s="260"/>
      <c r="BR20" s="260"/>
      <c r="BS20" s="260"/>
      <c r="BT20" s="260"/>
      <c r="BU20" s="260"/>
      <c r="BV20" s="260">
        <v>160</v>
      </c>
      <c r="BW20" s="260">
        <v>160</v>
      </c>
      <c r="BX20" s="260"/>
      <c r="BY20" s="260"/>
      <c r="BZ20" s="260"/>
      <c r="CA20" s="260"/>
      <c r="CB20" s="260"/>
      <c r="CC20" s="260"/>
      <c r="CD20" s="260">
        <v>160</v>
      </c>
      <c r="CE20" s="260">
        <v>160</v>
      </c>
      <c r="CF20" s="272"/>
      <c r="CG20" s="260"/>
      <c r="CH20" s="260"/>
      <c r="CI20" s="260"/>
      <c r="CJ20" s="260"/>
      <c r="CK20" s="260"/>
      <c r="CL20" s="260"/>
      <c r="CM20" s="260"/>
      <c r="CN20" s="260">
        <v>5</v>
      </c>
      <c r="CO20" s="260">
        <v>10</v>
      </c>
      <c r="CP20" s="260">
        <v>5</v>
      </c>
      <c r="CQ20" s="260">
        <v>20</v>
      </c>
      <c r="CR20" s="260">
        <v>5</v>
      </c>
      <c r="CS20" s="270">
        <v>10</v>
      </c>
      <c r="CT20" s="319">
        <v>39</v>
      </c>
      <c r="CU20" s="249">
        <f>Table2821115[[#This Row],[D28 - BR/18]]/Table2821115[[#This Row],[D0 - BR/18]]</f>
        <v>1</v>
      </c>
      <c r="CV20" s="248">
        <f>Table2821115[[#This Row],[D28 - KS/17]]/Table2821115[[#This Row],[D0 - KS/17]]</f>
        <v>1</v>
      </c>
      <c r="CW20" s="248">
        <f>Table2821115[[#This Row],[D28 - Phu/13]]/Table2821115[[#This Row],[D0 - Phu/13]]</f>
        <v>1</v>
      </c>
      <c r="CX20" s="248">
        <f>Table2821115[[#This Row],[D28 - CO/17]]/Table2821115[[#This Row],[D0 - CO/17]]</f>
        <v>4</v>
      </c>
      <c r="CY20" s="248">
        <f>LOG(Table2821115[[#This Row],[BR/18 Fold]],2)</f>
        <v>0</v>
      </c>
      <c r="CZ20" s="248">
        <f>LOG(Table2821115[[#This Row],[KS/17 Fold]],2)</f>
        <v>0</v>
      </c>
      <c r="DA20" s="248">
        <f>LOG(Table2821115[[#This Row],[Phu/13 Fold]],2)</f>
        <v>0</v>
      </c>
      <c r="DB20" s="248">
        <f>LOG(Table2821115[[#This Row],[CO/17 Fold]],2)</f>
        <v>2</v>
      </c>
      <c r="DC20" s="248">
        <f>SUM(Table2821115[[#This Row],[BR/18 Log2]:[CO/17 Log2]])</f>
        <v>2</v>
      </c>
      <c r="DE20" s="348">
        <f>COUNTIFS($D$7:$D$467,"&lt;15",$I$7:$I$467,"Y")</f>
        <v>35</v>
      </c>
      <c r="DF20" s="351" t="s">
        <v>71</v>
      </c>
      <c r="DG20" s="40">
        <f>AVERAGEIFS($AB$7:$AB$467,$I$7:$I$467,"Y",$D$7:$D$467,"&lt;15")</f>
        <v>175</v>
      </c>
      <c r="DH20" s="233">
        <f>AVERAGEIFS($AC$7:$AC$467,$I$7:$I$467,"Y",$D$7:$D$467,"&lt;15")</f>
        <v>187.57142857142858</v>
      </c>
      <c r="DI20" s="224">
        <f t="shared" ref="DI20:DI28" si="4">LOG(DH20,2)/LOG(DG20,2)</f>
        <v>1.013432067015793</v>
      </c>
      <c r="DJ20" s="47">
        <f>(COUNTIFS($AB$7:$AB$467,"&gt;=40",$I$7:$I$467,"Y",$D$7:$D$467,"&lt;15"))/$DE20</f>
        <v>0.91428571428571426</v>
      </c>
      <c r="DK20" s="47">
        <f>(COUNTIFS($AC$7:$AC$467,"&gt;=40",$I$7:$I$467,"Y",$D$7:$D$467,"&lt;15"))/$DE20</f>
        <v>0.97142857142857142</v>
      </c>
      <c r="DL20" s="50">
        <f>(COUNTIFS(Table2821115[BR/18 Fold],"&gt;=4",$AC$7:$AC$467,"&gt;=40",$I$7:$I$467,"Y",$D$7:$D$467,"&lt;15"))/$DE20</f>
        <v>0.11428571428571428</v>
      </c>
      <c r="DM20" s="40">
        <f>AVERAGEIFS($BE$7:$BE$467,$I$7:$I$467,"Y",$D$7:$D$467,"&lt;15")</f>
        <v>83</v>
      </c>
      <c r="DN20" s="233">
        <f>AVERAGEIFS($BF$7:$BF$467,$I$7:$I$467,"Y",$D$7:$D$467,"&lt;15")</f>
        <v>319.71428571428572</v>
      </c>
      <c r="DO20" s="224">
        <f t="shared" ref="DO20:DO28" si="5">LOG(DN20,2)/LOG(DM20,2)</f>
        <v>1.3051902640797934</v>
      </c>
      <c r="DP20" s="47">
        <f>(COUNTIFS($BE$7:$BE$467,"&gt;=40",$I$7:$I$467,"Y",$D$7:$D$467,"&lt;15"))/$DE20</f>
        <v>0.6</v>
      </c>
      <c r="DQ20" s="47">
        <f>(COUNTIFS($BF$7:$BF$467,"&gt;=40",$I$7:$I$467,"Y",$D$7:$D$467,"&lt;15"))/$DE20</f>
        <v>0.91428571428571426</v>
      </c>
      <c r="DR20" s="50">
        <f>(COUNTIFS(Table2821115[KS/17 Fold],"&gt;=4",$BF$7:$BF$467,"&gt;=40",$I$7:$I$467,"Y",$D$7:$D$467,"&lt;15"))/$DE20</f>
        <v>0.51428571428571423</v>
      </c>
      <c r="DS20" s="40">
        <f>AVERAGEIFS($CD$7:$CD$467,$I$7:$I$467,"Y",$D$7:$D$467,"&lt;15")</f>
        <v>83.142857142857139</v>
      </c>
      <c r="DT20" s="233">
        <f>AVERAGEIFS($CE$7:$CE$467,$I$7:$I$467,"Y",$D$7:$D$467,"&lt;15")</f>
        <v>129.71428571428572</v>
      </c>
      <c r="DU20" s="224">
        <f t="shared" ref="DU20:DU28" si="6">LOG(DT20,2)/LOG(DS20,2)</f>
        <v>1.1006148317902273</v>
      </c>
      <c r="DV20" s="47">
        <f>(COUNTIFS($CD$7:$CD$467,"&gt;=40",$I$7:$I$467,"Y",$D$7:$D$467,"&lt;15"))/$DE20</f>
        <v>0.8571428571428571</v>
      </c>
      <c r="DW20" s="47">
        <f>(COUNTIFS($CE$7:$CE$467,"&gt;=40",$I$7:$I$467,"Y",$D$7:$D$467,"&lt;15"))/$DE20</f>
        <v>0.97142857142857142</v>
      </c>
      <c r="DX20" s="50">
        <f>(COUNTIFS(Table2821115[Phu/13 Fold],"&gt;=4",$CE$7:$CE$467,"&gt;=40",$I$7:$I$467,"Y",$D$7:$D$467,"&lt;15"))/$DE20</f>
        <v>0.2</v>
      </c>
      <c r="DY20" s="40">
        <f>AVERAGEIFS($CP$7:$CP$467,$I$7:$I$467,"Y",$D$7:$D$467,"&lt;15")</f>
        <v>82.857142857142861</v>
      </c>
      <c r="DZ20" s="233">
        <f>AVERAGEIFS($CQ$7:$CQ$467,$I$7:$I$467,"Y",$D$7:$D$467,"&lt;15")</f>
        <v>108.28571428571429</v>
      </c>
      <c r="EA20" s="224">
        <f t="shared" ref="EA20:EA28" si="7">LOG(DZ20,2)/LOG(DY20,2)</f>
        <v>1.0605950044485746</v>
      </c>
      <c r="EB20" s="47">
        <f>(COUNTIFS($CP$7:$CP$467,"&gt;=40",$I$7:$I$467,"Y",$D$7:$D$467,"&lt;15"))/$DE20</f>
        <v>0.74285714285714288</v>
      </c>
      <c r="EC20" s="47">
        <f>(COUNTIFS($CQ$7:$CQ$467,"&gt;=40",$I$7:$I$467,"Y",$D$7:$D$467,"&lt;15"))/$DE20</f>
        <v>0.88571428571428568</v>
      </c>
      <c r="ED20" s="53">
        <f>(COUNTIFS(Table2821115[CO/17 Fold],"&gt;=4",$CQ$7:$CQ$467,"&gt;=40",$I$7:$I$467,"Y",$D$7:$D$467,"&lt;15"))/$DE20</f>
        <v>0.14285714285714285</v>
      </c>
    </row>
    <row r="21" spans="1:134" s="10" customFormat="1" ht="24" customHeight="1">
      <c r="A21" s="321">
        <v>46</v>
      </c>
      <c r="B21" s="183">
        <v>31911</v>
      </c>
      <c r="C21" s="183">
        <v>43784</v>
      </c>
      <c r="D21" s="182">
        <v>32</v>
      </c>
      <c r="E21" s="4" t="s">
        <v>58</v>
      </c>
      <c r="F21" s="143" t="s">
        <v>118</v>
      </c>
      <c r="G21" s="142">
        <v>26.154207535168073</v>
      </c>
      <c r="H21" s="11" t="s">
        <v>59</v>
      </c>
      <c r="I21" s="281" t="s">
        <v>60</v>
      </c>
      <c r="J21" s="260">
        <v>5</v>
      </c>
      <c r="K21" s="260">
        <v>5</v>
      </c>
      <c r="L21" s="260"/>
      <c r="M21" s="260"/>
      <c r="N21" s="260"/>
      <c r="O21" s="260"/>
      <c r="P21" s="260"/>
      <c r="Q21" s="260"/>
      <c r="R21" s="260"/>
      <c r="S21" s="260"/>
      <c r="T21" s="260"/>
      <c r="U21" s="260"/>
      <c r="V21" s="260">
        <v>10</v>
      </c>
      <c r="W21" s="260">
        <v>20</v>
      </c>
      <c r="X21" s="260">
        <v>40</v>
      </c>
      <c r="Y21" s="260">
        <v>160</v>
      </c>
      <c r="Z21" s="260">
        <v>80</v>
      </c>
      <c r="AA21" s="260">
        <v>160</v>
      </c>
      <c r="AB21" s="260">
        <v>80</v>
      </c>
      <c r="AC21" s="260">
        <v>80</v>
      </c>
      <c r="AD21" s="260"/>
      <c r="AE21" s="260"/>
      <c r="AF21" s="260"/>
      <c r="AG21" s="260"/>
      <c r="AH21" s="32">
        <v>46</v>
      </c>
      <c r="AI21" s="272">
        <v>20</v>
      </c>
      <c r="AJ21" s="271">
        <v>40</v>
      </c>
      <c r="AK21" s="260"/>
      <c r="AL21" s="260"/>
      <c r="AM21" s="260"/>
      <c r="AN21" s="260"/>
      <c r="AO21" s="260"/>
      <c r="AP21" s="260"/>
      <c r="AQ21" s="260"/>
      <c r="AR21" s="260"/>
      <c r="AS21" s="260"/>
      <c r="AT21" s="260"/>
      <c r="AU21" s="260">
        <v>5</v>
      </c>
      <c r="AV21" s="271">
        <v>40</v>
      </c>
      <c r="AW21" s="260">
        <v>5</v>
      </c>
      <c r="AX21" s="271">
        <v>80</v>
      </c>
      <c r="AY21" s="260">
        <v>5</v>
      </c>
      <c r="AZ21" s="271">
        <v>20</v>
      </c>
      <c r="BA21" s="276">
        <v>10</v>
      </c>
      <c r="BB21" s="276">
        <v>20</v>
      </c>
      <c r="BC21" s="276"/>
      <c r="BD21" s="276"/>
      <c r="BE21" s="276">
        <v>5</v>
      </c>
      <c r="BF21" s="276">
        <v>40</v>
      </c>
      <c r="BG21" s="260">
        <v>10</v>
      </c>
      <c r="BH21" s="271">
        <v>40</v>
      </c>
      <c r="BI21" s="276"/>
      <c r="BJ21" s="276"/>
      <c r="BK21" s="276"/>
      <c r="BL21" s="275"/>
      <c r="BM21" s="320">
        <v>46</v>
      </c>
      <c r="BN21" s="272">
        <v>20</v>
      </c>
      <c r="BO21" s="270">
        <v>80</v>
      </c>
      <c r="BP21" s="272"/>
      <c r="BQ21" s="260"/>
      <c r="BR21" s="260"/>
      <c r="BS21" s="260"/>
      <c r="BT21" s="260"/>
      <c r="BU21" s="260"/>
      <c r="BV21" s="260">
        <v>5</v>
      </c>
      <c r="BW21" s="260">
        <v>80</v>
      </c>
      <c r="BX21" s="260"/>
      <c r="BY21" s="260"/>
      <c r="BZ21" s="260"/>
      <c r="CA21" s="260"/>
      <c r="CB21" s="260"/>
      <c r="CC21" s="260"/>
      <c r="CD21" s="260">
        <v>80</v>
      </c>
      <c r="CE21" s="260">
        <v>80</v>
      </c>
      <c r="CF21" s="272"/>
      <c r="CG21" s="260"/>
      <c r="CH21" s="260"/>
      <c r="CI21" s="260"/>
      <c r="CJ21" s="260"/>
      <c r="CK21" s="260"/>
      <c r="CL21" s="260"/>
      <c r="CM21" s="260"/>
      <c r="CN21" s="260">
        <v>10</v>
      </c>
      <c r="CO21" s="260">
        <v>40</v>
      </c>
      <c r="CP21" s="260">
        <v>10</v>
      </c>
      <c r="CQ21" s="260">
        <v>40</v>
      </c>
      <c r="CR21" s="260">
        <v>10</v>
      </c>
      <c r="CS21" s="270">
        <v>40</v>
      </c>
      <c r="CT21" s="319">
        <v>46</v>
      </c>
      <c r="CU21" s="249">
        <f>Table2821115[[#This Row],[D28 - BR/18]]/Table2821115[[#This Row],[D0 - BR/18]]</f>
        <v>1</v>
      </c>
      <c r="CV21" s="248">
        <f>Table2821115[[#This Row],[D28 - KS/17]]/Table2821115[[#This Row],[D0 - KS/17]]</f>
        <v>8</v>
      </c>
      <c r="CW21" s="248">
        <f>Table2821115[[#This Row],[D28 - Phu/13]]/Table2821115[[#This Row],[D0 - Phu/13]]</f>
        <v>1</v>
      </c>
      <c r="CX21" s="248">
        <f>Table2821115[[#This Row],[D28 - CO/17]]/Table2821115[[#This Row],[D0 - CO/17]]</f>
        <v>4</v>
      </c>
      <c r="CY21" s="248">
        <f>LOG(Table2821115[[#This Row],[BR/18 Fold]],2)</f>
        <v>0</v>
      </c>
      <c r="CZ21" s="248">
        <f>LOG(Table2821115[[#This Row],[KS/17 Fold]],2)</f>
        <v>3</v>
      </c>
      <c r="DA21" s="248">
        <f>LOG(Table2821115[[#This Row],[Phu/13 Fold]],2)</f>
        <v>0</v>
      </c>
      <c r="DB21" s="248">
        <f>LOG(Table2821115[[#This Row],[CO/17 Fold]],2)</f>
        <v>2</v>
      </c>
      <c r="DC21" s="248">
        <f>SUM(Table2821115[[#This Row],[BR/18 Log2]:[CO/17 Log2]])</f>
        <v>5</v>
      </c>
      <c r="DE21" s="38">
        <f>COUNTIFS($I$7:$I$467,"Y",$D$7:$D$467,"&gt;14",$D$7:$D$467,"&lt;18")</f>
        <v>63</v>
      </c>
      <c r="DF21" s="350" t="s">
        <v>72</v>
      </c>
      <c r="DG21" s="39">
        <f>AVERAGEIFS($AB$7:$AB$467,$I$7:$I$467,"Y",$D$7:$D$467,"&gt;14",$D$7:$D$467,"&lt;18")</f>
        <v>121.58730158730158</v>
      </c>
      <c r="DH21" s="345">
        <f>AVERAGEIFS($AC$7:$AC$467,$I$7:$I$467,"Y",$D$7:$D$467,"&gt;14",$D$7:$D$467,"&lt;18")</f>
        <v>151.74603174603175</v>
      </c>
      <c r="DI21" s="338">
        <f t="shared" si="4"/>
        <v>1.0461555308875183</v>
      </c>
      <c r="DJ21" s="46">
        <f>(COUNTIFS($AB$7:$AB$467,"&gt;=40",$D$7:$D$467,"&gt;14",$I$7:$I$467,"Y",$D$7:$D$467,"&lt;18"))/$DE21</f>
        <v>0.95238095238095233</v>
      </c>
      <c r="DK21" s="46">
        <f>(COUNTIFS($AC$7:$AC$467,"&gt;=40",$I$7:$I$467,"Y",$D$7:$D$467,"&gt;14",$D$7:$D$467,"&lt;18"))/$DE21</f>
        <v>0.96825396825396826</v>
      </c>
      <c r="DL21" s="49">
        <f>(COUNTIFS(Table2821115[BR/18 Fold],"&gt;=4",$AC$7:$AC$467,"&gt;=40",$I$7:$I$467,"Y",$D$7:$D$467,"&gt;14",$D$7:$D$467,"&lt;18"))/$DE21</f>
        <v>0</v>
      </c>
      <c r="DM21" s="39">
        <f>AVERAGEIFS($BE$7:$BE$467,$I$7:$I$467,"Y",$D$7:$D$467,"&gt;14",$D$7:$D$467,"&lt;18")</f>
        <v>76.666666666666671</v>
      </c>
      <c r="DN21" s="345">
        <f>AVERAGEIFS($BF$7:$BF$467,$I$7:$I$467,"Y",$D$7:$D$467,"&gt;14",$D$7:$D$467,"&lt;18")</f>
        <v>234.12698412698413</v>
      </c>
      <c r="DO21" s="338">
        <f t="shared" si="5"/>
        <v>1.2572658370049608</v>
      </c>
      <c r="DP21" s="46">
        <f>(COUNTIFS($BE$7:$BE$467,"&gt;=40",$D$7:$D$467,"&gt;14",$I$7:$I$467,"Y",$D$7:$D$467,"&lt;18"))/$DE21</f>
        <v>0.61904761904761907</v>
      </c>
      <c r="DQ21" s="46">
        <f>(COUNTIFS($BF$7:$BF$467,"&gt;=40",$I$7:$I$467,"Y",$D$7:$D$467,"&gt;14",$D$7:$D$467,"&lt;18"))/$DE21</f>
        <v>0.90476190476190477</v>
      </c>
      <c r="DR21" s="49">
        <f>(COUNTIFS(Table2821115[KS/17 Fold],"&gt;=4",$BF$7:$BF$467,"&gt;=40",$I$7:$I$467,"Y",$D$7:$D$467,"&gt;14",$D$7:$D$467,"&lt;18"))/$DE21</f>
        <v>0.46031746031746029</v>
      </c>
      <c r="DS21" s="39">
        <f>AVERAGEIFS($CD$7:$CD$467,$I$7:$I$467,"Y",$D$7:$D$467,"&gt;14",$D$7:$D$467,"&lt;18")</f>
        <v>115.71428571428571</v>
      </c>
      <c r="DT21" s="345">
        <f>AVERAGEIFS($CE$7:$CE$467,$I$7:$I$467,"Y",$D$7:$D$467,"&gt;14",$D$7:$D$467,"&lt;18")</f>
        <v>153.01587301587301</v>
      </c>
      <c r="DU21" s="338">
        <f t="shared" si="6"/>
        <v>1.0588108323004164</v>
      </c>
      <c r="DV21" s="46">
        <f>(COUNTIFS($CD$7:$CD$467,"&gt;=40",$D$7:$D$467,"&gt;14",$I$7:$I$467,"Y",$D$7:$D$467,"&lt;18"))/$DE21</f>
        <v>0.88888888888888884</v>
      </c>
      <c r="DW21" s="46">
        <f>(COUNTIFS($CE$7:$CE$467,"&gt;=40",$I$7:$I$467,"Y",$D$7:$D$467,"&gt;14",$D$7:$D$467,"&lt;18"))/$DE21</f>
        <v>1</v>
      </c>
      <c r="DX21" s="49">
        <f>(COUNTIFS(Table2821115[Phu/13 Fold],"&gt;=4",$CE$7:$CE$467,"&gt;=40",$I$7:$I$467,"Y",$D$7:$D$467,"&gt;14",$D$7:$D$467,"&lt;18"))/$DE21</f>
        <v>4.7619047619047616E-2</v>
      </c>
      <c r="DY21" s="39">
        <f>AVERAGEIFS($CP$7:$CP$467,$I$7:$I$467,"Y",$D$7:$D$467,"&gt;14",$D$7:$D$467,"&lt;18")</f>
        <v>134.84126984126985</v>
      </c>
      <c r="DZ21" s="345">
        <f>AVERAGEIFS($CQ$7:$CQ$467,$I$7:$I$467,"Y",$D$7:$D$467,"&gt;14",$D$7:$D$467,"&lt;18")</f>
        <v>122.93650793650794</v>
      </c>
      <c r="EA21" s="338">
        <f t="shared" si="7"/>
        <v>0.98115244119195899</v>
      </c>
      <c r="EB21" s="46">
        <f>(COUNTIFS($CP$7:$CP$467,"&gt;=40",$D$7:$D$467,"&gt;14",$I$7:$I$467,"Y",$D$7:$D$467,"&lt;18"))/$DE21</f>
        <v>0.87301587301587302</v>
      </c>
      <c r="EC21" s="46">
        <f>(COUNTIFS($CQ$7:$CQ$467,"&gt;=40",$I$7:$I$467,"Y",$D$7:$D$467,"&gt;14",$D$7:$D$467,"&lt;18"))/$DE21</f>
        <v>0.90476190476190477</v>
      </c>
      <c r="ED21" s="54">
        <f>(COUNTIFS(Table2821115[CO/17 Fold],"&gt;=4",$CQ$7:$CQ$467,"&gt;=40",$I$7:$I$467,"Y",$D$7:$D$467,"&gt;14",$D$7:$D$467,"&lt;18"))/$DE21</f>
        <v>7.9365079365079361E-2</v>
      </c>
    </row>
    <row r="22" spans="1:134" s="10" customFormat="1" ht="24" customHeight="1">
      <c r="A22" s="330">
        <v>47</v>
      </c>
      <c r="B22" s="210">
        <v>19898</v>
      </c>
      <c r="C22" s="210">
        <v>43746</v>
      </c>
      <c r="D22" s="209">
        <v>65</v>
      </c>
      <c r="E22" s="3" t="s">
        <v>61</v>
      </c>
      <c r="F22" s="143" t="s">
        <v>116</v>
      </c>
      <c r="G22" s="142">
        <v>29.393800996337223</v>
      </c>
      <c r="H22" s="5" t="s">
        <v>64</v>
      </c>
      <c r="I22" s="281" t="s">
        <v>60</v>
      </c>
      <c r="J22" s="260">
        <v>5</v>
      </c>
      <c r="K22" s="260">
        <v>5</v>
      </c>
      <c r="L22" s="260"/>
      <c r="M22" s="260"/>
      <c r="N22" s="260"/>
      <c r="O22" s="260"/>
      <c r="P22" s="260"/>
      <c r="Q22" s="260"/>
      <c r="R22" s="260"/>
      <c r="S22" s="260"/>
      <c r="T22" s="260"/>
      <c r="U22" s="260"/>
      <c r="V22" s="260">
        <v>5</v>
      </c>
      <c r="W22" s="260">
        <v>5</v>
      </c>
      <c r="X22" s="260">
        <v>5</v>
      </c>
      <c r="Y22" s="260">
        <v>160</v>
      </c>
      <c r="Z22" s="260">
        <v>10</v>
      </c>
      <c r="AA22" s="260">
        <v>160</v>
      </c>
      <c r="AB22" s="260">
        <v>5</v>
      </c>
      <c r="AC22" s="260">
        <v>80</v>
      </c>
      <c r="AD22" s="260"/>
      <c r="AE22" s="260"/>
      <c r="AF22" s="260"/>
      <c r="AG22" s="260"/>
      <c r="AH22" s="208">
        <v>47</v>
      </c>
      <c r="AI22" s="272">
        <v>5</v>
      </c>
      <c r="AJ22" s="271">
        <v>5</v>
      </c>
      <c r="AK22" s="260"/>
      <c r="AL22" s="260"/>
      <c r="AM22" s="260"/>
      <c r="AN22" s="260"/>
      <c r="AO22" s="260"/>
      <c r="AP22" s="260"/>
      <c r="AQ22" s="260"/>
      <c r="AR22" s="260"/>
      <c r="AS22" s="260"/>
      <c r="AT22" s="260"/>
      <c r="AU22" s="260">
        <v>160</v>
      </c>
      <c r="AV22" s="271">
        <v>320</v>
      </c>
      <c r="AW22" s="260">
        <v>40</v>
      </c>
      <c r="AX22" s="271">
        <v>160</v>
      </c>
      <c r="AY22" s="260">
        <v>80</v>
      </c>
      <c r="AZ22" s="271">
        <v>80</v>
      </c>
      <c r="BA22" s="276">
        <v>40</v>
      </c>
      <c r="BB22" s="276">
        <v>80</v>
      </c>
      <c r="BC22" s="276"/>
      <c r="BD22" s="276"/>
      <c r="BE22" s="276">
        <v>5</v>
      </c>
      <c r="BF22" s="276">
        <v>80</v>
      </c>
      <c r="BG22" s="260">
        <v>40</v>
      </c>
      <c r="BH22" s="271">
        <v>80</v>
      </c>
      <c r="BI22" s="276"/>
      <c r="BJ22" s="276"/>
      <c r="BK22" s="276"/>
      <c r="BL22" s="275"/>
      <c r="BM22" s="329">
        <v>47</v>
      </c>
      <c r="BN22" s="272">
        <v>160</v>
      </c>
      <c r="BO22" s="270">
        <v>160</v>
      </c>
      <c r="BP22" s="272"/>
      <c r="BQ22" s="260"/>
      <c r="BR22" s="260"/>
      <c r="BS22" s="260"/>
      <c r="BT22" s="260"/>
      <c r="BU22" s="260"/>
      <c r="BV22" s="260">
        <v>40</v>
      </c>
      <c r="BW22" s="260">
        <v>40</v>
      </c>
      <c r="BX22" s="260"/>
      <c r="BY22" s="260"/>
      <c r="BZ22" s="260"/>
      <c r="CA22" s="260"/>
      <c r="CB22" s="260"/>
      <c r="CC22" s="260"/>
      <c r="CD22" s="260">
        <v>40</v>
      </c>
      <c r="CE22" s="260">
        <v>40</v>
      </c>
      <c r="CF22" s="272"/>
      <c r="CG22" s="260"/>
      <c r="CH22" s="260"/>
      <c r="CI22" s="260"/>
      <c r="CJ22" s="260"/>
      <c r="CK22" s="260"/>
      <c r="CL22" s="260"/>
      <c r="CM22" s="260"/>
      <c r="CN22" s="260">
        <v>40</v>
      </c>
      <c r="CO22" s="260">
        <v>160</v>
      </c>
      <c r="CP22" s="260">
        <v>40</v>
      </c>
      <c r="CQ22" s="260">
        <v>80</v>
      </c>
      <c r="CR22" s="260">
        <v>20</v>
      </c>
      <c r="CS22" s="270">
        <v>40</v>
      </c>
      <c r="CT22" s="328">
        <v>47</v>
      </c>
      <c r="CU22" s="249">
        <f>Table2821115[[#This Row],[D28 - BR/18]]/Table2821115[[#This Row],[D0 - BR/18]]</f>
        <v>16</v>
      </c>
      <c r="CV22" s="248">
        <f>Table2821115[[#This Row],[D28 - KS/17]]/Table2821115[[#This Row],[D0 - KS/17]]</f>
        <v>16</v>
      </c>
      <c r="CW22" s="248">
        <f>Table2821115[[#This Row],[D28 - Phu/13]]/Table2821115[[#This Row],[D0 - Phu/13]]</f>
        <v>1</v>
      </c>
      <c r="CX22" s="248">
        <f>Table2821115[[#This Row],[D28 - CO/17]]/Table2821115[[#This Row],[D0 - CO/17]]</f>
        <v>2</v>
      </c>
      <c r="CY22" s="248">
        <f>LOG(Table2821115[[#This Row],[BR/18 Fold]],2)</f>
        <v>4</v>
      </c>
      <c r="CZ22" s="248">
        <f>LOG(Table2821115[[#This Row],[KS/17 Fold]],2)</f>
        <v>4</v>
      </c>
      <c r="DA22" s="248">
        <f>LOG(Table2821115[[#This Row],[Phu/13 Fold]],2)</f>
        <v>0</v>
      </c>
      <c r="DB22" s="248">
        <f>LOG(Table2821115[[#This Row],[CO/17 Fold]],2)</f>
        <v>1</v>
      </c>
      <c r="DC22" s="248">
        <f>SUM(Table2821115[[#This Row],[BR/18 Log2]:[CO/17 Log2]])</f>
        <v>9</v>
      </c>
      <c r="DE22" s="348">
        <f>COUNTIFS($I$7:$I$467,"Y",$D$7:$D$467,"&gt;17",$D$7:$D$467,"&lt;35")</f>
        <v>74</v>
      </c>
      <c r="DF22" s="349" t="s">
        <v>8</v>
      </c>
      <c r="DG22" s="40">
        <f>AVERAGEIFS($AB$7:$AB$467,$I$7:$I$467,"Y",$D$7:$D$467,"&gt;17",$D$7:$D$467,"&lt;35")</f>
        <v>55.472972972972975</v>
      </c>
      <c r="DH22" s="233">
        <f>AVERAGEIFS($AC$7:$AC$467,$I$7:$I$467,"Y",$D$7:$D$467,"&gt;17",$D$7:$D$467,"&lt;35")</f>
        <v>135</v>
      </c>
      <c r="DI22" s="224">
        <f t="shared" si="4"/>
        <v>1.2214646160036029</v>
      </c>
      <c r="DJ22" s="47">
        <f>(COUNTIFS($AB$7:$AB$467,"&gt;=40",$D$7:$D$467,"&gt;17",$I$7:$I$467,"Y",$D$7:$D$467,"&lt;35"))/$DE22</f>
        <v>0.58108108108108103</v>
      </c>
      <c r="DK22" s="47">
        <f>(COUNTIFS($AC$7:$AC$467,"&gt;=40",$I$7:$I$467,"Y",$D$7:$D$467,"&gt;17",$D$7:$D$467,"&lt;35"))/$DE22</f>
        <v>0.91891891891891897</v>
      </c>
      <c r="DL22" s="50">
        <f>(COUNTIFS(Table2821115[BR/18 Fold],"&gt;=4",$AC$7:$AC$467,"&gt;=40",$I$7:$I$467,"Y",$D$7:$D$467,"&gt;17",$D$7:$D$467,"&lt;35"))/$DE22</f>
        <v>0.3108108108108108</v>
      </c>
      <c r="DM22" s="40">
        <f>AVERAGEIFS($BE$7:$BE$467,$I$7:$I$467,"Y",$D$7:$D$467,"&gt;17",$D$7:$D$467,"&lt;35")</f>
        <v>21.081081081081081</v>
      </c>
      <c r="DN22" s="233">
        <f>AVERAGEIFS($BF$7:$BF$467,$I$7:$I$467,"Y",$D$7:$D$467,"&gt;17",$D$7:$D$467,"&lt;35")</f>
        <v>123.31081081081081</v>
      </c>
      <c r="DO22" s="224">
        <f t="shared" si="5"/>
        <v>1.5794337949545054</v>
      </c>
      <c r="DP22" s="47">
        <f>(COUNTIFS($BE$7:$BE$467,"&gt;=40",$D$7:$D$467,"&gt;17",$I$7:$I$467,"Y",$D$7:$D$467,"&lt;35"))/$DE22</f>
        <v>0.1891891891891892</v>
      </c>
      <c r="DQ22" s="47">
        <f>(COUNTIFS($BF$7:$BF$467,"&gt;=40",$I$7:$I$467,"Y",$D$7:$D$467,"&gt;17",$D$7:$D$467,"&lt;35"))/$DE22</f>
        <v>0.64864864864864868</v>
      </c>
      <c r="DR22" s="50">
        <f>(COUNTIFS(Table2821115[KS/17 Fold],"&gt;=4",$BF$7:$BF$467,"&gt;=40",$I$7:$I$467,"Y",$D$7:$D$467,"&gt;17",$D$7:$D$467,"&lt;35"))/$DE22</f>
        <v>0.54054054054054057</v>
      </c>
      <c r="DS22" s="40">
        <f>AVERAGEIFS($CD$7:$CD$467,$I$7:$I$467,"Y",$D$7:$D$467,"&gt;17",$D$7:$D$467,"&lt;35")</f>
        <v>130.94594594594594</v>
      </c>
      <c r="DT22" s="233">
        <f>AVERAGEIFS($CE$7:$CE$467,$I$7:$I$467,"Y",$D$7:$D$467,"&gt;17",$D$7:$D$467,"&lt;35")</f>
        <v>236.48648648648648</v>
      </c>
      <c r="DU22" s="224">
        <f t="shared" si="6"/>
        <v>1.1212579636052891</v>
      </c>
      <c r="DV22" s="47">
        <f>(COUNTIFS($CD$7:$CD$467,"&gt;=40",$D$7:$D$467,"&gt;17",$I$7:$I$467,"Y",$D$7:$D$467,"&lt;35"))/$DE22</f>
        <v>0.81081081081081086</v>
      </c>
      <c r="DW22" s="47">
        <f>(COUNTIFS($CE$7:$CE$467,"&gt;=40",$I$7:$I$467,"Y",$D$7:$D$467,"&gt;17",$D$7:$D$467,"&lt;35"))/$DE22</f>
        <v>0.98648648648648651</v>
      </c>
      <c r="DX22" s="50">
        <f>(COUNTIFS(Table2821115[Phu/13 Fold],"&gt;=4",$CE$7:$CE$467,"&gt;=40",$I$7:$I$467,"Y",$D$7:$D$467,"&gt;17",$D$7:$D$467,"&lt;35"))/$DE22</f>
        <v>0.32432432432432434</v>
      </c>
      <c r="DY22" s="40">
        <f>AVERAGEIFS($CP$7:$CP$467,$I$7:$I$467,"Y",$D$7:$D$467,"&gt;17",$D$7:$D$467,"&lt;35")</f>
        <v>46.824324324324323</v>
      </c>
      <c r="DZ22" s="233">
        <f>AVERAGEIFS($CQ$7:$CQ$467,$I$7:$I$467,"Y",$D$7:$D$467,"&gt;17",$D$7:$D$467,"&lt;35")</f>
        <v>90.337837837837839</v>
      </c>
      <c r="EA22" s="224">
        <f t="shared" si="7"/>
        <v>1.1708488707332037</v>
      </c>
      <c r="EB22" s="47">
        <f>(COUNTIFS($CP$7:$CP$467,"&gt;=40",$D$7:$D$467,"&gt;17",$I$7:$I$467,"Y",$D$7:$D$467,"&lt;35"))/$DE22</f>
        <v>0.51351351351351349</v>
      </c>
      <c r="EC22" s="47">
        <f>(COUNTIFS($CQ$7:$CQ$467,"&gt;=40",$I$7:$I$467,"Y",$D$7:$D$467,"&gt;17",$D$7:$D$467,"&lt;35"))/$DE22</f>
        <v>0.83783783783783783</v>
      </c>
      <c r="ED22" s="53">
        <f>(COUNTIFS(Table2821115[CO/17 Fold],"&gt;=4",$CQ$7:$CQ$467,"&gt;=40",$I$7:$I$467,"Y",$D$7:$D$467,"&gt;17",$D$7:$D$467,"&lt;35"))/$DE22</f>
        <v>0.28378378378378377</v>
      </c>
    </row>
    <row r="23" spans="1:134" s="10" customFormat="1" ht="24" customHeight="1">
      <c r="A23" s="321">
        <v>50</v>
      </c>
      <c r="B23" s="183">
        <v>34768</v>
      </c>
      <c r="C23" s="183">
        <v>43843</v>
      </c>
      <c r="D23" s="182">
        <v>24</v>
      </c>
      <c r="E23" s="4" t="s">
        <v>58</v>
      </c>
      <c r="F23" s="143" t="s">
        <v>116</v>
      </c>
      <c r="G23" s="142">
        <v>19.584487534626039</v>
      </c>
      <c r="H23" s="11" t="s">
        <v>59</v>
      </c>
      <c r="I23" s="281" t="s">
        <v>60</v>
      </c>
      <c r="J23" s="260">
        <v>5</v>
      </c>
      <c r="K23" s="260">
        <v>5</v>
      </c>
      <c r="L23" s="260"/>
      <c r="M23" s="260"/>
      <c r="N23" s="260"/>
      <c r="O23" s="260"/>
      <c r="P23" s="260"/>
      <c r="Q23" s="260"/>
      <c r="R23" s="260"/>
      <c r="S23" s="260"/>
      <c r="T23" s="260"/>
      <c r="U23" s="260"/>
      <c r="V23" s="260">
        <v>20</v>
      </c>
      <c r="W23" s="260">
        <v>40</v>
      </c>
      <c r="X23" s="260">
        <v>160</v>
      </c>
      <c r="Y23" s="260">
        <v>160</v>
      </c>
      <c r="Z23" s="260">
        <v>160</v>
      </c>
      <c r="AA23" s="260">
        <v>320</v>
      </c>
      <c r="AB23" s="260">
        <v>80</v>
      </c>
      <c r="AC23" s="260">
        <v>160</v>
      </c>
      <c r="AD23" s="260"/>
      <c r="AE23" s="260"/>
      <c r="AF23" s="260"/>
      <c r="AG23" s="260"/>
      <c r="AH23" s="32">
        <v>50</v>
      </c>
      <c r="AI23" s="272">
        <v>80</v>
      </c>
      <c r="AJ23" s="271">
        <v>80</v>
      </c>
      <c r="AK23" s="260"/>
      <c r="AL23" s="260"/>
      <c r="AM23" s="260"/>
      <c r="AN23" s="260"/>
      <c r="AO23" s="260"/>
      <c r="AP23" s="260"/>
      <c r="AQ23" s="260"/>
      <c r="AR23" s="260"/>
      <c r="AS23" s="260"/>
      <c r="AT23" s="260"/>
      <c r="AU23" s="260">
        <v>20</v>
      </c>
      <c r="AV23" s="271">
        <v>160</v>
      </c>
      <c r="AW23" s="260">
        <v>10</v>
      </c>
      <c r="AX23" s="271">
        <v>160</v>
      </c>
      <c r="AY23" s="260">
        <v>40</v>
      </c>
      <c r="AZ23" s="271">
        <v>160</v>
      </c>
      <c r="BA23" s="276">
        <v>40</v>
      </c>
      <c r="BB23" s="276">
        <v>160</v>
      </c>
      <c r="BC23" s="276"/>
      <c r="BD23" s="276"/>
      <c r="BE23" s="276">
        <v>5</v>
      </c>
      <c r="BF23" s="276">
        <v>80</v>
      </c>
      <c r="BG23" s="260">
        <v>20</v>
      </c>
      <c r="BH23" s="271">
        <v>80</v>
      </c>
      <c r="BI23" s="276"/>
      <c r="BJ23" s="276"/>
      <c r="BK23" s="276"/>
      <c r="BL23" s="275"/>
      <c r="BM23" s="320">
        <v>50</v>
      </c>
      <c r="BN23" s="272">
        <v>10</v>
      </c>
      <c r="BO23" s="270">
        <v>20</v>
      </c>
      <c r="BP23" s="272"/>
      <c r="BQ23" s="260"/>
      <c r="BR23" s="260"/>
      <c r="BS23" s="260"/>
      <c r="BT23" s="260"/>
      <c r="BU23" s="260"/>
      <c r="BV23" s="260">
        <v>80</v>
      </c>
      <c r="BW23" s="260">
        <v>160</v>
      </c>
      <c r="BX23" s="260"/>
      <c r="BY23" s="260"/>
      <c r="BZ23" s="260"/>
      <c r="CA23" s="260"/>
      <c r="CB23" s="260"/>
      <c r="CC23" s="260"/>
      <c r="CD23" s="260">
        <v>160</v>
      </c>
      <c r="CE23" s="260">
        <v>320</v>
      </c>
      <c r="CF23" s="272"/>
      <c r="CG23" s="260"/>
      <c r="CH23" s="260"/>
      <c r="CI23" s="260"/>
      <c r="CJ23" s="260"/>
      <c r="CK23" s="260"/>
      <c r="CL23" s="260"/>
      <c r="CM23" s="260"/>
      <c r="CN23" s="260">
        <v>40</v>
      </c>
      <c r="CO23" s="260">
        <v>80</v>
      </c>
      <c r="CP23" s="260">
        <v>40</v>
      </c>
      <c r="CQ23" s="260">
        <v>80</v>
      </c>
      <c r="CR23" s="260">
        <v>20</v>
      </c>
      <c r="CS23" s="270">
        <v>80</v>
      </c>
      <c r="CT23" s="319">
        <v>50</v>
      </c>
      <c r="CU23" s="249">
        <f>Table2821115[[#This Row],[D28 - BR/18]]/Table2821115[[#This Row],[D0 - BR/18]]</f>
        <v>2</v>
      </c>
      <c r="CV23" s="248">
        <f>Table2821115[[#This Row],[D28 - KS/17]]/Table2821115[[#This Row],[D0 - KS/17]]</f>
        <v>16</v>
      </c>
      <c r="CW23" s="248">
        <f>Table2821115[[#This Row],[D28 - Phu/13]]/Table2821115[[#This Row],[D0 - Phu/13]]</f>
        <v>2</v>
      </c>
      <c r="CX23" s="248">
        <f>Table2821115[[#This Row],[D28 - CO/17]]/Table2821115[[#This Row],[D0 - CO/17]]</f>
        <v>2</v>
      </c>
      <c r="CY23" s="248">
        <f>LOG(Table2821115[[#This Row],[BR/18 Fold]],2)</f>
        <v>1</v>
      </c>
      <c r="CZ23" s="248">
        <f>LOG(Table2821115[[#This Row],[KS/17 Fold]],2)</f>
        <v>4</v>
      </c>
      <c r="DA23" s="248">
        <f>LOG(Table2821115[[#This Row],[Phu/13 Fold]],2)</f>
        <v>1</v>
      </c>
      <c r="DB23" s="248">
        <f>LOG(Table2821115[[#This Row],[CO/17 Fold]],2)</f>
        <v>1</v>
      </c>
      <c r="DC23" s="248">
        <f>SUM(Table2821115[[#This Row],[BR/18 Log2]:[CO/17 Log2]])</f>
        <v>7</v>
      </c>
      <c r="DE23" s="38">
        <f>COUNTIFS($I$7:$I$467,"Y",$D$7:$D$467,"&gt;34",$D$7:$D$467,"&lt;50")</f>
        <v>68</v>
      </c>
      <c r="DF23" s="41" t="s">
        <v>9</v>
      </c>
      <c r="DG23" s="39">
        <f>AVERAGEIFS($AB$7:$AB$467,$I$7:$I$467,"Y",$D$7:$D$467,"&gt;34",$D$7:$D$467,"&lt;50")</f>
        <v>25.882352941176471</v>
      </c>
      <c r="DH23" s="345">
        <f>AVERAGEIFS($AC$7:$AC$467,$I$7:$I$467,"Y",$D$7:$D$467,"&gt;34",$D$7:$D$467,"&lt;50")</f>
        <v>55.220588235294116</v>
      </c>
      <c r="DI23" s="338">
        <f t="shared" si="4"/>
        <v>1.2329061563611368</v>
      </c>
      <c r="DJ23" s="46">
        <f>(COUNTIFS($AB$7:$AB$467,"&gt;=40",$D$7:$D$467,"&gt;34",$I$7:$I$467,"Y",$D$7:$D$467,"&lt;50"))/$DE23</f>
        <v>0.30882352941176472</v>
      </c>
      <c r="DK23" s="46">
        <f>(COUNTIFS($AC$7:$AC$467,"&gt;=40",$I$7:$I$467,"Y",$D$7:$D$467,"&gt;34",$D$7:$D$467,"&lt;50"))/$DE23</f>
        <v>0.55882352941176472</v>
      </c>
      <c r="DL23" s="49">
        <f>(COUNTIFS(Table2821115[BR/18 Fold],"&gt;=4",$AC$7:$AC$467,"&gt;=40",$I$7:$I$467,"Y",$D$7:$D$467,"&gt;34",$D$7:$D$467,"&lt;50"))/$DE23</f>
        <v>0.19117647058823528</v>
      </c>
      <c r="DM23" s="39">
        <f>AVERAGEIFS($BE$7:$BE$467,$I$7:$I$467,"Y",$D$7:$D$467,"&gt;34",$D$7:$D$467,"&lt;50")</f>
        <v>14.485294117647058</v>
      </c>
      <c r="DN23" s="345">
        <f>AVERAGEIFS($BF$7:$BF$467,$I$7:$I$467,"Y",$D$7:$D$467,"&gt;34",$D$7:$D$467,"&lt;50")</f>
        <v>77.352941176470594</v>
      </c>
      <c r="DO23" s="338">
        <f t="shared" si="5"/>
        <v>1.6266968676732196</v>
      </c>
      <c r="DP23" s="46">
        <f>(COUNTIFS($BE$7:$BE$467,"&gt;=40",$D$7:$D$467,"&gt;34",$I$7:$I$467,"Y",$D$7:$D$467,"&lt;50"))/$DE23</f>
        <v>0.10294117647058823</v>
      </c>
      <c r="DQ23" s="46">
        <f>(COUNTIFS($BF$7:$BF$467,"&gt;=40",$I$7:$I$467,"Y",$D$7:$D$467,"&gt;34",$D$7:$D$467,"&lt;50"))/$DE23</f>
        <v>0.58823529411764708</v>
      </c>
      <c r="DR23" s="49">
        <f>(COUNTIFS(Table2821115[KS/17 Fold],"&gt;=4",$BF$7:$BF$467,"&gt;=40",$I$7:$I$467,"Y",$D$7:$D$467,"&gt;34",$D$7:$D$467,"&lt;50"))/$DE23</f>
        <v>0.45588235294117646</v>
      </c>
      <c r="DS23" s="39">
        <f>AVERAGEIFS($CD$7:$CD$467,$I$7:$I$467,"Y",$D$7:$D$467,"&gt;34",$D$7:$D$467,"&lt;50")</f>
        <v>65.367647058823536</v>
      </c>
      <c r="DT23" s="345">
        <f>AVERAGEIFS($CE$7:$CE$467,$I$7:$I$467,"Y",$D$7:$D$467,"&gt;34",$D$7:$D$467,"&lt;50")</f>
        <v>120.14705882352941</v>
      </c>
      <c r="DU23" s="338">
        <f t="shared" si="6"/>
        <v>1.1456184315149864</v>
      </c>
      <c r="DV23" s="46">
        <f>(COUNTIFS($CD$7:$CD$467,"&gt;=40",$D$7:$D$467,"&gt;34",$I$7:$I$467,"Y",$D$7:$D$467,"&lt;50"))/$DE23</f>
        <v>0.5</v>
      </c>
      <c r="DW23" s="46">
        <f>(COUNTIFS($CE$7:$CE$467,"&gt;=40",$I$7:$I$467,"Y",$D$7:$D$467,"&gt;34",$D$7:$D$467,"&lt;50"))/$DE23</f>
        <v>0.77941176470588236</v>
      </c>
      <c r="DX23" s="49">
        <f>(COUNTIFS(Table2821115[Phu/13 Fold],"&gt;=4",$CE$7:$CE$467,"&gt;=40",$I$7:$I$467,"Y",$D$7:$D$467,"&gt;34",$D$7:$D$467,"&lt;50"))/$DE23</f>
        <v>0.22058823529411764</v>
      </c>
      <c r="DY23" s="39">
        <f>AVERAGEIFS($CP$7:$CP$467,$I$7:$I$467,"Y",$D$7:$D$467,"&gt;34",$D$7:$D$467,"&lt;50")</f>
        <v>92.941176470588232</v>
      </c>
      <c r="DZ23" s="345">
        <f>AVERAGEIFS($CQ$7:$CQ$467,$I$7:$I$467,"Y",$D$7:$D$467,"&gt;34",$D$7:$D$467,"&lt;50")</f>
        <v>139.70588235294119</v>
      </c>
      <c r="EA23" s="338">
        <f t="shared" si="7"/>
        <v>1.0899328282964662</v>
      </c>
      <c r="EB23" s="46">
        <f>(COUNTIFS($CP$7:$CP$467,"&gt;=40",$D$7:$D$467,"&gt;34",$I$7:$I$467,"Y",$D$7:$D$467,"&lt;50"))/$DE23</f>
        <v>0.69117647058823528</v>
      </c>
      <c r="EC23" s="46">
        <f>(COUNTIFS($CQ$7:$CQ$467,"&gt;=40",$I$7:$I$467,"Y",$D$7:$D$467,"&gt;34",$D$7:$D$467,"&lt;50"))/$DE23</f>
        <v>0.8529411764705882</v>
      </c>
      <c r="ED23" s="54">
        <f>(COUNTIFS(Table2821115[CO/17 Fold],"&gt;=4",$CQ$7:$CQ$467,"&gt;=40",$I$7:$I$467,"Y",$D$7:$D$467,"&gt;34",$D$7:$D$467,"&lt;50"))/$DE23</f>
        <v>0.17647058823529413</v>
      </c>
    </row>
    <row r="24" spans="1:134" s="10" customFormat="1" ht="24" customHeight="1">
      <c r="A24" s="324">
        <v>51</v>
      </c>
      <c r="B24" s="190">
        <v>26085</v>
      </c>
      <c r="C24" s="190">
        <v>43769</v>
      </c>
      <c r="D24" s="189">
        <v>48</v>
      </c>
      <c r="E24" s="4" t="s">
        <v>58</v>
      </c>
      <c r="F24" s="143" t="s">
        <v>116</v>
      </c>
      <c r="G24" s="142">
        <v>27.864992150706435</v>
      </c>
      <c r="H24" s="11" t="s">
        <v>59</v>
      </c>
      <c r="I24" s="281" t="s">
        <v>60</v>
      </c>
      <c r="J24" s="260">
        <v>5</v>
      </c>
      <c r="K24" s="260">
        <v>5</v>
      </c>
      <c r="L24" s="260"/>
      <c r="M24" s="260"/>
      <c r="N24" s="260"/>
      <c r="O24" s="260"/>
      <c r="P24" s="260"/>
      <c r="Q24" s="260"/>
      <c r="R24" s="260"/>
      <c r="S24" s="260"/>
      <c r="T24" s="260"/>
      <c r="U24" s="260"/>
      <c r="V24" s="260">
        <v>5</v>
      </c>
      <c r="W24" s="260">
        <v>5</v>
      </c>
      <c r="X24" s="260">
        <v>5</v>
      </c>
      <c r="Y24" s="260">
        <v>5</v>
      </c>
      <c r="Z24" s="260">
        <v>10</v>
      </c>
      <c r="AA24" s="260">
        <v>10</v>
      </c>
      <c r="AB24" s="260">
        <v>5</v>
      </c>
      <c r="AC24" s="260">
        <v>5</v>
      </c>
      <c r="AD24" s="260"/>
      <c r="AE24" s="260"/>
      <c r="AF24" s="260"/>
      <c r="AG24" s="260"/>
      <c r="AH24" s="198">
        <v>51</v>
      </c>
      <c r="AI24" s="272">
        <v>5</v>
      </c>
      <c r="AJ24" s="271">
        <v>10</v>
      </c>
      <c r="AK24" s="260"/>
      <c r="AL24" s="260"/>
      <c r="AM24" s="260"/>
      <c r="AN24" s="260"/>
      <c r="AO24" s="260"/>
      <c r="AP24" s="260"/>
      <c r="AQ24" s="260"/>
      <c r="AR24" s="260"/>
      <c r="AS24" s="260"/>
      <c r="AT24" s="260"/>
      <c r="AU24" s="260">
        <v>10</v>
      </c>
      <c r="AV24" s="271">
        <v>20</v>
      </c>
      <c r="AW24" s="260">
        <v>5</v>
      </c>
      <c r="AX24" s="271">
        <v>20</v>
      </c>
      <c r="AY24" s="260">
        <v>5</v>
      </c>
      <c r="AZ24" s="271">
        <v>5</v>
      </c>
      <c r="BA24" s="276">
        <v>5</v>
      </c>
      <c r="BB24" s="276">
        <v>10</v>
      </c>
      <c r="BC24" s="276"/>
      <c r="BD24" s="276"/>
      <c r="BE24" s="276">
        <v>5</v>
      </c>
      <c r="BF24" s="276">
        <v>20</v>
      </c>
      <c r="BG24" s="260">
        <v>5</v>
      </c>
      <c r="BH24" s="271">
        <v>10</v>
      </c>
      <c r="BI24" s="276"/>
      <c r="BJ24" s="276"/>
      <c r="BK24" s="276"/>
      <c r="BL24" s="275"/>
      <c r="BM24" s="323">
        <v>51</v>
      </c>
      <c r="BN24" s="272">
        <v>5</v>
      </c>
      <c r="BO24" s="270">
        <v>10</v>
      </c>
      <c r="BP24" s="272"/>
      <c r="BQ24" s="260"/>
      <c r="BR24" s="260"/>
      <c r="BS24" s="260"/>
      <c r="BT24" s="260"/>
      <c r="BU24" s="260"/>
      <c r="BV24" s="260">
        <v>5</v>
      </c>
      <c r="BW24" s="260">
        <v>5</v>
      </c>
      <c r="BX24" s="260"/>
      <c r="BY24" s="260"/>
      <c r="BZ24" s="260"/>
      <c r="CA24" s="260"/>
      <c r="CB24" s="260"/>
      <c r="CC24" s="260"/>
      <c r="CD24" s="260">
        <v>20</v>
      </c>
      <c r="CE24" s="260">
        <v>40</v>
      </c>
      <c r="CF24" s="272"/>
      <c r="CG24" s="260"/>
      <c r="CH24" s="260"/>
      <c r="CI24" s="260"/>
      <c r="CJ24" s="260"/>
      <c r="CK24" s="260"/>
      <c r="CL24" s="260"/>
      <c r="CM24" s="260"/>
      <c r="CN24" s="260">
        <v>5</v>
      </c>
      <c r="CO24" s="260">
        <v>5</v>
      </c>
      <c r="CP24" s="260">
        <v>5</v>
      </c>
      <c r="CQ24" s="260">
        <v>10</v>
      </c>
      <c r="CR24" s="260">
        <v>5</v>
      </c>
      <c r="CS24" s="270">
        <v>10</v>
      </c>
      <c r="CT24" s="322">
        <v>51</v>
      </c>
      <c r="CU24" s="249">
        <f>Table2821115[[#This Row],[D28 - BR/18]]/Table2821115[[#This Row],[D0 - BR/18]]</f>
        <v>1</v>
      </c>
      <c r="CV24" s="248">
        <f>Table2821115[[#This Row],[D28 - KS/17]]/Table2821115[[#This Row],[D0 - KS/17]]</f>
        <v>4</v>
      </c>
      <c r="CW24" s="248">
        <f>Table2821115[[#This Row],[D28 - Phu/13]]/Table2821115[[#This Row],[D0 - Phu/13]]</f>
        <v>2</v>
      </c>
      <c r="CX24" s="248">
        <f>Table2821115[[#This Row],[D28 - CO/17]]/Table2821115[[#This Row],[D0 - CO/17]]</f>
        <v>2</v>
      </c>
      <c r="CY24" s="248">
        <f>LOG(Table2821115[[#This Row],[BR/18 Fold]],2)</f>
        <v>0</v>
      </c>
      <c r="CZ24" s="248">
        <f>LOG(Table2821115[[#This Row],[KS/17 Fold]],2)</f>
        <v>2</v>
      </c>
      <c r="DA24" s="248">
        <f>LOG(Table2821115[[#This Row],[Phu/13 Fold]],2)</f>
        <v>1</v>
      </c>
      <c r="DB24" s="248">
        <f>LOG(Table2821115[[#This Row],[CO/17 Fold]],2)</f>
        <v>1</v>
      </c>
      <c r="DC24" s="248">
        <f>SUM(Table2821115[[#This Row],[BR/18 Log2]:[CO/17 Log2]])</f>
        <v>4</v>
      </c>
      <c r="DE24" s="348">
        <f>COUNTIFS($I$7:$I$467,"Y",$D$7:$D$467,"&gt;49",$D$7:$D$467,"&lt;65")</f>
        <v>63</v>
      </c>
      <c r="DF24" s="347" t="s">
        <v>10</v>
      </c>
      <c r="DG24" s="40">
        <f>AVERAGEIFS($AB$7:$AB$467,$I$7:$I$467,"Y",$D$7:$D$467,"&gt;49",$D$7:$D$467,"&lt;65")</f>
        <v>24.682539682539684</v>
      </c>
      <c r="DH24" s="233">
        <f>AVERAGEIFS($AC$7:$AC$467,$I$7:$I$467,"Y",$D$7:$D$467,"&gt;49",$D$7:$D$467,"&lt;65")</f>
        <v>66.666666666666671</v>
      </c>
      <c r="DI24" s="224">
        <f t="shared" si="4"/>
        <v>1.3099124134829307</v>
      </c>
      <c r="DJ24" s="47">
        <f>(COUNTIFS($AB$7:$AB$467,"&gt;=40",$D$7:$D$467,"&gt;49",$I$7:$I$467,"Y",$D$7:$D$467,"&lt;65"))/$DE24</f>
        <v>0.20634920634920634</v>
      </c>
      <c r="DK24" s="47">
        <f>(COUNTIFS($AC$7:$AC$467,"&gt;=40",$I$7:$I$467,"Y",$D$7:$D$467,"&gt;49",$D$7:$D$467,"&lt;65"))/$DE24</f>
        <v>0.53968253968253965</v>
      </c>
      <c r="DL24" s="50">
        <f>(COUNTIFS(Table2821115[BR/18 Fold],"&gt;=4",$AC$7:$AC$467,"&gt;=40",$I$7:$I$467,"Y",$D$7:$D$467,"&gt;49",$D$7:$D$467,"&lt;65"))/$DE24</f>
        <v>0.20634920634920634</v>
      </c>
      <c r="DM24" s="40">
        <f>AVERAGEIFS($BE$7:$BE$467,$I$7:$I$467,"Y",$D$7:$D$467,"&gt;49",$D$7:$D$467,"&lt;65")</f>
        <v>10.873015873015873</v>
      </c>
      <c r="DN24" s="233">
        <f>AVERAGEIFS($BF$7:$BF$467,$I$7:$I$467,"Y",$D$7:$D$467,"&gt;49",$D$7:$D$467,"&lt;65")</f>
        <v>66.984126984126988</v>
      </c>
      <c r="DO24" s="224">
        <f t="shared" si="5"/>
        <v>1.7619258577481383</v>
      </c>
      <c r="DP24" s="47">
        <f>(COUNTIFS($BE$7:$BE$467,"&gt;=40",$D$7:$D$467,"&gt;49",$I$7:$I$467,"Y",$D$7:$D$467,"&lt;65"))/$DE24</f>
        <v>4.7619047619047616E-2</v>
      </c>
      <c r="DQ24" s="47">
        <f>(COUNTIFS($BF$7:$BF$467,"&gt;=40",$I$7:$I$467,"Y",$D$7:$D$467,"&gt;49",$D$7:$D$467,"&lt;65"))/$DE24</f>
        <v>0.44444444444444442</v>
      </c>
      <c r="DR24" s="50">
        <f>(COUNTIFS(Table2821115[KS/17 Fold],"&gt;=4",$BF$7:$BF$467,"&gt;=40",$I$7:$I$467,"Y",$D$7:$D$467,"&gt;49",$D$7:$D$467,"&lt;65"))/$DE24</f>
        <v>0.3968253968253968</v>
      </c>
      <c r="DS24" s="40">
        <f>AVERAGEIFS($CD$7:$CD$467,$I$7:$I$467,"Y",$D$7:$D$467,"&gt;49",$D$7:$D$467,"&lt;65")</f>
        <v>80.079365079365076</v>
      </c>
      <c r="DT24" s="233">
        <f>AVERAGEIFS($CE$7:$CE$467,$I$7:$I$467,"Y",$D$7:$D$467,"&gt;49",$D$7:$D$467,"&lt;65")</f>
        <v>120.63492063492063</v>
      </c>
      <c r="DU24" s="224">
        <f t="shared" si="6"/>
        <v>1.0934859437473385</v>
      </c>
      <c r="DV24" s="47">
        <f>(COUNTIFS($CD$7:$CD$467,"&gt;=40",$D$7:$D$467,"&gt;49",$I$7:$I$467,"Y",$D$7:$D$467,"&lt;65"))/$DE24</f>
        <v>0.58730158730158732</v>
      </c>
      <c r="DW24" s="47">
        <f>(COUNTIFS($CE$7:$CE$467,"&gt;=40",$I$7:$I$467,"Y",$D$7:$D$467,"&gt;49",$D$7:$D$467,"&lt;65"))/$DE24</f>
        <v>0.77777777777777779</v>
      </c>
      <c r="DX24" s="50">
        <f>(COUNTIFS(Table2821115[Phu/13 Fold],"&gt;=4",$CE$7:$CE$467,"&gt;=40",$I$7:$I$467,"Y",$D$7:$D$467,"&gt;49",$D$7:$D$467,"&lt;65"))/$DE24</f>
        <v>0.20634920634920634</v>
      </c>
      <c r="DY24" s="40">
        <f>AVERAGEIFS($CP$7:$CP$467,$I$7:$I$467,"Y",$D$7:$D$467,"&gt;49",$D$7:$D$467,"&lt;65")</f>
        <v>55.317460317460316</v>
      </c>
      <c r="DZ24" s="233">
        <f>AVERAGEIFS($CQ$7:$CQ$467,$I$7:$I$467,"Y",$D$7:$D$467,"&gt;49",$D$7:$D$467,"&lt;65")</f>
        <v>74.682539682539684</v>
      </c>
      <c r="EA24" s="224">
        <f t="shared" si="7"/>
        <v>1.0747946928119074</v>
      </c>
      <c r="EB24" s="47">
        <f>(COUNTIFS($CP$7:$CP$467,"&gt;=40",$D$7:$D$467,"&gt;49",$I$7:$I$467,"Y",$D$7:$D$467,"&lt;65"))/$DE24</f>
        <v>0.49206349206349204</v>
      </c>
      <c r="EC24" s="47">
        <f>(COUNTIFS($CQ$7:$CQ$467,"&gt;=40",$I$7:$I$467,"Y",$D$7:$D$467,"&gt;49",$D$7:$D$467,"&lt;65"))/$DE24</f>
        <v>0.68253968253968256</v>
      </c>
      <c r="ED24" s="53">
        <f>(COUNTIFS(Table2821115[CO/17 Fold],"&gt;=4",$CQ$7:$CQ$467,"&gt;=40",$I$7:$I$467,"Y",$D$7:$D$467,"&gt;49",$D$7:$D$467,"&lt;65"))/$DE24</f>
        <v>0.17460317460317459</v>
      </c>
    </row>
    <row r="25" spans="1:134" s="10" customFormat="1" ht="24" customHeight="1">
      <c r="A25" s="321">
        <v>54</v>
      </c>
      <c r="B25" s="183">
        <v>35850</v>
      </c>
      <c r="C25" s="183">
        <v>43783</v>
      </c>
      <c r="D25" s="182">
        <v>21</v>
      </c>
      <c r="E25" s="3" t="s">
        <v>61</v>
      </c>
      <c r="F25" s="143" t="s">
        <v>116</v>
      </c>
      <c r="G25" s="142">
        <v>22.30084732106441</v>
      </c>
      <c r="H25" s="11" t="s">
        <v>59</v>
      </c>
      <c r="I25" s="281" t="s">
        <v>60</v>
      </c>
      <c r="J25" s="260">
        <v>5</v>
      </c>
      <c r="K25" s="260">
        <v>5</v>
      </c>
      <c r="L25" s="260"/>
      <c r="M25" s="260"/>
      <c r="N25" s="260"/>
      <c r="O25" s="260"/>
      <c r="P25" s="260"/>
      <c r="Q25" s="260"/>
      <c r="R25" s="260"/>
      <c r="S25" s="260"/>
      <c r="T25" s="260"/>
      <c r="U25" s="260"/>
      <c r="V25" s="260">
        <v>5</v>
      </c>
      <c r="W25" s="260">
        <v>5</v>
      </c>
      <c r="X25" s="260">
        <v>20</v>
      </c>
      <c r="Y25" s="260">
        <v>40</v>
      </c>
      <c r="Z25" s="260">
        <v>80</v>
      </c>
      <c r="AA25" s="260">
        <v>80</v>
      </c>
      <c r="AB25" s="260">
        <v>40</v>
      </c>
      <c r="AC25" s="260">
        <v>40</v>
      </c>
      <c r="AD25" s="260"/>
      <c r="AE25" s="260"/>
      <c r="AF25" s="260"/>
      <c r="AG25" s="260"/>
      <c r="AH25" s="32">
        <v>54</v>
      </c>
      <c r="AI25" s="272">
        <v>80</v>
      </c>
      <c r="AJ25" s="271">
        <v>80</v>
      </c>
      <c r="AK25" s="260"/>
      <c r="AL25" s="260"/>
      <c r="AM25" s="260"/>
      <c r="AN25" s="260"/>
      <c r="AO25" s="260"/>
      <c r="AP25" s="260"/>
      <c r="AQ25" s="260"/>
      <c r="AR25" s="260"/>
      <c r="AS25" s="260"/>
      <c r="AT25" s="260"/>
      <c r="AU25" s="260">
        <v>160</v>
      </c>
      <c r="AV25" s="271">
        <v>80</v>
      </c>
      <c r="AW25" s="260">
        <v>40</v>
      </c>
      <c r="AX25" s="271">
        <v>40</v>
      </c>
      <c r="AY25" s="260">
        <v>80</v>
      </c>
      <c r="AZ25" s="271">
        <v>80</v>
      </c>
      <c r="BA25" s="276">
        <v>80</v>
      </c>
      <c r="BB25" s="276">
        <v>80</v>
      </c>
      <c r="BC25" s="276"/>
      <c r="BD25" s="276"/>
      <c r="BE25" s="276">
        <v>10</v>
      </c>
      <c r="BF25" s="276">
        <v>10</v>
      </c>
      <c r="BG25" s="260">
        <v>160</v>
      </c>
      <c r="BH25" s="271">
        <v>80</v>
      </c>
      <c r="BI25" s="276"/>
      <c r="BJ25" s="276"/>
      <c r="BK25" s="276"/>
      <c r="BL25" s="275"/>
      <c r="BM25" s="320">
        <v>54</v>
      </c>
      <c r="BN25" s="272">
        <v>80</v>
      </c>
      <c r="BO25" s="270">
        <v>40</v>
      </c>
      <c r="BP25" s="272"/>
      <c r="BQ25" s="260"/>
      <c r="BR25" s="260"/>
      <c r="BS25" s="260"/>
      <c r="BT25" s="260"/>
      <c r="BU25" s="260"/>
      <c r="BV25" s="260">
        <v>5</v>
      </c>
      <c r="BW25" s="260">
        <v>5</v>
      </c>
      <c r="BX25" s="260"/>
      <c r="BY25" s="260"/>
      <c r="BZ25" s="260"/>
      <c r="CA25" s="260"/>
      <c r="CB25" s="260"/>
      <c r="CC25" s="260"/>
      <c r="CD25" s="260">
        <v>20</v>
      </c>
      <c r="CE25" s="260">
        <v>40</v>
      </c>
      <c r="CF25" s="272"/>
      <c r="CG25" s="260"/>
      <c r="CH25" s="260"/>
      <c r="CI25" s="260"/>
      <c r="CJ25" s="260"/>
      <c r="CK25" s="260"/>
      <c r="CL25" s="260"/>
      <c r="CM25" s="260"/>
      <c r="CN25" s="260">
        <v>80</v>
      </c>
      <c r="CO25" s="260">
        <v>80</v>
      </c>
      <c r="CP25" s="260">
        <v>80</v>
      </c>
      <c r="CQ25" s="260">
        <v>80</v>
      </c>
      <c r="CR25" s="260">
        <v>40</v>
      </c>
      <c r="CS25" s="270">
        <v>40</v>
      </c>
      <c r="CT25" s="319">
        <v>54</v>
      </c>
      <c r="CU25" s="249">
        <f>Table2821115[[#This Row],[D28 - BR/18]]/Table2821115[[#This Row],[D0 - BR/18]]</f>
        <v>1</v>
      </c>
      <c r="CV25" s="248">
        <f>Table2821115[[#This Row],[D28 - KS/17]]/Table2821115[[#This Row],[D0 - KS/17]]</f>
        <v>1</v>
      </c>
      <c r="CW25" s="248">
        <f>Table2821115[[#This Row],[D28 - Phu/13]]/Table2821115[[#This Row],[D0 - Phu/13]]</f>
        <v>2</v>
      </c>
      <c r="CX25" s="248">
        <f>Table2821115[[#This Row],[D28 - CO/17]]/Table2821115[[#This Row],[D0 - CO/17]]</f>
        <v>1</v>
      </c>
      <c r="CY25" s="248">
        <f>LOG(Table2821115[[#This Row],[BR/18 Fold]],2)</f>
        <v>0</v>
      </c>
      <c r="CZ25" s="248">
        <f>LOG(Table2821115[[#This Row],[KS/17 Fold]],2)</f>
        <v>0</v>
      </c>
      <c r="DA25" s="248">
        <f>LOG(Table2821115[[#This Row],[Phu/13 Fold]],2)</f>
        <v>1</v>
      </c>
      <c r="DB25" s="248">
        <f>LOG(Table2821115[[#This Row],[CO/17 Fold]],2)</f>
        <v>0</v>
      </c>
      <c r="DC25" s="248">
        <f>SUM(Table2821115[[#This Row],[BR/18 Log2]:[CO/17 Log2]])</f>
        <v>1</v>
      </c>
      <c r="DE25" s="38">
        <f>COUNTIFS($I$7:$I$467,"Y",$D$7:$D$467,"&gt;64")</f>
        <v>84</v>
      </c>
      <c r="DF25" s="41" t="s">
        <v>66</v>
      </c>
      <c r="DG25" s="39">
        <f>AVERAGEIFS($AB$7:$AB$467,$I$7:$I$467,"Y",$D$7:$D$467,"&gt;64")</f>
        <v>13.988095238095237</v>
      </c>
      <c r="DH25" s="345">
        <f>AVERAGEIFS($AC$7:$AC$467,$I$7:$I$467,"Y",$D$7:$D$467,"&gt;64")</f>
        <v>35.11904761904762</v>
      </c>
      <c r="DI25" s="338">
        <f t="shared" si="4"/>
        <v>1.3489252938258067</v>
      </c>
      <c r="DJ25" s="46">
        <f>(COUNTIFS($AB$7:$AB$467,"&gt;=40",$I$7:$I$467,"Y",$D$7:$D$467,"&gt;64"))/$DE25</f>
        <v>0.10714285714285714</v>
      </c>
      <c r="DK25" s="46">
        <f>(COUNTIFS($AC$7:$AC$467,"&gt;=40",$I$7:$I$467,"Y",$D$7:$D$467,"&gt;64"))/$DE25</f>
        <v>0.38095238095238093</v>
      </c>
      <c r="DL25" s="49">
        <f>(COUNTIFS(Table2821115[BR/18 Fold],"&gt;=4",$AC$7:$AC$467,"&gt;=40",$I$7:$I$467,"Y",$D$7:$D$467,"&gt;64"))/$DE25</f>
        <v>0.21428571428571427</v>
      </c>
      <c r="DM25" s="39">
        <f>AVERAGEIFS($BE$7:$BE$467,$I$7:$I$467,"Y",$D$7:$D$467,"&gt;64")</f>
        <v>12.44047619047619</v>
      </c>
      <c r="DN25" s="345">
        <f>AVERAGEIFS($BF$7:$BF$467,$I$7:$I$467,"Y",$D$7:$D$467,"&gt;64")</f>
        <v>99.94047619047619</v>
      </c>
      <c r="DO25" s="338">
        <f t="shared" si="5"/>
        <v>1.8265197526230368</v>
      </c>
      <c r="DP25" s="46">
        <f>(COUNTIFS($BE$7:$BE$467,"&gt;=40",$I$7:$I$467,"Y",$D$7:$D$467,"&gt;64"))/$DE25</f>
        <v>0.10714285714285714</v>
      </c>
      <c r="DQ25" s="46">
        <f>(COUNTIFS($BF$7:$BF$467,"&gt;=40",$I$7:$I$467,"Y",$D$7:$D$467,"&gt;64"))/$DE25</f>
        <v>0.5714285714285714</v>
      </c>
      <c r="DR25" s="49">
        <f>(COUNTIFS(Table2821115[KS/17 Fold],"&gt;=4",$BF$7:$BF$467,"&gt;=40",$I$7:$I$467,"Y",$D$7:$D$467,"&gt;64"))/$DE25</f>
        <v>0.48809523809523808</v>
      </c>
      <c r="DS25" s="39">
        <f>AVERAGEIFS($CD$7:$CD$467,$I$7:$I$467,"Y",$D$7:$D$467,"&gt;64")</f>
        <v>62.083333333333336</v>
      </c>
      <c r="DT25" s="345">
        <f>AVERAGEIFS($CE$7:$CE$467,$I$7:$I$467,"Y",$D$7:$D$467,"&gt;64")</f>
        <v>73.392857142857139</v>
      </c>
      <c r="DU25" s="338">
        <f t="shared" si="6"/>
        <v>1.0405352930670431</v>
      </c>
      <c r="DV25" s="46">
        <f>(COUNTIFS($CD$7:$CD$467,"&gt;=40",$I$7:$I$467,"Y",$D$7:$D$467,"&gt;64"))/$DE25</f>
        <v>0.4642857142857143</v>
      </c>
      <c r="DW25" s="46">
        <f>(COUNTIFS($CE$7:$CE$467,"&gt;=40",$I$7:$I$467,"Y",$D$7:$D$467,"&gt;64"))/$DE25</f>
        <v>0.54761904761904767</v>
      </c>
      <c r="DX25" s="49">
        <f>(COUNTIFS(Table2821115[Phu/13 Fold],"&gt;=4",$CE$7:$CE$467,"&gt;=40",$I$7:$I$467,"Y",$D$7:$D$467,"&gt;64"))/$DE25</f>
        <v>4.7619047619047616E-2</v>
      </c>
      <c r="DY25" s="39">
        <f>AVERAGEIFS($CP$7:$CP$467,$I$7:$I$467,"Y",$D$7:$D$467,"&gt;64")</f>
        <v>28.75</v>
      </c>
      <c r="DZ25" s="345">
        <f>AVERAGEIFS($CQ$7:$CQ$467,$I$7:$I$467,"Y",$D$7:$D$467,"&gt;64")</f>
        <v>56.19047619047619</v>
      </c>
      <c r="EA25" s="338">
        <f t="shared" si="7"/>
        <v>1.1995182448754895</v>
      </c>
      <c r="EB25" s="46">
        <f>(COUNTIFS($CP$7:$CP$467,"&gt;=40",$I$7:$I$467,"Y",$D$7:$D$467,"&gt;64"))/$DE25</f>
        <v>0.30952380952380953</v>
      </c>
      <c r="EC25" s="46">
        <f>(COUNTIFS($CQ$7:$CQ$467,"&gt;=40",$I$7:$I$467,"Y",$D$7:$D$467,"&gt;64"))/$DE25</f>
        <v>0.6785714285714286</v>
      </c>
      <c r="ED25" s="54">
        <f>(COUNTIFS(Table2821115[CO/17 Fold],"&gt;=4",$CQ$7:$CQ$467,"&gt;=40",$I$7:$I$467,"Y",$D$7:$D$467,"&gt;64"))/$DE25</f>
        <v>0.23809523809523808</v>
      </c>
    </row>
    <row r="26" spans="1:134" s="10" customFormat="1" ht="24" customHeight="1">
      <c r="A26" s="318">
        <v>55</v>
      </c>
      <c r="B26" s="180">
        <v>24408</v>
      </c>
      <c r="C26" s="180">
        <v>43767</v>
      </c>
      <c r="D26" s="179">
        <v>53</v>
      </c>
      <c r="E26" s="4" t="s">
        <v>58</v>
      </c>
      <c r="F26" s="143" t="s">
        <v>116</v>
      </c>
      <c r="G26" s="142">
        <v>29.778438408680287</v>
      </c>
      <c r="H26" s="11" t="s">
        <v>59</v>
      </c>
      <c r="I26" s="281" t="s">
        <v>60</v>
      </c>
      <c r="J26" s="260">
        <v>5</v>
      </c>
      <c r="K26" s="260">
        <v>5</v>
      </c>
      <c r="L26" s="260"/>
      <c r="M26" s="260"/>
      <c r="N26" s="260"/>
      <c r="O26" s="260"/>
      <c r="P26" s="260"/>
      <c r="Q26" s="260"/>
      <c r="R26" s="260"/>
      <c r="S26" s="260"/>
      <c r="T26" s="260"/>
      <c r="U26" s="260"/>
      <c r="V26" s="260">
        <v>5</v>
      </c>
      <c r="W26" s="260">
        <v>20</v>
      </c>
      <c r="X26" s="260">
        <v>5</v>
      </c>
      <c r="Y26" s="260">
        <v>80</v>
      </c>
      <c r="Z26" s="260">
        <v>40</v>
      </c>
      <c r="AA26" s="260">
        <v>160</v>
      </c>
      <c r="AB26" s="260">
        <v>5</v>
      </c>
      <c r="AC26" s="260">
        <v>80</v>
      </c>
      <c r="AD26" s="260"/>
      <c r="AE26" s="260"/>
      <c r="AF26" s="260"/>
      <c r="AG26" s="260"/>
      <c r="AH26" s="195">
        <v>55</v>
      </c>
      <c r="AI26" s="272">
        <v>5</v>
      </c>
      <c r="AJ26" s="271">
        <v>10</v>
      </c>
      <c r="AK26" s="260"/>
      <c r="AL26" s="260"/>
      <c r="AM26" s="260"/>
      <c r="AN26" s="260"/>
      <c r="AO26" s="260"/>
      <c r="AP26" s="260"/>
      <c r="AQ26" s="260"/>
      <c r="AR26" s="260"/>
      <c r="AS26" s="260"/>
      <c r="AT26" s="260"/>
      <c r="AU26" s="260">
        <v>40</v>
      </c>
      <c r="AV26" s="271">
        <v>160</v>
      </c>
      <c r="AW26" s="260">
        <v>20</v>
      </c>
      <c r="AX26" s="271">
        <v>160</v>
      </c>
      <c r="AY26" s="260">
        <v>5</v>
      </c>
      <c r="AZ26" s="271">
        <v>80</v>
      </c>
      <c r="BA26" s="276">
        <v>20</v>
      </c>
      <c r="BB26" s="276">
        <v>80</v>
      </c>
      <c r="BC26" s="276"/>
      <c r="BD26" s="276"/>
      <c r="BE26" s="276">
        <v>5</v>
      </c>
      <c r="BF26" s="276">
        <v>80</v>
      </c>
      <c r="BG26" s="260">
        <v>40</v>
      </c>
      <c r="BH26" s="271">
        <v>80</v>
      </c>
      <c r="BI26" s="276"/>
      <c r="BJ26" s="276"/>
      <c r="BK26" s="276"/>
      <c r="BL26" s="275"/>
      <c r="BM26" s="316">
        <v>55</v>
      </c>
      <c r="BN26" s="272">
        <v>10</v>
      </c>
      <c r="BO26" s="270">
        <v>40</v>
      </c>
      <c r="BP26" s="272"/>
      <c r="BQ26" s="260"/>
      <c r="BR26" s="260"/>
      <c r="BS26" s="260"/>
      <c r="BT26" s="260"/>
      <c r="BU26" s="260"/>
      <c r="BV26" s="260">
        <v>5</v>
      </c>
      <c r="BW26" s="260">
        <v>5</v>
      </c>
      <c r="BX26" s="260"/>
      <c r="BY26" s="260"/>
      <c r="BZ26" s="260"/>
      <c r="CA26" s="260"/>
      <c r="CB26" s="260"/>
      <c r="CC26" s="260"/>
      <c r="CD26" s="260">
        <v>5</v>
      </c>
      <c r="CE26" s="260">
        <v>40</v>
      </c>
      <c r="CF26" s="272"/>
      <c r="CG26" s="260"/>
      <c r="CH26" s="260"/>
      <c r="CI26" s="260"/>
      <c r="CJ26" s="260"/>
      <c r="CK26" s="260"/>
      <c r="CL26" s="260"/>
      <c r="CM26" s="260"/>
      <c r="CN26" s="260">
        <v>10</v>
      </c>
      <c r="CO26" s="260">
        <v>40</v>
      </c>
      <c r="CP26" s="260">
        <v>5</v>
      </c>
      <c r="CQ26" s="260">
        <v>80</v>
      </c>
      <c r="CR26" s="260">
        <v>20</v>
      </c>
      <c r="CS26" s="270">
        <v>40</v>
      </c>
      <c r="CT26" s="315">
        <v>55</v>
      </c>
      <c r="CU26" s="249">
        <f>Table2821115[[#This Row],[D28 - BR/18]]/Table2821115[[#This Row],[D0 - BR/18]]</f>
        <v>16</v>
      </c>
      <c r="CV26" s="248">
        <f>Table2821115[[#This Row],[D28 - KS/17]]/Table2821115[[#This Row],[D0 - KS/17]]</f>
        <v>16</v>
      </c>
      <c r="CW26" s="248">
        <f>Table2821115[[#This Row],[D28 - Phu/13]]/Table2821115[[#This Row],[D0 - Phu/13]]</f>
        <v>8</v>
      </c>
      <c r="CX26" s="248">
        <f>Table2821115[[#This Row],[D28 - CO/17]]/Table2821115[[#This Row],[D0 - CO/17]]</f>
        <v>16</v>
      </c>
      <c r="CY26" s="248">
        <f>LOG(Table2821115[[#This Row],[BR/18 Fold]],2)</f>
        <v>4</v>
      </c>
      <c r="CZ26" s="248">
        <f>LOG(Table2821115[[#This Row],[KS/17 Fold]],2)</f>
        <v>4</v>
      </c>
      <c r="DA26" s="248">
        <f>LOG(Table2821115[[#This Row],[Phu/13 Fold]],2)</f>
        <v>3</v>
      </c>
      <c r="DB26" s="248">
        <f>LOG(Table2821115[[#This Row],[CO/17 Fold]],2)</f>
        <v>4</v>
      </c>
      <c r="DC26" s="248">
        <f>SUM(Table2821115[[#This Row],[BR/18 Log2]:[CO/17 Log2]])</f>
        <v>15</v>
      </c>
      <c r="DE26" s="344">
        <f>COUNTIFS($H$7:$H$467,"*Standard*",$I$7:$I$467,"Y",$D$7:$D$467,"&gt;64")</f>
        <v>16</v>
      </c>
      <c r="DF26" s="343" t="s">
        <v>67</v>
      </c>
      <c r="DG26" s="37">
        <f>AVERAGEIFS($AB$7:$AB$467,$H$7:$H$467,"*Standard*",$I$7:$I$467,"Y",$D$7:$D$467,"&gt;64")</f>
        <v>17.8125</v>
      </c>
      <c r="DH26" s="341">
        <f>AVERAGEIFS($AC$7:$AC$467,$H$7:$H$467,"*Standard*",$I$7:$I$467,"Y",$D$7:$D$467,"&gt;64")</f>
        <v>41.5625</v>
      </c>
      <c r="DI26" s="341">
        <f t="shared" si="4"/>
        <v>1.2942108148304305</v>
      </c>
      <c r="DJ26" s="45">
        <f>(COUNTIFS($AB$7:$AB$467,"&gt;=40",$H$7:$H$467,"*Standard*",$I$7:$I$467,"Y",$D$7:$D$467,"&gt;64"))/$DE26</f>
        <v>0.1875</v>
      </c>
      <c r="DK26" s="45">
        <f>(COUNTIFS($AC$7:$AC$467,"&gt;=40",$I$7:$I$467,"Y",$H$7:$H$467,"*Standard*",$D$7:$D$467,"&gt;64"))/$DE26</f>
        <v>0.375</v>
      </c>
      <c r="DL26" s="48">
        <f>(COUNTIFS(Table2821115[BR/18 Fold],"&gt;=4",$AC$7:$AC$467,"&gt;=40",$I$7:$I$467,"Y",$H$7:$H$467,"*Standard*",$D$7:$D$467,"&gt;64"))/$DE26</f>
        <v>0.125</v>
      </c>
      <c r="DM26" s="37">
        <f>AVERAGEIFS($BE$7:$BE$467,$H$7:$H$467,"*Standard*",$I$7:$I$467,"Y",$D$7:$D$467,"&gt;64")</f>
        <v>19.375</v>
      </c>
      <c r="DN26" s="341">
        <f>AVERAGEIFS($BF$7:$BF$467,$H$7:$H$467,"*Standard*",$I$7:$I$467,"Y",$D$7:$D$467,"&gt;64")</f>
        <v>163.125</v>
      </c>
      <c r="DO26" s="341">
        <f t="shared" si="5"/>
        <v>1.7188073579879597</v>
      </c>
      <c r="DP26" s="45">
        <f>(COUNTIFS($BE$7:$BE$467,"&gt;=40",$H$7:$H$467,"*Standard*",$I$7:$I$467,"Y",$D$7:$D$467,"&gt;64"))/$DE26</f>
        <v>0.1875</v>
      </c>
      <c r="DQ26" s="45">
        <f>(COUNTIFS($BF$7:$BF$467,"&gt;=40",$I$7:$I$467,"Y",$H$7:$H$467,"*Standard*",$D$7:$D$467,"&gt;64"))/$DE26</f>
        <v>0.6875</v>
      </c>
      <c r="DR26" s="48">
        <f>(COUNTIFS(Table2821115[KS/17 Fold],"&gt;=4",$BF$7:$BF$467,"&gt;=40",$I$7:$I$467,"Y",$H$7:$H$467,"*Standard*",$D$7:$D$467,"&gt;64"))/$DE26</f>
        <v>0.5625</v>
      </c>
      <c r="DS26" s="37">
        <f>AVERAGEIFS($CD$7:$CD$467,$H$7:$H$467,"*Standard*",$I$7:$I$467,"Y",$D$7:$D$467,"&gt;64")</f>
        <v>68.125</v>
      </c>
      <c r="DT26" s="341">
        <f>AVERAGEIFS($CE$7:$CE$467,$H$7:$H$467,"*Standard*",$I$7:$I$467,"Y",$D$7:$D$467,"&gt;64")</f>
        <v>99.375</v>
      </c>
      <c r="DU26" s="341">
        <f t="shared" si="6"/>
        <v>1.0894398318081384</v>
      </c>
      <c r="DV26" s="45">
        <f>(COUNTIFS($CD$7:$CD$467,"&gt;=40",$H$7:$H$467,"*Standard*",$I$7:$I$467,"Y",$D$7:$D$467,"&gt;64"))/$DE26</f>
        <v>0.5</v>
      </c>
      <c r="DW26" s="45">
        <f>(COUNTIFS($CE$7:$CE$467,"&gt;=40",$I$7:$I$467,"Y",$H$7:$H$467,"*Standard*",$D$7:$D$467,"&gt;64"))/$DE26</f>
        <v>0.5625</v>
      </c>
      <c r="DX26" s="48">
        <f>(COUNTIFS(Table2821115[Phu/13 Fold],"&gt;=4",$CE$7:$CE$467,"&gt;=40",$I$7:$I$467,"Y",$H$7:$H$467,"*Standard*",$D$7:$D$467,"&gt;64"))/$DE26</f>
        <v>6.25E-2</v>
      </c>
      <c r="DY26" s="37">
        <f>AVERAGEIFS($CP$7:$CP$467,$H$7:$H$467,"*Standard*",$I$7:$I$467,"Y",$D$7:$D$467,"&gt;64")</f>
        <v>27.5</v>
      </c>
      <c r="DZ26" s="341">
        <f>AVERAGEIFS($CQ$7:$CQ$467,$H$7:$H$467,"*Standard*",$I$7:$I$467,"Y",$D$7:$D$467,"&gt;64")</f>
        <v>52.5</v>
      </c>
      <c r="EA26" s="341">
        <f t="shared" si="7"/>
        <v>1.1951088937112768</v>
      </c>
      <c r="EB26" s="45">
        <f>(COUNTIFS($CP$7:$CP$467,"&gt;=40",$H$7:$H$467,"*Standard*",$I$7:$I$467,"Y",$D$7:$D$467,"&gt;64"))/$DE26</f>
        <v>0.375</v>
      </c>
      <c r="EC26" s="45">
        <f>(COUNTIFS($CQ$7:$CQ$467,"&gt;=40",$I$7:$I$467,"Y",$H$7:$H$467,"*Standard*",$D$7:$D$467,"&gt;64"))/$DE26</f>
        <v>0.5625</v>
      </c>
      <c r="ED26" s="55">
        <f>(COUNTIFS(Table2821115[CO/17 Fold],"&gt;=4",$CQ$7:$CQ$467,"&gt;=40",$I$7:$I$467,"Y",$H$7:$H$467,"*Standard*",$D$7:$D$467,"&gt;64"))/$DE26</f>
        <v>0.1875</v>
      </c>
    </row>
    <row r="27" spans="1:134" s="10" customFormat="1" ht="24" customHeight="1">
      <c r="A27" s="318">
        <v>58</v>
      </c>
      <c r="B27" s="180">
        <v>22158</v>
      </c>
      <c r="C27" s="180">
        <v>43761</v>
      </c>
      <c r="D27" s="179">
        <v>59</v>
      </c>
      <c r="E27" s="3" t="s">
        <v>61</v>
      </c>
      <c r="F27" s="143" t="s">
        <v>116</v>
      </c>
      <c r="G27" s="142">
        <v>36.747605257295611</v>
      </c>
      <c r="H27" s="11" t="s">
        <v>59</v>
      </c>
      <c r="I27" s="281" t="s">
        <v>60</v>
      </c>
      <c r="J27" s="260">
        <v>5</v>
      </c>
      <c r="K27" s="260">
        <v>5</v>
      </c>
      <c r="L27" s="260"/>
      <c r="M27" s="260"/>
      <c r="N27" s="260"/>
      <c r="O27" s="260"/>
      <c r="P27" s="260"/>
      <c r="Q27" s="260"/>
      <c r="R27" s="260"/>
      <c r="S27" s="260"/>
      <c r="T27" s="260"/>
      <c r="U27" s="260"/>
      <c r="V27" s="260">
        <v>5</v>
      </c>
      <c r="W27" s="260">
        <v>5</v>
      </c>
      <c r="X27" s="260">
        <v>20</v>
      </c>
      <c r="Y27" s="260">
        <v>320</v>
      </c>
      <c r="Z27" s="260">
        <v>20</v>
      </c>
      <c r="AA27" s="260">
        <v>320</v>
      </c>
      <c r="AB27" s="260">
        <v>5</v>
      </c>
      <c r="AC27" s="260">
        <v>320</v>
      </c>
      <c r="AD27" s="260"/>
      <c r="AE27" s="260"/>
      <c r="AF27" s="260"/>
      <c r="AG27" s="260"/>
      <c r="AH27" s="195">
        <v>58</v>
      </c>
      <c r="AI27" s="272">
        <v>5</v>
      </c>
      <c r="AJ27" s="271">
        <v>20</v>
      </c>
      <c r="AK27" s="260"/>
      <c r="AL27" s="260"/>
      <c r="AM27" s="260"/>
      <c r="AN27" s="260"/>
      <c r="AO27" s="260"/>
      <c r="AP27" s="260"/>
      <c r="AQ27" s="260"/>
      <c r="AR27" s="260"/>
      <c r="AS27" s="260"/>
      <c r="AT27" s="260"/>
      <c r="AU27" s="260">
        <v>80</v>
      </c>
      <c r="AV27" s="271">
        <v>160</v>
      </c>
      <c r="AW27" s="260">
        <v>80</v>
      </c>
      <c r="AX27" s="271">
        <v>320</v>
      </c>
      <c r="AY27" s="260">
        <v>160</v>
      </c>
      <c r="AZ27" s="271">
        <v>160</v>
      </c>
      <c r="BA27" s="276">
        <v>160</v>
      </c>
      <c r="BB27" s="276">
        <v>320</v>
      </c>
      <c r="BC27" s="276"/>
      <c r="BD27" s="276"/>
      <c r="BE27" s="276">
        <v>40</v>
      </c>
      <c r="BF27" s="276">
        <v>80</v>
      </c>
      <c r="BG27" s="260">
        <v>80</v>
      </c>
      <c r="BH27" s="271">
        <v>160</v>
      </c>
      <c r="BI27" s="276"/>
      <c r="BJ27" s="276"/>
      <c r="BK27" s="276"/>
      <c r="BL27" s="275"/>
      <c r="BM27" s="316">
        <v>58</v>
      </c>
      <c r="BN27" s="272">
        <v>40</v>
      </c>
      <c r="BO27" s="270">
        <v>160</v>
      </c>
      <c r="BP27" s="272"/>
      <c r="BQ27" s="260"/>
      <c r="BR27" s="260"/>
      <c r="BS27" s="260"/>
      <c r="BT27" s="260"/>
      <c r="BU27" s="260"/>
      <c r="BV27" s="260">
        <v>40</v>
      </c>
      <c r="BW27" s="260">
        <v>160</v>
      </c>
      <c r="BX27" s="260"/>
      <c r="BY27" s="260"/>
      <c r="BZ27" s="260"/>
      <c r="CA27" s="260"/>
      <c r="CB27" s="260"/>
      <c r="CC27" s="260"/>
      <c r="CD27" s="260">
        <v>80</v>
      </c>
      <c r="CE27" s="260">
        <v>320</v>
      </c>
      <c r="CF27" s="272"/>
      <c r="CG27" s="260"/>
      <c r="CH27" s="260"/>
      <c r="CI27" s="260"/>
      <c r="CJ27" s="260"/>
      <c r="CK27" s="260"/>
      <c r="CL27" s="260"/>
      <c r="CM27" s="260"/>
      <c r="CN27" s="260">
        <v>40</v>
      </c>
      <c r="CO27" s="260">
        <v>160</v>
      </c>
      <c r="CP27" s="260">
        <v>20</v>
      </c>
      <c r="CQ27" s="260">
        <v>160</v>
      </c>
      <c r="CR27" s="260">
        <v>10</v>
      </c>
      <c r="CS27" s="270">
        <v>80</v>
      </c>
      <c r="CT27" s="315">
        <v>58</v>
      </c>
      <c r="CU27" s="249">
        <f>Table2821115[[#This Row],[D28 - BR/18]]/Table2821115[[#This Row],[D0 - BR/18]]</f>
        <v>64</v>
      </c>
      <c r="CV27" s="248">
        <f>Table2821115[[#This Row],[D28 - KS/17]]/Table2821115[[#This Row],[D0 - KS/17]]</f>
        <v>2</v>
      </c>
      <c r="CW27" s="248">
        <f>Table2821115[[#This Row],[D28 - Phu/13]]/Table2821115[[#This Row],[D0 - Phu/13]]</f>
        <v>4</v>
      </c>
      <c r="CX27" s="248">
        <f>Table2821115[[#This Row],[D28 - CO/17]]/Table2821115[[#This Row],[D0 - CO/17]]</f>
        <v>8</v>
      </c>
      <c r="CY27" s="248">
        <f>LOG(Table2821115[[#This Row],[BR/18 Fold]],2)</f>
        <v>6</v>
      </c>
      <c r="CZ27" s="248">
        <f>LOG(Table2821115[[#This Row],[KS/17 Fold]],2)</f>
        <v>1</v>
      </c>
      <c r="DA27" s="248">
        <f>LOG(Table2821115[[#This Row],[Phu/13 Fold]],2)</f>
        <v>2</v>
      </c>
      <c r="DB27" s="248">
        <f>LOG(Table2821115[[#This Row],[CO/17 Fold]],2)</f>
        <v>3</v>
      </c>
      <c r="DC27" s="248">
        <f>SUM(Table2821115[[#This Row],[BR/18 Log2]:[CO/17 Log2]])</f>
        <v>12</v>
      </c>
      <c r="DE27" s="42">
        <f>COUNTIFS($H$7:$H$467,"*High*",$I$7:$I$467,"Y",$D$7:$D$467,"&gt;64")</f>
        <v>68</v>
      </c>
      <c r="DF27" s="340" t="s">
        <v>291</v>
      </c>
      <c r="DG27" s="39">
        <f>AVERAGEIFS($AB$7:$AB$467,$H$7:$H$467,"*High*",$I$7:$I$467,"Y",$D$7:$D$467,"&gt;64")</f>
        <v>13.088235294117647</v>
      </c>
      <c r="DH27" s="338">
        <f>AVERAGEIFS($AC$7:$AC$467,$H$7:$H$467,"*High*",$I$7:$I$467,"Y",$D$7:$D$467,"&gt;64")</f>
        <v>33.602941176470587</v>
      </c>
      <c r="DI27" s="338">
        <f t="shared" si="4"/>
        <v>1.3666426085850105</v>
      </c>
      <c r="DJ27" s="46">
        <f>(COUNTIFS($AB$7:$AB$467,"&gt;=40",$H$7:$H$467,"*High*",$I$7:$I$467,"Y",$D$7:$D$467,"&gt;64"))/$DE27</f>
        <v>8.8235294117647065E-2</v>
      </c>
      <c r="DK27" s="46">
        <f>(COUNTIFS($AC$7:$AC$467,"&gt;=40",$I$7:$I$467,"Y",$H$7:$H$467,"*High*",$D$7:$D$467,"&gt;64"))/$DE27</f>
        <v>0.38235294117647056</v>
      </c>
      <c r="DL27" s="49">
        <f>(COUNTIFS(Table2821115[BR/18 Fold],"&gt;=4",$AC$7:$AC$467,"&gt;=40",$I$7:$I$467,"Y",$H$7:$H$467,"*High*",$D$7:$D$467,"&gt;64"))/$DE27</f>
        <v>0.23529411764705882</v>
      </c>
      <c r="DM27" s="39">
        <f>AVERAGEIFS($BE$7:$BE$467,$H$7:$H$467,"*High*",$I$7:$I$467,"Y",$D$7:$D$467,"&gt;64")</f>
        <v>10.808823529411764</v>
      </c>
      <c r="DN27" s="338">
        <f>AVERAGEIFS($BF$7:$BF$467,$H$7:$H$467,"*High*",$I$7:$I$467,"Y",$D$7:$D$467,"&gt;64")</f>
        <v>85.07352941176471</v>
      </c>
      <c r="DO27" s="338">
        <f t="shared" si="5"/>
        <v>1.8667389465099768</v>
      </c>
      <c r="DP27" s="46">
        <f>(COUNTIFS($BE$7:$BE$467,"&gt;=40",$H$7:$H$467,"*High*",$I$7:$I$467,"Y",$D$7:$D$467,"&gt;64"))/$DE27</f>
        <v>8.8235294117647065E-2</v>
      </c>
      <c r="DQ27" s="46">
        <f>(COUNTIFS($BF$7:$BF$467,"&gt;=40",$I$7:$I$467,"Y",$H$7:$H$467,"*High*",$D$7:$D$467,"&gt;64"))/$DE27</f>
        <v>0.54411764705882348</v>
      </c>
      <c r="DR27" s="49">
        <f>(COUNTIFS(Table2821115[KS/17 Fold],"&gt;=4",$BF$7:$BF$467,"&gt;=40",$I$7:$I$467,"Y",$H$7:$H$467,"*High*",$D$7:$D$467,"&gt;64"))/$DE27</f>
        <v>0.47058823529411764</v>
      </c>
      <c r="DS27" s="39">
        <f>AVERAGEIFS($CD$7:$CD$467,$H$7:$H$467,"*High*",$I$7:$I$467,"Y",$D$7:$D$467,"&gt;64")</f>
        <v>60.661764705882355</v>
      </c>
      <c r="DT27" s="338">
        <f>AVERAGEIFS($CE$7:$CE$467,$H$7:$H$467,"*High*",$I$7:$I$467,"Y",$D$7:$D$467,"&gt;64")</f>
        <v>67.279411764705884</v>
      </c>
      <c r="DU27" s="338">
        <f t="shared" si="6"/>
        <v>1.0252211375770275</v>
      </c>
      <c r="DV27" s="46">
        <f>(COUNTIFS($CD$7:$CD$467,"&gt;=40",$H$7:$H$467,"*High*",$I$7:$I$467,"Y",$D$7:$D$467,"&gt;64"))/$DE27</f>
        <v>0.45588235294117646</v>
      </c>
      <c r="DW27" s="46">
        <f>(COUNTIFS($CE$7:$CE$467,"&gt;=40",$I$7:$I$467,"Y",$H$7:$H$467,"*High*",$D$7:$D$467,"&gt;64"))/$DE27</f>
        <v>0.54411764705882348</v>
      </c>
      <c r="DX27" s="49">
        <f>(COUNTIFS(Table2821115[Phu/13 Fold],"&gt;=4",$CE$7:$CE$467,"&gt;=40",$I$7:$I$467,"Y",$H$7:$H$467,"*High*",$D$7:$D$467,"&gt;64"))/$DE27</f>
        <v>4.4117647058823532E-2</v>
      </c>
      <c r="DY27" s="39">
        <f>AVERAGEIFS($CP$7:$CP$467,$H$7:$H$467,"*High*",$I$7:$I$467,"Y",$D$7:$D$467,"&gt;64")</f>
        <v>29.044117647058822</v>
      </c>
      <c r="DZ27" s="338">
        <f>AVERAGEIFS($CQ$7:$CQ$467,$H$7:$H$467,"*High*",$I$7:$I$467,"Y",$D$7:$D$467,"&gt;64")</f>
        <v>57.058823529411768</v>
      </c>
      <c r="EA27" s="338">
        <f t="shared" si="7"/>
        <v>1.2004463173004105</v>
      </c>
      <c r="EB27" s="46">
        <f>(COUNTIFS($CP$7:$CP$467,"&gt;=40",$H$7:$H$467,"*High*",$I$7:$I$467,"Y",$D$7:$D$467,"&gt;64"))/$DE27</f>
        <v>0.29411764705882354</v>
      </c>
      <c r="EC27" s="46">
        <f>(COUNTIFS($CQ$7:$CQ$467,"&gt;=40",$I$7:$I$467,"Y",$H$7:$H$467,"*High*",$D$7:$D$467,"&gt;64"))/$DE27</f>
        <v>0.70588235294117652</v>
      </c>
      <c r="ED27" s="54">
        <f>(COUNTIFS(Table2821115[CO/17 Fold],"&gt;=4",$CQ$7:$CQ$467,"&gt;=40",$I$7:$I$467,"Y",$H$7:$H$467,"*High*",$D$7:$D$467,"&gt;64"))/$DE27</f>
        <v>0.25</v>
      </c>
    </row>
    <row r="28" spans="1:134" s="10" customFormat="1" ht="24" customHeight="1" thickBot="1">
      <c r="A28" s="318">
        <v>62</v>
      </c>
      <c r="B28" s="180">
        <v>25144</v>
      </c>
      <c r="C28" s="180">
        <v>43773</v>
      </c>
      <c r="D28" s="179">
        <v>51</v>
      </c>
      <c r="E28" s="3" t="s">
        <v>61</v>
      </c>
      <c r="F28" s="143" t="s">
        <v>116</v>
      </c>
      <c r="G28" s="142">
        <v>24.364484928964419</v>
      </c>
      <c r="H28" s="11" t="s">
        <v>59</v>
      </c>
      <c r="I28" s="281" t="s">
        <v>60</v>
      </c>
      <c r="J28" s="260">
        <v>5</v>
      </c>
      <c r="K28" s="260">
        <v>5</v>
      </c>
      <c r="L28" s="260"/>
      <c r="M28" s="260"/>
      <c r="N28" s="260"/>
      <c r="O28" s="260"/>
      <c r="P28" s="260"/>
      <c r="Q28" s="260"/>
      <c r="R28" s="260"/>
      <c r="S28" s="260"/>
      <c r="T28" s="260"/>
      <c r="U28" s="260"/>
      <c r="V28" s="260">
        <v>5</v>
      </c>
      <c r="W28" s="260">
        <v>5</v>
      </c>
      <c r="X28" s="260">
        <v>5</v>
      </c>
      <c r="Y28" s="260">
        <v>40</v>
      </c>
      <c r="Z28" s="260">
        <v>10</v>
      </c>
      <c r="AA28" s="260">
        <v>40</v>
      </c>
      <c r="AB28" s="260">
        <v>10</v>
      </c>
      <c r="AC28" s="260">
        <v>20</v>
      </c>
      <c r="AD28" s="260"/>
      <c r="AE28" s="260"/>
      <c r="AF28" s="260"/>
      <c r="AG28" s="260"/>
      <c r="AH28" s="195">
        <v>62</v>
      </c>
      <c r="AI28" s="272">
        <v>20</v>
      </c>
      <c r="AJ28" s="271">
        <v>80</v>
      </c>
      <c r="AK28" s="260"/>
      <c r="AL28" s="260"/>
      <c r="AM28" s="260"/>
      <c r="AN28" s="260"/>
      <c r="AO28" s="260"/>
      <c r="AP28" s="260"/>
      <c r="AQ28" s="260"/>
      <c r="AR28" s="260"/>
      <c r="AS28" s="260"/>
      <c r="AT28" s="260"/>
      <c r="AU28" s="260">
        <v>40</v>
      </c>
      <c r="AV28" s="271">
        <v>160</v>
      </c>
      <c r="AW28" s="260">
        <v>20</v>
      </c>
      <c r="AX28" s="271">
        <v>160</v>
      </c>
      <c r="AY28" s="260">
        <v>10</v>
      </c>
      <c r="AZ28" s="271">
        <v>20</v>
      </c>
      <c r="BA28" s="276">
        <v>10</v>
      </c>
      <c r="BB28" s="276">
        <v>40</v>
      </c>
      <c r="BC28" s="276"/>
      <c r="BD28" s="276"/>
      <c r="BE28" s="276">
        <v>5</v>
      </c>
      <c r="BF28" s="276">
        <v>80</v>
      </c>
      <c r="BG28" s="260">
        <v>20</v>
      </c>
      <c r="BH28" s="271">
        <v>160</v>
      </c>
      <c r="BI28" s="276"/>
      <c r="BJ28" s="276"/>
      <c r="BK28" s="276"/>
      <c r="BL28" s="275"/>
      <c r="BM28" s="316">
        <v>62</v>
      </c>
      <c r="BN28" s="272">
        <v>10</v>
      </c>
      <c r="BO28" s="270">
        <v>40</v>
      </c>
      <c r="BP28" s="272"/>
      <c r="BQ28" s="260"/>
      <c r="BR28" s="260"/>
      <c r="BS28" s="260"/>
      <c r="BT28" s="260"/>
      <c r="BU28" s="260"/>
      <c r="BV28" s="260">
        <v>5</v>
      </c>
      <c r="BW28" s="260">
        <v>5</v>
      </c>
      <c r="BX28" s="260"/>
      <c r="BY28" s="260"/>
      <c r="BZ28" s="260"/>
      <c r="CA28" s="260"/>
      <c r="CB28" s="260"/>
      <c r="CC28" s="260"/>
      <c r="CD28" s="260">
        <v>10</v>
      </c>
      <c r="CE28" s="260">
        <v>40</v>
      </c>
      <c r="CF28" s="272"/>
      <c r="CG28" s="260"/>
      <c r="CH28" s="260"/>
      <c r="CI28" s="260"/>
      <c r="CJ28" s="260"/>
      <c r="CK28" s="260"/>
      <c r="CL28" s="260"/>
      <c r="CM28" s="260"/>
      <c r="CN28" s="260">
        <v>5</v>
      </c>
      <c r="CO28" s="260">
        <v>10</v>
      </c>
      <c r="CP28" s="260">
        <v>10</v>
      </c>
      <c r="CQ28" s="260">
        <v>40</v>
      </c>
      <c r="CR28" s="260">
        <v>10</v>
      </c>
      <c r="CS28" s="270">
        <v>20</v>
      </c>
      <c r="CT28" s="315">
        <v>62</v>
      </c>
      <c r="CU28" s="249">
        <f>Table2821115[[#This Row],[D28 - BR/18]]/Table2821115[[#This Row],[D0 - BR/18]]</f>
        <v>2</v>
      </c>
      <c r="CV28" s="248">
        <f>Table2821115[[#This Row],[D28 - KS/17]]/Table2821115[[#This Row],[D0 - KS/17]]</f>
        <v>16</v>
      </c>
      <c r="CW28" s="248">
        <f>Table2821115[[#This Row],[D28 - Phu/13]]/Table2821115[[#This Row],[D0 - Phu/13]]</f>
        <v>4</v>
      </c>
      <c r="CX28" s="248">
        <f>Table2821115[[#This Row],[D28 - CO/17]]/Table2821115[[#This Row],[D0 - CO/17]]</f>
        <v>4</v>
      </c>
      <c r="CY28" s="248">
        <f>LOG(Table2821115[[#This Row],[BR/18 Fold]],2)</f>
        <v>1</v>
      </c>
      <c r="CZ28" s="248">
        <f>LOG(Table2821115[[#This Row],[KS/17 Fold]],2)</f>
        <v>4</v>
      </c>
      <c r="DA28" s="248">
        <f>LOG(Table2821115[[#This Row],[Phu/13 Fold]],2)</f>
        <v>2</v>
      </c>
      <c r="DB28" s="248">
        <f>LOG(Table2821115[[#This Row],[CO/17 Fold]],2)</f>
        <v>2</v>
      </c>
      <c r="DC28" s="248">
        <f>SUM(Table2821115[[#This Row],[BR/18 Log2]:[CO/17 Log2]])</f>
        <v>9</v>
      </c>
      <c r="DE28" s="43">
        <f>COUNTIF($I$7:$I$467,"Y")</f>
        <v>387</v>
      </c>
      <c r="DF28" s="337" t="s">
        <v>278</v>
      </c>
      <c r="DG28" s="336">
        <f>AVERAGEIFS($AB$7:$AB$467,$I$7:$I$467,"Y")</f>
        <v>57.829457364341089</v>
      </c>
      <c r="DH28" s="335">
        <f>AVERAGEIFS($AC$7:$AC$467,$I$7:$I$467,"Y")</f>
        <v>95.658914728682177</v>
      </c>
      <c r="DI28" s="335">
        <f t="shared" si="4"/>
        <v>1.1240396343841559</v>
      </c>
      <c r="DJ28" s="56">
        <f>(COUNTIFS($AB$7:$AB$467,"&gt;=40",$I$7:$I$467,"Y"))/$DE28</f>
        <v>0.4599483204134367</v>
      </c>
      <c r="DK28" s="56">
        <f>(COUNTIFS($I$7:$I$467,"Y",$AC$7:$AC$467,"&gt;=40"))/$DE28</f>
        <v>0.68992248062015504</v>
      </c>
      <c r="DL28" s="57">
        <f>(COUNTIFS($I$7:$I$467,"Y",$AC$7:$AC$467,"&gt;=40",Table2821115[BR/18 Fold],"&gt;=4"))/$DE28</f>
        <v>0.1834625322997416</v>
      </c>
      <c r="DM28" s="336">
        <f>AVERAGEIFS($BE$7:$BE$467,$I$7:$I$467,"Y")</f>
        <v>31.033591731266149</v>
      </c>
      <c r="DN28" s="335">
        <f>AVERAGEIFS($BF$7:$BF$467,$I$7:$I$467,"Y")</f>
        <v>136.79586563307492</v>
      </c>
      <c r="DO28" s="335">
        <f t="shared" si="5"/>
        <v>1.4318454834452448</v>
      </c>
      <c r="DP28" s="56">
        <f>(COUNTIFS($BE$7:$BE$467,"&gt;=40",$I$7:$I$467,"Y"))/$DE28</f>
        <v>0.24031007751937986</v>
      </c>
      <c r="DQ28" s="56">
        <f>(COUNTIFS($I$7:$I$467,"Y",$BF$7:$BF$467,"&gt;=40"))/$DE28</f>
        <v>0.65374677002583981</v>
      </c>
      <c r="DR28" s="57">
        <f>(COUNTIFS($I$7:$I$467,"Y",$BF$7:$BF$467,"&gt;=40",Table2821115[KS/17 Fold],"&gt;=4"))/$DE28</f>
        <v>0.47545219638242892</v>
      </c>
      <c r="DS28" s="336">
        <f>AVERAGEIFS($CD$7:$CD$467,$I$7:$I$467,"Y")</f>
        <v>89.392764857881133</v>
      </c>
      <c r="DT28" s="335">
        <f>AVERAGEIFS($CE$7:$CE$467,$I$7:$I$467,"Y")</f>
        <v>138.54005167958655</v>
      </c>
      <c r="DU28" s="335">
        <f t="shared" si="6"/>
        <v>1.0975107591310074</v>
      </c>
      <c r="DV28" s="56">
        <f>(COUNTIFS($CD$7:$CD$467,"&gt;=40",$I$7:$I$467,"Y"))/$DE28</f>
        <v>0.66149870801033595</v>
      </c>
      <c r="DW28" s="56">
        <f>(COUNTIFS($I$7:$I$467,"Y",$CE$7:$CE$467,"&gt;=40"))/$DE28</f>
        <v>0.82170542635658916</v>
      </c>
      <c r="DX28" s="57">
        <f>(COUNTIFS($I$7:$I$467,"Y",$CE$7:$CE$467,"&gt;=40",Table2821115[Phu/13 Fold],"&gt;=4"))/$DE28</f>
        <v>0.17054263565891473</v>
      </c>
      <c r="DY28" s="336">
        <f>AVERAGEIFS($CP$7:$CP$467,$I$7:$I$467,"Y")</f>
        <v>69.974160206718352</v>
      </c>
      <c r="DZ28" s="335">
        <f>AVERAGEIFS($CQ$7:$CQ$467,$I$7:$I$467,"Y")</f>
        <v>95.981912144702846</v>
      </c>
      <c r="EA28" s="335">
        <f t="shared" si="7"/>
        <v>1.074393679008244</v>
      </c>
      <c r="EB28" s="56">
        <f>(COUNTIFS($CP$7:$CP$467,"&gt;=40",$I$7:$I$467,"Y"))/$DE28</f>
        <v>0.57622739018087854</v>
      </c>
      <c r="EC28" s="56">
        <f>(COUNTIFS($I$7:$I$467,"Y",$CQ$7:$CQ$467,"&gt;=40"))/$DE28</f>
        <v>0.79586563307493541</v>
      </c>
      <c r="ED28" s="58">
        <f>(COUNTIFS($I$7:$I$467,"Y",$CQ$7:$CQ$467,"&gt;=40",Table2821115[CO/17 Fold],"&gt;=4"))/$DE28</f>
        <v>0.19121447028423771</v>
      </c>
    </row>
    <row r="29" spans="1:134" s="10" customFormat="1" ht="24" customHeight="1">
      <c r="A29" s="318">
        <v>64</v>
      </c>
      <c r="B29" s="180">
        <v>22521</v>
      </c>
      <c r="C29" s="180">
        <v>43749</v>
      </c>
      <c r="D29" s="179">
        <v>58</v>
      </c>
      <c r="E29" s="3" t="s">
        <v>61</v>
      </c>
      <c r="F29" s="143" t="s">
        <v>116</v>
      </c>
      <c r="G29" s="142">
        <v>33.794992477142081</v>
      </c>
      <c r="H29" s="11" t="s">
        <v>59</v>
      </c>
      <c r="I29" s="281" t="s">
        <v>60</v>
      </c>
      <c r="J29" s="260">
        <v>5</v>
      </c>
      <c r="K29" s="260">
        <v>5</v>
      </c>
      <c r="L29" s="260"/>
      <c r="M29" s="260"/>
      <c r="N29" s="260"/>
      <c r="O29" s="260"/>
      <c r="P29" s="260"/>
      <c r="Q29" s="260"/>
      <c r="R29" s="260"/>
      <c r="S29" s="260"/>
      <c r="T29" s="260"/>
      <c r="U29" s="260"/>
      <c r="V29" s="260">
        <v>5</v>
      </c>
      <c r="W29" s="260">
        <v>5</v>
      </c>
      <c r="X29" s="260">
        <v>5</v>
      </c>
      <c r="Y29" s="260">
        <v>160</v>
      </c>
      <c r="Z29" s="260">
        <v>10</v>
      </c>
      <c r="AA29" s="260">
        <v>160</v>
      </c>
      <c r="AB29" s="260">
        <v>10</v>
      </c>
      <c r="AC29" s="260">
        <v>80</v>
      </c>
      <c r="AD29" s="260"/>
      <c r="AE29" s="260"/>
      <c r="AF29" s="260"/>
      <c r="AG29" s="260"/>
      <c r="AH29" s="195">
        <v>64</v>
      </c>
      <c r="AI29" s="272">
        <v>5</v>
      </c>
      <c r="AJ29" s="271">
        <v>10</v>
      </c>
      <c r="AK29" s="260"/>
      <c r="AL29" s="260"/>
      <c r="AM29" s="260"/>
      <c r="AN29" s="260"/>
      <c r="AO29" s="260"/>
      <c r="AP29" s="260"/>
      <c r="AQ29" s="260"/>
      <c r="AR29" s="260"/>
      <c r="AS29" s="260"/>
      <c r="AT29" s="260"/>
      <c r="AU29" s="260">
        <v>40</v>
      </c>
      <c r="AV29" s="271">
        <v>160</v>
      </c>
      <c r="AW29" s="260">
        <v>20</v>
      </c>
      <c r="AX29" s="271">
        <v>320</v>
      </c>
      <c r="AY29" s="260">
        <v>20</v>
      </c>
      <c r="AZ29" s="271">
        <v>160</v>
      </c>
      <c r="BA29" s="276">
        <v>20</v>
      </c>
      <c r="BB29" s="276">
        <v>160</v>
      </c>
      <c r="BC29" s="276"/>
      <c r="BD29" s="276"/>
      <c r="BE29" s="276">
        <v>10</v>
      </c>
      <c r="BF29" s="276">
        <v>80</v>
      </c>
      <c r="BG29" s="260">
        <v>20</v>
      </c>
      <c r="BH29" s="271">
        <v>160</v>
      </c>
      <c r="BI29" s="276"/>
      <c r="BJ29" s="276"/>
      <c r="BK29" s="276"/>
      <c r="BL29" s="275"/>
      <c r="BM29" s="316">
        <v>64</v>
      </c>
      <c r="BN29" s="272">
        <v>80</v>
      </c>
      <c r="BO29" s="270">
        <v>80</v>
      </c>
      <c r="BP29" s="272"/>
      <c r="BQ29" s="260"/>
      <c r="BR29" s="260"/>
      <c r="BS29" s="260"/>
      <c r="BT29" s="260"/>
      <c r="BU29" s="260"/>
      <c r="BV29" s="260">
        <v>160</v>
      </c>
      <c r="BW29" s="260">
        <v>160</v>
      </c>
      <c r="BX29" s="260"/>
      <c r="BY29" s="260"/>
      <c r="BZ29" s="260"/>
      <c r="CA29" s="260"/>
      <c r="CB29" s="260"/>
      <c r="CC29" s="260"/>
      <c r="CD29" s="260">
        <v>160</v>
      </c>
      <c r="CE29" s="260">
        <v>160</v>
      </c>
      <c r="CF29" s="272"/>
      <c r="CG29" s="260"/>
      <c r="CH29" s="260"/>
      <c r="CI29" s="260"/>
      <c r="CJ29" s="260"/>
      <c r="CK29" s="260"/>
      <c r="CL29" s="260"/>
      <c r="CM29" s="260"/>
      <c r="CN29" s="260">
        <v>5</v>
      </c>
      <c r="CO29" s="260">
        <v>10</v>
      </c>
      <c r="CP29" s="260">
        <v>5</v>
      </c>
      <c r="CQ29" s="260">
        <v>10</v>
      </c>
      <c r="CR29" s="260">
        <v>5</v>
      </c>
      <c r="CS29" s="270">
        <v>10</v>
      </c>
      <c r="CT29" s="315">
        <v>64</v>
      </c>
      <c r="CU29" s="249">
        <f>Table2821115[[#This Row],[D28 - BR/18]]/Table2821115[[#This Row],[D0 - BR/18]]</f>
        <v>8</v>
      </c>
      <c r="CV29" s="248">
        <f>Table2821115[[#This Row],[D28 - KS/17]]/Table2821115[[#This Row],[D0 - KS/17]]</f>
        <v>8</v>
      </c>
      <c r="CW29" s="248">
        <f>Table2821115[[#This Row],[D28 - Phu/13]]/Table2821115[[#This Row],[D0 - Phu/13]]</f>
        <v>1</v>
      </c>
      <c r="CX29" s="248">
        <f>Table2821115[[#This Row],[D28 - CO/17]]/Table2821115[[#This Row],[D0 - CO/17]]</f>
        <v>2</v>
      </c>
      <c r="CY29" s="248">
        <f>LOG(Table2821115[[#This Row],[BR/18 Fold]],2)</f>
        <v>3</v>
      </c>
      <c r="CZ29" s="248">
        <f>LOG(Table2821115[[#This Row],[KS/17 Fold]],2)</f>
        <v>3</v>
      </c>
      <c r="DA29" s="248">
        <f>LOG(Table2821115[[#This Row],[Phu/13 Fold]],2)</f>
        <v>0</v>
      </c>
      <c r="DB29" s="248">
        <f>LOG(Table2821115[[#This Row],[CO/17 Fold]],2)</f>
        <v>1</v>
      </c>
      <c r="DC29" s="248">
        <f>SUM(Table2821115[[#This Row],[BR/18 Log2]:[CO/17 Log2]])</f>
        <v>7</v>
      </c>
      <c r="DE29" s="484" t="s">
        <v>1218</v>
      </c>
      <c r="DF29" s="482"/>
      <c r="DG29" s="481" t="s">
        <v>272</v>
      </c>
      <c r="DH29" s="482"/>
      <c r="DI29" s="482"/>
      <c r="DJ29" s="482"/>
      <c r="DK29" s="482"/>
      <c r="DL29" s="483"/>
      <c r="DM29" s="481" t="s">
        <v>273</v>
      </c>
      <c r="DN29" s="482"/>
      <c r="DO29" s="482"/>
      <c r="DP29" s="482"/>
      <c r="DQ29" s="482"/>
      <c r="DR29" s="483"/>
      <c r="DS29" s="481" t="s">
        <v>290</v>
      </c>
      <c r="DT29" s="482"/>
      <c r="DU29" s="482"/>
      <c r="DV29" s="482"/>
      <c r="DW29" s="482"/>
      <c r="DX29" s="483"/>
      <c r="DY29" s="481" t="s">
        <v>274</v>
      </c>
      <c r="DZ29" s="482"/>
      <c r="EA29" s="482"/>
      <c r="EB29" s="482"/>
      <c r="EC29" s="482"/>
      <c r="ED29" s="498"/>
    </row>
    <row r="30" spans="1:134" s="10" customFormat="1" ht="24" customHeight="1">
      <c r="A30" s="321">
        <v>65</v>
      </c>
      <c r="B30" s="183">
        <v>33985</v>
      </c>
      <c r="C30" s="183">
        <v>43802</v>
      </c>
      <c r="D30" s="182">
        <v>26</v>
      </c>
      <c r="E30" s="3" t="s">
        <v>61</v>
      </c>
      <c r="F30" s="143" t="s">
        <v>118</v>
      </c>
      <c r="G30" s="142">
        <v>21.551004042901532</v>
      </c>
      <c r="H30" s="11" t="s">
        <v>59</v>
      </c>
      <c r="I30" s="281" t="s">
        <v>60</v>
      </c>
      <c r="J30" s="260">
        <v>5</v>
      </c>
      <c r="K30" s="260">
        <v>5</v>
      </c>
      <c r="L30" s="260"/>
      <c r="M30" s="260"/>
      <c r="N30" s="260"/>
      <c r="O30" s="260"/>
      <c r="P30" s="260"/>
      <c r="Q30" s="260"/>
      <c r="R30" s="260"/>
      <c r="S30" s="260"/>
      <c r="T30" s="260"/>
      <c r="U30" s="260"/>
      <c r="V30" s="260">
        <v>20</v>
      </c>
      <c r="W30" s="260">
        <v>20</v>
      </c>
      <c r="X30" s="260">
        <v>160</v>
      </c>
      <c r="Y30" s="260">
        <v>320</v>
      </c>
      <c r="Z30" s="260">
        <v>80</v>
      </c>
      <c r="AA30" s="260">
        <v>160</v>
      </c>
      <c r="AB30" s="260">
        <v>80</v>
      </c>
      <c r="AC30" s="260">
        <v>80</v>
      </c>
      <c r="AD30" s="260"/>
      <c r="AE30" s="260"/>
      <c r="AF30" s="260"/>
      <c r="AG30" s="260"/>
      <c r="AH30" s="32">
        <v>65</v>
      </c>
      <c r="AI30" s="272">
        <v>160</v>
      </c>
      <c r="AJ30" s="271">
        <v>160</v>
      </c>
      <c r="AK30" s="260"/>
      <c r="AL30" s="260"/>
      <c r="AM30" s="260"/>
      <c r="AN30" s="260"/>
      <c r="AO30" s="260"/>
      <c r="AP30" s="260"/>
      <c r="AQ30" s="260"/>
      <c r="AR30" s="260"/>
      <c r="AS30" s="260"/>
      <c r="AT30" s="260"/>
      <c r="AU30" s="260">
        <v>160</v>
      </c>
      <c r="AV30" s="271">
        <v>160</v>
      </c>
      <c r="AW30" s="260">
        <v>80</v>
      </c>
      <c r="AX30" s="271">
        <v>160</v>
      </c>
      <c r="AY30" s="260">
        <v>160</v>
      </c>
      <c r="AZ30" s="271">
        <v>160</v>
      </c>
      <c r="BA30" s="276">
        <v>80</v>
      </c>
      <c r="BB30" s="276">
        <v>160</v>
      </c>
      <c r="BC30" s="276"/>
      <c r="BD30" s="276"/>
      <c r="BE30" s="276">
        <v>20</v>
      </c>
      <c r="BF30" s="276">
        <v>20</v>
      </c>
      <c r="BG30" s="260">
        <v>20</v>
      </c>
      <c r="BH30" s="271">
        <v>40</v>
      </c>
      <c r="BI30" s="276"/>
      <c r="BJ30" s="276"/>
      <c r="BK30" s="276"/>
      <c r="BL30" s="275"/>
      <c r="BM30" s="320">
        <v>65</v>
      </c>
      <c r="BN30" s="272">
        <v>320</v>
      </c>
      <c r="BO30" s="270">
        <v>640</v>
      </c>
      <c r="BP30" s="272"/>
      <c r="BQ30" s="260"/>
      <c r="BR30" s="260"/>
      <c r="BS30" s="260"/>
      <c r="BT30" s="260"/>
      <c r="BU30" s="260"/>
      <c r="BV30" s="260">
        <v>320</v>
      </c>
      <c r="BW30" s="260">
        <v>640</v>
      </c>
      <c r="BX30" s="260"/>
      <c r="BY30" s="260"/>
      <c r="BZ30" s="260"/>
      <c r="CA30" s="260"/>
      <c r="CB30" s="260"/>
      <c r="CC30" s="260"/>
      <c r="CD30" s="260">
        <v>320</v>
      </c>
      <c r="CE30" s="260">
        <v>640</v>
      </c>
      <c r="CF30" s="272"/>
      <c r="CG30" s="260"/>
      <c r="CH30" s="260"/>
      <c r="CI30" s="260"/>
      <c r="CJ30" s="260"/>
      <c r="CK30" s="260"/>
      <c r="CL30" s="260"/>
      <c r="CM30" s="260"/>
      <c r="CN30" s="260">
        <v>160</v>
      </c>
      <c r="CO30" s="260">
        <v>160</v>
      </c>
      <c r="CP30" s="260">
        <v>80</v>
      </c>
      <c r="CQ30" s="260">
        <v>160</v>
      </c>
      <c r="CR30" s="260">
        <v>5</v>
      </c>
      <c r="CS30" s="270">
        <v>20</v>
      </c>
      <c r="CT30" s="319">
        <v>65</v>
      </c>
      <c r="CU30" s="249">
        <f>Table2821115[[#This Row],[D28 - BR/18]]/Table2821115[[#This Row],[D0 - BR/18]]</f>
        <v>1</v>
      </c>
      <c r="CV30" s="248">
        <f>Table2821115[[#This Row],[D28 - KS/17]]/Table2821115[[#This Row],[D0 - KS/17]]</f>
        <v>1</v>
      </c>
      <c r="CW30" s="248">
        <f>Table2821115[[#This Row],[D28 - Phu/13]]/Table2821115[[#This Row],[D0 - Phu/13]]</f>
        <v>2</v>
      </c>
      <c r="CX30" s="248">
        <f>Table2821115[[#This Row],[D28 - CO/17]]/Table2821115[[#This Row],[D0 - CO/17]]</f>
        <v>2</v>
      </c>
      <c r="CY30" s="248">
        <f>LOG(Table2821115[[#This Row],[BR/18 Fold]],2)</f>
        <v>0</v>
      </c>
      <c r="CZ30" s="248">
        <f>LOG(Table2821115[[#This Row],[KS/17 Fold]],2)</f>
        <v>0</v>
      </c>
      <c r="DA30" s="248">
        <f>LOG(Table2821115[[#This Row],[Phu/13 Fold]],2)</f>
        <v>1</v>
      </c>
      <c r="DB30" s="248">
        <f>LOG(Table2821115[[#This Row],[CO/17 Fold]],2)</f>
        <v>1</v>
      </c>
      <c r="DC30" s="248">
        <f>SUM(Table2821115[[#This Row],[BR/18 Log2]:[CO/17 Log2]])</f>
        <v>2</v>
      </c>
      <c r="DE30" s="52" t="s">
        <v>65</v>
      </c>
      <c r="DF30" s="51" t="s">
        <v>17</v>
      </c>
      <c r="DG30" s="354" t="s">
        <v>275</v>
      </c>
      <c r="DH30" s="353" t="s">
        <v>276</v>
      </c>
      <c r="DI30" s="353" t="s">
        <v>277</v>
      </c>
      <c r="DJ30" s="353" t="s">
        <v>285</v>
      </c>
      <c r="DK30" s="353" t="s">
        <v>286</v>
      </c>
      <c r="DL30" s="355" t="s">
        <v>284</v>
      </c>
      <c r="DM30" s="354" t="s">
        <v>275</v>
      </c>
      <c r="DN30" s="353" t="s">
        <v>275</v>
      </c>
      <c r="DO30" s="353" t="s">
        <v>277</v>
      </c>
      <c r="DP30" s="353" t="s">
        <v>285</v>
      </c>
      <c r="DQ30" s="353" t="s">
        <v>286</v>
      </c>
      <c r="DR30" s="355" t="s">
        <v>284</v>
      </c>
      <c r="DS30" s="354" t="s">
        <v>275</v>
      </c>
      <c r="DT30" s="353" t="s">
        <v>275</v>
      </c>
      <c r="DU30" s="353" t="s">
        <v>277</v>
      </c>
      <c r="DV30" s="353" t="s">
        <v>285</v>
      </c>
      <c r="DW30" s="353" t="s">
        <v>286</v>
      </c>
      <c r="DX30" s="355" t="s">
        <v>284</v>
      </c>
      <c r="DY30" s="354" t="s">
        <v>275</v>
      </c>
      <c r="DZ30" s="353" t="s">
        <v>276</v>
      </c>
      <c r="EA30" s="353" t="s">
        <v>277</v>
      </c>
      <c r="EB30" s="353" t="s">
        <v>285</v>
      </c>
      <c r="EC30" s="353" t="s">
        <v>286</v>
      </c>
      <c r="ED30" s="352" t="s">
        <v>284</v>
      </c>
    </row>
    <row r="31" spans="1:134" s="10" customFormat="1" ht="24" customHeight="1">
      <c r="A31" s="324">
        <v>66</v>
      </c>
      <c r="B31" s="190">
        <v>27225</v>
      </c>
      <c r="C31" s="190">
        <v>43774</v>
      </c>
      <c r="D31" s="189">
        <v>45</v>
      </c>
      <c r="E31" s="4" t="s">
        <v>58</v>
      </c>
      <c r="F31" s="143" t="s">
        <v>63</v>
      </c>
      <c r="G31" s="142">
        <v>30.698926694651263</v>
      </c>
      <c r="H31" s="11" t="s">
        <v>59</v>
      </c>
      <c r="I31" s="281" t="s">
        <v>60</v>
      </c>
      <c r="J31" s="260">
        <v>5</v>
      </c>
      <c r="K31" s="260">
        <v>5</v>
      </c>
      <c r="L31" s="260"/>
      <c r="M31" s="260"/>
      <c r="N31" s="260"/>
      <c r="O31" s="260"/>
      <c r="P31" s="260"/>
      <c r="Q31" s="260"/>
      <c r="R31" s="260"/>
      <c r="S31" s="260"/>
      <c r="T31" s="260"/>
      <c r="U31" s="260"/>
      <c r="V31" s="260">
        <v>5</v>
      </c>
      <c r="W31" s="260">
        <v>5</v>
      </c>
      <c r="X31" s="260">
        <v>5</v>
      </c>
      <c r="Y31" s="260">
        <v>10</v>
      </c>
      <c r="Z31" s="260">
        <v>5</v>
      </c>
      <c r="AA31" s="260">
        <v>10</v>
      </c>
      <c r="AB31" s="260">
        <v>5</v>
      </c>
      <c r="AC31" s="260">
        <v>5</v>
      </c>
      <c r="AD31" s="260"/>
      <c r="AE31" s="260"/>
      <c r="AF31" s="260"/>
      <c r="AG31" s="260"/>
      <c r="AH31" s="198">
        <v>66</v>
      </c>
      <c r="AI31" s="272">
        <v>20</v>
      </c>
      <c r="AJ31" s="271">
        <v>40</v>
      </c>
      <c r="AK31" s="260"/>
      <c r="AL31" s="260"/>
      <c r="AM31" s="260"/>
      <c r="AN31" s="260"/>
      <c r="AO31" s="260"/>
      <c r="AP31" s="260"/>
      <c r="AQ31" s="260"/>
      <c r="AR31" s="260"/>
      <c r="AS31" s="260"/>
      <c r="AT31" s="260"/>
      <c r="AU31" s="260">
        <v>320</v>
      </c>
      <c r="AV31" s="271">
        <v>640</v>
      </c>
      <c r="AW31" s="260">
        <v>320</v>
      </c>
      <c r="AX31" s="271">
        <v>640</v>
      </c>
      <c r="AY31" s="260">
        <v>160</v>
      </c>
      <c r="AZ31" s="271">
        <v>320</v>
      </c>
      <c r="BA31" s="276">
        <v>160</v>
      </c>
      <c r="BB31" s="276">
        <v>320</v>
      </c>
      <c r="BC31" s="276"/>
      <c r="BD31" s="276"/>
      <c r="BE31" s="276">
        <v>20</v>
      </c>
      <c r="BF31" s="276">
        <v>40</v>
      </c>
      <c r="BG31" s="260">
        <v>320</v>
      </c>
      <c r="BH31" s="271">
        <v>640</v>
      </c>
      <c r="BI31" s="276"/>
      <c r="BJ31" s="276"/>
      <c r="BK31" s="276"/>
      <c r="BL31" s="275"/>
      <c r="BM31" s="323">
        <v>66</v>
      </c>
      <c r="BN31" s="272">
        <v>80</v>
      </c>
      <c r="BO31" s="270">
        <v>160</v>
      </c>
      <c r="BP31" s="272"/>
      <c r="BQ31" s="260"/>
      <c r="BR31" s="260"/>
      <c r="BS31" s="260"/>
      <c r="BT31" s="260"/>
      <c r="BU31" s="260"/>
      <c r="BV31" s="260">
        <v>5</v>
      </c>
      <c r="BW31" s="260">
        <v>5</v>
      </c>
      <c r="BX31" s="260"/>
      <c r="BY31" s="260"/>
      <c r="BZ31" s="260"/>
      <c r="CA31" s="260"/>
      <c r="CB31" s="260"/>
      <c r="CC31" s="260"/>
      <c r="CD31" s="260">
        <v>20</v>
      </c>
      <c r="CE31" s="260">
        <v>20</v>
      </c>
      <c r="CF31" s="272"/>
      <c r="CG31" s="260"/>
      <c r="CH31" s="260"/>
      <c r="CI31" s="260"/>
      <c r="CJ31" s="260"/>
      <c r="CK31" s="260"/>
      <c r="CL31" s="260"/>
      <c r="CM31" s="260"/>
      <c r="CN31" s="260">
        <v>80</v>
      </c>
      <c r="CO31" s="260">
        <v>80</v>
      </c>
      <c r="CP31" s="260">
        <v>160</v>
      </c>
      <c r="CQ31" s="260">
        <v>160</v>
      </c>
      <c r="CR31" s="260">
        <v>80</v>
      </c>
      <c r="CS31" s="270">
        <v>160</v>
      </c>
      <c r="CT31" s="322">
        <v>66</v>
      </c>
      <c r="CU31" s="249">
        <f>Table2821115[[#This Row],[D28 - BR/18]]/Table2821115[[#This Row],[D0 - BR/18]]</f>
        <v>1</v>
      </c>
      <c r="CV31" s="248">
        <f>Table2821115[[#This Row],[D28 - KS/17]]/Table2821115[[#This Row],[D0 - KS/17]]</f>
        <v>2</v>
      </c>
      <c r="CW31" s="248">
        <f>Table2821115[[#This Row],[D28 - Phu/13]]/Table2821115[[#This Row],[D0 - Phu/13]]</f>
        <v>1</v>
      </c>
      <c r="CX31" s="248">
        <f>Table2821115[[#This Row],[D28 - CO/17]]/Table2821115[[#This Row],[D0 - CO/17]]</f>
        <v>1</v>
      </c>
      <c r="CY31" s="248">
        <f>LOG(Table2821115[[#This Row],[BR/18 Fold]],2)</f>
        <v>0</v>
      </c>
      <c r="CZ31" s="248">
        <f>LOG(Table2821115[[#This Row],[KS/17 Fold]],2)</f>
        <v>1</v>
      </c>
      <c r="DA31" s="248">
        <f>LOG(Table2821115[[#This Row],[Phu/13 Fold]],2)</f>
        <v>0</v>
      </c>
      <c r="DB31" s="248">
        <f>LOG(Table2821115[[#This Row],[CO/17 Fold]],2)</f>
        <v>0</v>
      </c>
      <c r="DC31" s="248">
        <f>SUM(Table2821115[[#This Row],[BR/18 Log2]:[CO/17 Log2]])</f>
        <v>1</v>
      </c>
      <c r="DE31" s="348">
        <f>COUNTIFS($D$7:$D$467,"&lt;15",$I$7:$I$467,"N")</f>
        <v>0</v>
      </c>
      <c r="DF31" s="351" t="s">
        <v>71</v>
      </c>
      <c r="DG31" s="40" t="s">
        <v>280</v>
      </c>
      <c r="DH31" s="233" t="s">
        <v>280</v>
      </c>
      <c r="DI31" s="224" t="s">
        <v>280</v>
      </c>
      <c r="DJ31" s="47" t="s">
        <v>280</v>
      </c>
      <c r="DK31" s="47" t="s">
        <v>280</v>
      </c>
      <c r="DL31" s="50" t="s">
        <v>280</v>
      </c>
      <c r="DM31" s="40" t="s">
        <v>280</v>
      </c>
      <c r="DN31" s="233" t="s">
        <v>280</v>
      </c>
      <c r="DO31" s="224" t="s">
        <v>280</v>
      </c>
      <c r="DP31" s="47" t="s">
        <v>280</v>
      </c>
      <c r="DQ31" s="47" t="s">
        <v>280</v>
      </c>
      <c r="DR31" s="50" t="s">
        <v>280</v>
      </c>
      <c r="DS31" s="40" t="s">
        <v>280</v>
      </c>
      <c r="DT31" s="233" t="s">
        <v>280</v>
      </c>
      <c r="DU31" s="224" t="s">
        <v>280</v>
      </c>
      <c r="DV31" s="47" t="s">
        <v>280</v>
      </c>
      <c r="DW31" s="47" t="s">
        <v>280</v>
      </c>
      <c r="DX31" s="50" t="s">
        <v>280</v>
      </c>
      <c r="DY31" s="40" t="s">
        <v>280</v>
      </c>
      <c r="DZ31" s="224" t="s">
        <v>280</v>
      </c>
      <c r="EA31" s="224" t="s">
        <v>280</v>
      </c>
      <c r="EB31" s="47" t="s">
        <v>280</v>
      </c>
      <c r="EC31" s="47" t="s">
        <v>280</v>
      </c>
      <c r="ED31" s="53" t="s">
        <v>280</v>
      </c>
    </row>
    <row r="32" spans="1:134" s="10" customFormat="1" ht="24" customHeight="1">
      <c r="A32" s="321">
        <v>69</v>
      </c>
      <c r="B32" s="183">
        <v>33364</v>
      </c>
      <c r="C32" s="183">
        <v>43802</v>
      </c>
      <c r="D32" s="182">
        <v>28</v>
      </c>
      <c r="E32" s="4" t="s">
        <v>58</v>
      </c>
      <c r="F32" s="143" t="s">
        <v>116</v>
      </c>
      <c r="G32" s="142">
        <v>27.935558774665406</v>
      </c>
      <c r="H32" s="11" t="s">
        <v>59</v>
      </c>
      <c r="I32" s="281" t="s">
        <v>60</v>
      </c>
      <c r="J32" s="260">
        <v>5</v>
      </c>
      <c r="K32" s="260">
        <v>5</v>
      </c>
      <c r="L32" s="260"/>
      <c r="M32" s="260"/>
      <c r="N32" s="260"/>
      <c r="O32" s="260"/>
      <c r="P32" s="260"/>
      <c r="Q32" s="260"/>
      <c r="R32" s="260"/>
      <c r="S32" s="260"/>
      <c r="T32" s="260"/>
      <c r="U32" s="260"/>
      <c r="V32" s="260">
        <v>5</v>
      </c>
      <c r="W32" s="260">
        <v>5</v>
      </c>
      <c r="X32" s="260">
        <v>5</v>
      </c>
      <c r="Y32" s="260">
        <v>80</v>
      </c>
      <c r="Z32" s="260">
        <v>40</v>
      </c>
      <c r="AA32" s="260">
        <v>80</v>
      </c>
      <c r="AB32" s="260">
        <v>20</v>
      </c>
      <c r="AC32" s="260">
        <v>80</v>
      </c>
      <c r="AD32" s="260"/>
      <c r="AE32" s="260"/>
      <c r="AF32" s="260"/>
      <c r="AG32" s="260"/>
      <c r="AH32" s="32">
        <v>69</v>
      </c>
      <c r="AI32" s="272">
        <v>40</v>
      </c>
      <c r="AJ32" s="271">
        <v>160</v>
      </c>
      <c r="AK32" s="260"/>
      <c r="AL32" s="260"/>
      <c r="AM32" s="260"/>
      <c r="AN32" s="260"/>
      <c r="AO32" s="260"/>
      <c r="AP32" s="260"/>
      <c r="AQ32" s="260"/>
      <c r="AR32" s="260"/>
      <c r="AS32" s="260"/>
      <c r="AT32" s="260"/>
      <c r="AU32" s="260">
        <v>80</v>
      </c>
      <c r="AV32" s="271">
        <v>160</v>
      </c>
      <c r="AW32" s="260">
        <v>20</v>
      </c>
      <c r="AX32" s="271">
        <v>80</v>
      </c>
      <c r="AY32" s="260">
        <v>5</v>
      </c>
      <c r="AZ32" s="271">
        <v>40</v>
      </c>
      <c r="BA32" s="276">
        <v>40</v>
      </c>
      <c r="BB32" s="276">
        <v>80</v>
      </c>
      <c r="BC32" s="276"/>
      <c r="BD32" s="276"/>
      <c r="BE32" s="276">
        <v>5</v>
      </c>
      <c r="BF32" s="276">
        <v>5</v>
      </c>
      <c r="BG32" s="260">
        <v>80</v>
      </c>
      <c r="BH32" s="271">
        <v>160</v>
      </c>
      <c r="BI32" s="276"/>
      <c r="BJ32" s="276"/>
      <c r="BK32" s="276"/>
      <c r="BL32" s="275"/>
      <c r="BM32" s="320">
        <v>69</v>
      </c>
      <c r="BN32" s="272">
        <v>320</v>
      </c>
      <c r="BO32" s="270">
        <v>640</v>
      </c>
      <c r="BP32" s="272"/>
      <c r="BQ32" s="260"/>
      <c r="BR32" s="260"/>
      <c r="BS32" s="260"/>
      <c r="BT32" s="260"/>
      <c r="BU32" s="260"/>
      <c r="BV32" s="260">
        <v>160</v>
      </c>
      <c r="BW32" s="260">
        <v>320</v>
      </c>
      <c r="BX32" s="260"/>
      <c r="BY32" s="260"/>
      <c r="BZ32" s="260"/>
      <c r="CA32" s="260"/>
      <c r="CB32" s="260"/>
      <c r="CC32" s="260"/>
      <c r="CD32" s="260">
        <v>160</v>
      </c>
      <c r="CE32" s="260">
        <v>320</v>
      </c>
      <c r="CF32" s="272"/>
      <c r="CG32" s="260"/>
      <c r="CH32" s="260"/>
      <c r="CI32" s="260"/>
      <c r="CJ32" s="260"/>
      <c r="CK32" s="260"/>
      <c r="CL32" s="260"/>
      <c r="CM32" s="260"/>
      <c r="CN32" s="260">
        <v>20</v>
      </c>
      <c r="CO32" s="260">
        <v>80</v>
      </c>
      <c r="CP32" s="260">
        <v>40</v>
      </c>
      <c r="CQ32" s="260">
        <v>80</v>
      </c>
      <c r="CR32" s="260">
        <v>5</v>
      </c>
      <c r="CS32" s="270">
        <v>20</v>
      </c>
      <c r="CT32" s="319">
        <v>69</v>
      </c>
      <c r="CU32" s="249">
        <f>Table2821115[[#This Row],[D28 - BR/18]]/Table2821115[[#This Row],[D0 - BR/18]]</f>
        <v>4</v>
      </c>
      <c r="CV32" s="248">
        <f>Table2821115[[#This Row],[D28 - KS/17]]/Table2821115[[#This Row],[D0 - KS/17]]</f>
        <v>1</v>
      </c>
      <c r="CW32" s="248">
        <f>Table2821115[[#This Row],[D28 - Phu/13]]/Table2821115[[#This Row],[D0 - Phu/13]]</f>
        <v>2</v>
      </c>
      <c r="CX32" s="248">
        <f>Table2821115[[#This Row],[D28 - CO/17]]/Table2821115[[#This Row],[D0 - CO/17]]</f>
        <v>2</v>
      </c>
      <c r="CY32" s="248">
        <f>LOG(Table2821115[[#This Row],[BR/18 Fold]],2)</f>
        <v>2</v>
      </c>
      <c r="CZ32" s="248">
        <f>LOG(Table2821115[[#This Row],[KS/17 Fold]],2)</f>
        <v>0</v>
      </c>
      <c r="DA32" s="248">
        <f>LOG(Table2821115[[#This Row],[Phu/13 Fold]],2)</f>
        <v>1</v>
      </c>
      <c r="DB32" s="248">
        <f>LOG(Table2821115[[#This Row],[CO/17 Fold]],2)</f>
        <v>1</v>
      </c>
      <c r="DC32" s="248">
        <f>SUM(Table2821115[[#This Row],[BR/18 Log2]:[CO/17 Log2]])</f>
        <v>4</v>
      </c>
      <c r="DE32" s="38">
        <f>COUNTIFS($I$7:$I$467,"N",$D$7:$D$467,"&gt;14",$D$7:$D$467,"&lt;18")</f>
        <v>0</v>
      </c>
      <c r="DF32" s="350" t="s">
        <v>72</v>
      </c>
      <c r="DG32" s="39" t="s">
        <v>280</v>
      </c>
      <c r="DH32" s="345" t="s">
        <v>280</v>
      </c>
      <c r="DI32" s="338" t="s">
        <v>280</v>
      </c>
      <c r="DJ32" s="46" t="s">
        <v>280</v>
      </c>
      <c r="DK32" s="46" t="s">
        <v>280</v>
      </c>
      <c r="DL32" s="49" t="s">
        <v>280</v>
      </c>
      <c r="DM32" s="39" t="s">
        <v>280</v>
      </c>
      <c r="DN32" s="345" t="s">
        <v>280</v>
      </c>
      <c r="DO32" s="338" t="s">
        <v>280</v>
      </c>
      <c r="DP32" s="46" t="s">
        <v>280</v>
      </c>
      <c r="DQ32" s="46" t="s">
        <v>280</v>
      </c>
      <c r="DR32" s="49" t="s">
        <v>280</v>
      </c>
      <c r="DS32" s="39" t="s">
        <v>280</v>
      </c>
      <c r="DT32" s="345" t="s">
        <v>280</v>
      </c>
      <c r="DU32" s="338" t="s">
        <v>280</v>
      </c>
      <c r="DV32" s="46" t="s">
        <v>280</v>
      </c>
      <c r="DW32" s="46" t="s">
        <v>280</v>
      </c>
      <c r="DX32" s="49" t="s">
        <v>280</v>
      </c>
      <c r="DY32" s="39" t="s">
        <v>280</v>
      </c>
      <c r="DZ32" s="345" t="s">
        <v>280</v>
      </c>
      <c r="EA32" s="338" t="s">
        <v>280</v>
      </c>
      <c r="EB32" s="46" t="s">
        <v>280</v>
      </c>
      <c r="EC32" s="46" t="s">
        <v>280</v>
      </c>
      <c r="ED32" s="54" t="s">
        <v>280</v>
      </c>
    </row>
    <row r="33" spans="1:134" s="10" customFormat="1" ht="24" customHeight="1">
      <c r="A33" s="318">
        <v>70</v>
      </c>
      <c r="B33" s="180">
        <v>23271</v>
      </c>
      <c r="C33" s="180">
        <v>43781</v>
      </c>
      <c r="D33" s="179">
        <v>56</v>
      </c>
      <c r="E33" s="4" t="s">
        <v>58</v>
      </c>
      <c r="F33" s="143" t="s">
        <v>116</v>
      </c>
      <c r="G33" s="142">
        <v>31.230379668017495</v>
      </c>
      <c r="H33" s="11" t="s">
        <v>59</v>
      </c>
      <c r="I33" s="281" t="s">
        <v>60</v>
      </c>
      <c r="J33" s="260">
        <v>5</v>
      </c>
      <c r="K33" s="260">
        <v>5</v>
      </c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>
        <v>5</v>
      </c>
      <c r="W33" s="260">
        <v>40</v>
      </c>
      <c r="X33" s="260">
        <v>5</v>
      </c>
      <c r="Y33" s="260">
        <v>160</v>
      </c>
      <c r="Z33" s="260">
        <v>10</v>
      </c>
      <c r="AA33" s="260">
        <v>320</v>
      </c>
      <c r="AB33" s="260">
        <v>5</v>
      </c>
      <c r="AC33" s="260">
        <v>160</v>
      </c>
      <c r="AD33" s="260"/>
      <c r="AE33" s="260"/>
      <c r="AF33" s="260"/>
      <c r="AG33" s="260"/>
      <c r="AH33" s="195">
        <v>70</v>
      </c>
      <c r="AI33" s="272">
        <v>5</v>
      </c>
      <c r="AJ33" s="271">
        <v>80</v>
      </c>
      <c r="AK33" s="260"/>
      <c r="AL33" s="260"/>
      <c r="AM33" s="260"/>
      <c r="AN33" s="260"/>
      <c r="AO33" s="260"/>
      <c r="AP33" s="260"/>
      <c r="AQ33" s="260"/>
      <c r="AR33" s="260"/>
      <c r="AS33" s="260"/>
      <c r="AT33" s="260"/>
      <c r="AU33" s="260">
        <v>80</v>
      </c>
      <c r="AV33" s="271">
        <v>320</v>
      </c>
      <c r="AW33" s="260">
        <v>80</v>
      </c>
      <c r="AX33" s="271">
        <v>320</v>
      </c>
      <c r="AY33" s="260">
        <v>40</v>
      </c>
      <c r="AZ33" s="271">
        <v>320</v>
      </c>
      <c r="BA33" s="276">
        <v>40</v>
      </c>
      <c r="BB33" s="276">
        <v>320</v>
      </c>
      <c r="BC33" s="276"/>
      <c r="BD33" s="276"/>
      <c r="BE33" s="276">
        <v>20</v>
      </c>
      <c r="BF33" s="276">
        <v>320</v>
      </c>
      <c r="BG33" s="260">
        <v>160</v>
      </c>
      <c r="BH33" s="271">
        <v>320</v>
      </c>
      <c r="BI33" s="276"/>
      <c r="BJ33" s="276"/>
      <c r="BK33" s="276"/>
      <c r="BL33" s="275"/>
      <c r="BM33" s="316">
        <v>70</v>
      </c>
      <c r="BN33" s="272">
        <v>160</v>
      </c>
      <c r="BO33" s="270">
        <v>320</v>
      </c>
      <c r="BP33" s="272"/>
      <c r="BQ33" s="260"/>
      <c r="BR33" s="260"/>
      <c r="BS33" s="260"/>
      <c r="BT33" s="260"/>
      <c r="BU33" s="260"/>
      <c r="BV33" s="260">
        <v>160</v>
      </c>
      <c r="BW33" s="260">
        <v>320</v>
      </c>
      <c r="BX33" s="260"/>
      <c r="BY33" s="260"/>
      <c r="BZ33" s="260"/>
      <c r="CA33" s="260"/>
      <c r="CB33" s="260"/>
      <c r="CC33" s="260"/>
      <c r="CD33" s="260">
        <v>160</v>
      </c>
      <c r="CE33" s="260">
        <v>1280</v>
      </c>
      <c r="CF33" s="272"/>
      <c r="CG33" s="260"/>
      <c r="CH33" s="260"/>
      <c r="CI33" s="260"/>
      <c r="CJ33" s="260"/>
      <c r="CK33" s="260"/>
      <c r="CL33" s="260"/>
      <c r="CM33" s="260"/>
      <c r="CN33" s="260">
        <v>40</v>
      </c>
      <c r="CO33" s="260">
        <v>320</v>
      </c>
      <c r="CP33" s="260">
        <v>40</v>
      </c>
      <c r="CQ33" s="260">
        <v>320</v>
      </c>
      <c r="CR33" s="260">
        <v>20</v>
      </c>
      <c r="CS33" s="270">
        <v>320</v>
      </c>
      <c r="CT33" s="315">
        <v>70</v>
      </c>
      <c r="CU33" s="249">
        <f>Table2821115[[#This Row],[D28 - BR/18]]/Table2821115[[#This Row],[D0 - BR/18]]</f>
        <v>32</v>
      </c>
      <c r="CV33" s="248">
        <f>Table2821115[[#This Row],[D28 - KS/17]]/Table2821115[[#This Row],[D0 - KS/17]]</f>
        <v>16</v>
      </c>
      <c r="CW33" s="248">
        <f>Table2821115[[#This Row],[D28 - Phu/13]]/Table2821115[[#This Row],[D0 - Phu/13]]</f>
        <v>8</v>
      </c>
      <c r="CX33" s="248">
        <f>Table2821115[[#This Row],[D28 - CO/17]]/Table2821115[[#This Row],[D0 - CO/17]]</f>
        <v>8</v>
      </c>
      <c r="CY33" s="248">
        <f>LOG(Table2821115[[#This Row],[BR/18 Fold]],2)</f>
        <v>5</v>
      </c>
      <c r="CZ33" s="248">
        <f>LOG(Table2821115[[#This Row],[KS/17 Fold]],2)</f>
        <v>4</v>
      </c>
      <c r="DA33" s="248">
        <f>LOG(Table2821115[[#This Row],[Phu/13 Fold]],2)</f>
        <v>3</v>
      </c>
      <c r="DB33" s="248">
        <f>LOG(Table2821115[[#This Row],[CO/17 Fold]],2)</f>
        <v>3</v>
      </c>
      <c r="DC33" s="248">
        <f>SUM(Table2821115[[#This Row],[BR/18 Log2]:[CO/17 Log2]])</f>
        <v>15</v>
      </c>
      <c r="DE33" s="348">
        <f>COUNTIFS($I$7:$I$467,"N",$D$7:$D$467,"&gt;17",$D$7:$D$467,"&lt;35")</f>
        <v>16</v>
      </c>
      <c r="DF33" s="349" t="s">
        <v>8</v>
      </c>
      <c r="DG33" s="40">
        <f>AVERAGEIFS($AB$7:$AB$467,$I$7:$I$467,"N",$D$7:$D$467,"&gt;17",$D$7:$D$467,"&lt;35")</f>
        <v>47.8125</v>
      </c>
      <c r="DH33" s="233">
        <f>AVERAGEIFS($AC$7:$AC$467,$I$7:$I$467,"N",$D$7:$D$467,"&gt;17",$D$7:$D$467,"&lt;35")</f>
        <v>170</v>
      </c>
      <c r="DI33" s="224">
        <f t="shared" ref="DI33:DI39" si="8">LOG(DH33,2)/LOG(DG33,2)</f>
        <v>1.328010641274326</v>
      </c>
      <c r="DJ33" s="47">
        <f>(COUNTIFS($AB$7:$AB$467,"&gt;=40",$D$7:$D$467,"&gt;17",$I$7:$I$467,"N",$D$7:$D$467,"&lt;35"))/$DE33</f>
        <v>0.5</v>
      </c>
      <c r="DK33" s="47">
        <f>(COUNTIFS($AC$7:$AC$467,"&gt;=40",$I$7:$I$467,"N",$D$7:$D$467,"&gt;17",$D$7:$D$467,"&lt;35"))/$DE33</f>
        <v>1</v>
      </c>
      <c r="DL33" s="50">
        <f>(COUNTIFS(Table2821115[BR/18 Fold],"&gt;=4",$AC$7:$AC$467,"&gt;=40",$I$7:$I$467,"N",$D$7:$D$467,"&gt;17",$D$7:$D$467,"&lt;35"))/$DE33</f>
        <v>0.6875</v>
      </c>
      <c r="DM33" s="40">
        <f>AVERAGEIFS($BE$7:$BE$467,$I$7:$I$467,"N",$D$7:$D$467,"&gt;17",$D$7:$D$467,"&lt;35")</f>
        <v>9.375</v>
      </c>
      <c r="DN33" s="233">
        <f>AVERAGEIFS($BF$7:$BF$467,$I$7:$I$467,"N",$D$7:$D$467,"&gt;17",$D$7:$D$467,"&lt;35")</f>
        <v>172.8125</v>
      </c>
      <c r="DO33" s="224">
        <f t="shared" ref="DO33:DO39" si="9">LOG(DN33,2)/LOG(DM33,2)</f>
        <v>2.3021000798222282</v>
      </c>
      <c r="DP33" s="47">
        <f>(COUNTIFS($BE$7:$BE$467,"&gt;=40",$D$7:$D$467,"&gt;17",$I$7:$I$467,"N",$D$7:$D$467,"&lt;35"))/$DE33</f>
        <v>0</v>
      </c>
      <c r="DQ33" s="47">
        <f>(COUNTIFS($BF$7:$BF$467,"&gt;=40",$I$7:$I$467,"N",$D$7:$D$467,"&gt;17",$D$7:$D$467,"&lt;35"))/$DE33</f>
        <v>0.9375</v>
      </c>
      <c r="DR33" s="50">
        <f>(COUNTIFS(Table2821115[KS/17 Fold],"&gt;=4",$BF$7:$BF$467,"&gt;=40",$I$7:$I$467,"N",$D$7:$D$467,"&gt;17",$D$7:$D$467,"&lt;35"))/$DE33</f>
        <v>0.875</v>
      </c>
      <c r="DS33" s="40">
        <f>AVERAGEIFS($CD$7:$CD$467,$I$7:$I$467,"N",$D$7:$D$467,"&gt;17",$D$7:$D$467,"&lt;35")</f>
        <v>73.125</v>
      </c>
      <c r="DT33" s="233">
        <f>AVERAGEIFS($CE$7:$CE$467,$I$7:$I$467,"N",$D$7:$D$467,"&gt;17",$D$7:$D$467,"&lt;35")</f>
        <v>325</v>
      </c>
      <c r="DU33" s="224">
        <f t="shared" ref="DU33:DU39" si="10">LOG(DT33,2)/LOG(DS33,2)</f>
        <v>1.3475292848581115</v>
      </c>
      <c r="DV33" s="47">
        <f>(COUNTIFS($CD$7:$CD$467,"&gt;=40",$D$7:$D$467,"&gt;17",$I$7:$I$467,"N",$D$7:$D$467,"&lt;35"))/$DE33</f>
        <v>0.6875</v>
      </c>
      <c r="DW33" s="47">
        <f>(COUNTIFS($CE$7:$CE$467,"&gt;=40",$I$7:$I$467,"N",$D$7:$D$467,"&gt;17",$D$7:$D$467,"&lt;35"))/$DE33</f>
        <v>1</v>
      </c>
      <c r="DX33" s="50">
        <f>(COUNTIFS(Table2821115[Phu/13 Fold],"&gt;=4",$CE$7:$CE$467,"&gt;=40",$I$7:$I$467,"N",$D$7:$D$467,"&gt;17",$D$7:$D$467,"&lt;35"))/$DE33</f>
        <v>0.75</v>
      </c>
      <c r="DY33" s="346">
        <f>AVERAGEIFS($CP$7:$CP$467,$I$7:$I$467,"N",$D$7:$D$467,"&gt;17",$D$7:$D$467,"&lt;35")</f>
        <v>31.25</v>
      </c>
      <c r="DZ33" s="224">
        <f>AVERAGEIFS($CQ$7:$CQ$467,$I$7:$I$467,"N",$D$7:$D$467,"&gt;17",$D$7:$D$467,"&lt;35")</f>
        <v>173.125</v>
      </c>
      <c r="EA33" s="224">
        <f t="shared" ref="EA33:EA39" si="11">LOG(DZ33,2)/LOG(DY33,2)</f>
        <v>1.4973808435262173</v>
      </c>
      <c r="EB33" s="47">
        <f>(COUNTIFS($CP$7:$CP$467,"&gt;=40",$D$7:$D$467,"&gt;17",$I$7:$I$467,"N",$D$7:$D$467,"&lt;35"))/$DE33</f>
        <v>0.25</v>
      </c>
      <c r="EC33" s="47">
        <f>(COUNTIFS($CQ$7:$CQ$467,"&gt;=40",$I$7:$I$467,"N",$D$7:$D$467,"&gt;17",$D$7:$D$467,"&lt;35"))/$DE33</f>
        <v>0.9375</v>
      </c>
      <c r="ED33" s="53">
        <f>(COUNTIFS(Table2821115[CO/17 Fold],"&gt;=4",$CQ$7:$CQ$467,"&gt;=40",$I$7:$I$467,"N",$D$7:$D$467,"&gt;17",$D$7:$D$467,"&lt;35"))/$DE33</f>
        <v>0.625</v>
      </c>
    </row>
    <row r="34" spans="1:134" s="10" customFormat="1" ht="24" customHeight="1">
      <c r="A34" s="321">
        <v>75</v>
      </c>
      <c r="B34" s="183">
        <v>34336</v>
      </c>
      <c r="C34" s="183">
        <v>43813</v>
      </c>
      <c r="D34" s="182">
        <v>25</v>
      </c>
      <c r="E34" s="3" t="s">
        <v>61</v>
      </c>
      <c r="F34" s="143" t="s">
        <v>116</v>
      </c>
      <c r="G34" s="142">
        <v>23.235753777401481</v>
      </c>
      <c r="H34" s="11" t="s">
        <v>59</v>
      </c>
      <c r="I34" s="281" t="s">
        <v>60</v>
      </c>
      <c r="J34" s="260">
        <v>5</v>
      </c>
      <c r="K34" s="260">
        <v>5</v>
      </c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>
        <v>5</v>
      </c>
      <c r="W34" s="260">
        <v>40</v>
      </c>
      <c r="X34" s="260">
        <v>20</v>
      </c>
      <c r="Y34" s="260">
        <v>80</v>
      </c>
      <c r="Z34" s="260">
        <v>40</v>
      </c>
      <c r="AA34" s="260">
        <v>80</v>
      </c>
      <c r="AB34" s="260">
        <v>20</v>
      </c>
      <c r="AC34" s="260">
        <v>40</v>
      </c>
      <c r="AD34" s="260"/>
      <c r="AE34" s="260"/>
      <c r="AF34" s="260"/>
      <c r="AG34" s="260"/>
      <c r="AH34" s="32">
        <v>75</v>
      </c>
      <c r="AI34" s="272">
        <v>40</v>
      </c>
      <c r="AJ34" s="271">
        <v>80</v>
      </c>
      <c r="AK34" s="260"/>
      <c r="AL34" s="260"/>
      <c r="AM34" s="260"/>
      <c r="AN34" s="260"/>
      <c r="AO34" s="260"/>
      <c r="AP34" s="260"/>
      <c r="AQ34" s="260"/>
      <c r="AR34" s="260"/>
      <c r="AS34" s="260"/>
      <c r="AT34" s="260"/>
      <c r="AU34" s="260">
        <v>40</v>
      </c>
      <c r="AV34" s="271">
        <v>320</v>
      </c>
      <c r="AW34" s="260">
        <v>40</v>
      </c>
      <c r="AX34" s="271">
        <v>320</v>
      </c>
      <c r="AY34" s="260">
        <v>40</v>
      </c>
      <c r="AZ34" s="271">
        <v>160</v>
      </c>
      <c r="BA34" s="276">
        <v>40</v>
      </c>
      <c r="BB34" s="276">
        <v>320</v>
      </c>
      <c r="BC34" s="276"/>
      <c r="BD34" s="276"/>
      <c r="BE34" s="276">
        <v>10</v>
      </c>
      <c r="BF34" s="276">
        <v>160</v>
      </c>
      <c r="BG34" s="260">
        <v>160</v>
      </c>
      <c r="BH34" s="271">
        <v>320</v>
      </c>
      <c r="BI34" s="276"/>
      <c r="BJ34" s="276"/>
      <c r="BK34" s="276"/>
      <c r="BL34" s="275"/>
      <c r="BM34" s="320">
        <v>75</v>
      </c>
      <c r="BN34" s="272">
        <v>40</v>
      </c>
      <c r="BO34" s="270">
        <v>80</v>
      </c>
      <c r="BP34" s="272"/>
      <c r="BQ34" s="260"/>
      <c r="BR34" s="260"/>
      <c r="BS34" s="260"/>
      <c r="BT34" s="260"/>
      <c r="BU34" s="260"/>
      <c r="BV34" s="260">
        <v>20</v>
      </c>
      <c r="BW34" s="260">
        <v>160</v>
      </c>
      <c r="BX34" s="260"/>
      <c r="BY34" s="260"/>
      <c r="BZ34" s="260"/>
      <c r="CA34" s="260"/>
      <c r="CB34" s="260"/>
      <c r="CC34" s="260"/>
      <c r="CD34" s="260">
        <v>40</v>
      </c>
      <c r="CE34" s="260">
        <v>320</v>
      </c>
      <c r="CF34" s="272"/>
      <c r="CG34" s="260"/>
      <c r="CH34" s="260"/>
      <c r="CI34" s="260"/>
      <c r="CJ34" s="260"/>
      <c r="CK34" s="260"/>
      <c r="CL34" s="260"/>
      <c r="CM34" s="260"/>
      <c r="CN34" s="260">
        <v>20</v>
      </c>
      <c r="CO34" s="260">
        <v>80</v>
      </c>
      <c r="CP34" s="260">
        <v>20</v>
      </c>
      <c r="CQ34" s="260">
        <v>160</v>
      </c>
      <c r="CR34" s="260">
        <v>10</v>
      </c>
      <c r="CS34" s="270">
        <v>80</v>
      </c>
      <c r="CT34" s="319">
        <v>75</v>
      </c>
      <c r="CU34" s="249">
        <f>Table2821115[[#This Row],[D28 - BR/18]]/Table2821115[[#This Row],[D0 - BR/18]]</f>
        <v>2</v>
      </c>
      <c r="CV34" s="248">
        <f>Table2821115[[#This Row],[D28 - KS/17]]/Table2821115[[#This Row],[D0 - KS/17]]</f>
        <v>16</v>
      </c>
      <c r="CW34" s="248">
        <f>Table2821115[[#This Row],[D28 - Phu/13]]/Table2821115[[#This Row],[D0 - Phu/13]]</f>
        <v>8</v>
      </c>
      <c r="CX34" s="248">
        <f>Table2821115[[#This Row],[D28 - CO/17]]/Table2821115[[#This Row],[D0 - CO/17]]</f>
        <v>8</v>
      </c>
      <c r="CY34" s="248">
        <f>LOG(Table2821115[[#This Row],[BR/18 Fold]],2)</f>
        <v>1</v>
      </c>
      <c r="CZ34" s="248">
        <f>LOG(Table2821115[[#This Row],[KS/17 Fold]],2)</f>
        <v>4</v>
      </c>
      <c r="DA34" s="248">
        <f>LOG(Table2821115[[#This Row],[Phu/13 Fold]],2)</f>
        <v>3</v>
      </c>
      <c r="DB34" s="248">
        <f>LOG(Table2821115[[#This Row],[CO/17 Fold]],2)</f>
        <v>3</v>
      </c>
      <c r="DC34" s="248">
        <f>SUM(Table2821115[[#This Row],[BR/18 Log2]:[CO/17 Log2]])</f>
        <v>11</v>
      </c>
      <c r="DE34" s="38">
        <f>COUNTIFS($I$7:$I$467,"N",$D$7:$D$467,"&gt;34",$D$7:$D$467,"&lt;50")</f>
        <v>22</v>
      </c>
      <c r="DF34" s="41" t="s">
        <v>9</v>
      </c>
      <c r="DG34" s="39">
        <f>AVERAGEIFS($AB$7:$AB$467,$I$7:$I$467,"N",$D$7:$D$467,"&gt;34",$D$7:$D$467,"&lt;50")</f>
        <v>66.590909090909093</v>
      </c>
      <c r="DH34" s="345">
        <f>AVERAGEIFS($AC$7:$AC$467,$I$7:$I$467,"N",$D$7:$D$467,"&gt;34",$D$7:$D$467,"&lt;50")</f>
        <v>142.95454545454547</v>
      </c>
      <c r="DI34" s="338">
        <f t="shared" si="8"/>
        <v>1.1819569518210509</v>
      </c>
      <c r="DJ34" s="46">
        <f>(COUNTIFS($AB$7:$AB$467,"&gt;=40",$D$7:$D$467,"&gt;34",$I$7:$I$467,"N",$D$7:$D$467,"&lt;50"))/$DE34</f>
        <v>0.40909090909090912</v>
      </c>
      <c r="DK34" s="46">
        <f>(COUNTIFS($AC$7:$AC$467,"&gt;=40",$I$7:$I$467,"N",$D$7:$D$467,"&gt;34",$D$7:$D$467,"&lt;50"))/$DE34</f>
        <v>0.86363636363636365</v>
      </c>
      <c r="DL34" s="49">
        <f>(COUNTIFS(Table2821115[BR/18 Fold],"&gt;=4",$AC$7:$AC$467,"&gt;=40",$I$7:$I$467,"N",$D$7:$D$467,"&gt;34",$D$7:$D$467,"&lt;50"))/$DE34</f>
        <v>0.5</v>
      </c>
      <c r="DM34" s="39">
        <f>AVERAGEIFS($BE$7:$BE$467,$I$7:$I$467,"N",$D$7:$D$467,"&gt;34",$D$7:$D$467,"&lt;50")</f>
        <v>15.454545454545455</v>
      </c>
      <c r="DN34" s="345">
        <f>AVERAGEIFS($BF$7:$BF$467,$I$7:$I$467,"N",$D$7:$D$467,"&gt;34",$D$7:$D$467,"&lt;50")</f>
        <v>108.18181818181819</v>
      </c>
      <c r="DO34" s="338">
        <f t="shared" si="9"/>
        <v>1.7107300851478495</v>
      </c>
      <c r="DP34" s="46">
        <f>(COUNTIFS($BE$7:$BE$467,"&gt;=40",$D$7:$D$467,"&gt;34",$I$7:$I$467,"N",$D$7:$D$467,"&lt;50"))/$DE34</f>
        <v>9.0909090909090912E-2</v>
      </c>
      <c r="DQ34" s="46">
        <f>(COUNTIFS($BF$7:$BF$467,"&gt;=40",$I$7:$I$467,"N",$D$7:$D$467,"&gt;34",$D$7:$D$467,"&lt;50"))/$DE34</f>
        <v>0.68181818181818177</v>
      </c>
      <c r="DR34" s="49">
        <f>(COUNTIFS(Table2821115[KS/17 Fold],"&gt;=4",$BF$7:$BF$467,"&gt;=40",$I$7:$I$467,"N",$D$7:$D$467,"&gt;34",$D$7:$D$467,"&lt;50"))/$DE34</f>
        <v>0.63636363636363635</v>
      </c>
      <c r="DS34" s="39">
        <f>AVERAGEIFS($CD$7:$CD$467,$I$7:$I$467,"N",$D$7:$D$467,"&gt;34",$D$7:$D$467,"&lt;50")</f>
        <v>41.81818181818182</v>
      </c>
      <c r="DT34" s="345">
        <f>AVERAGEIFS($CE$7:$CE$467,$I$7:$I$467,"N",$D$7:$D$467,"&gt;34",$D$7:$D$467,"&lt;50")</f>
        <v>290</v>
      </c>
      <c r="DU34" s="338">
        <f t="shared" si="10"/>
        <v>1.5187189654218309</v>
      </c>
      <c r="DV34" s="46">
        <f>(COUNTIFS($CD$7:$CD$467,"&gt;=40",$D$7:$D$467,"&gt;34",$I$7:$I$467,"N",$D$7:$D$467,"&lt;50"))/$DE34</f>
        <v>0.36363636363636365</v>
      </c>
      <c r="DW34" s="46">
        <f>(COUNTIFS($CE$7:$CE$467,"&gt;=40",$I$7:$I$467,"N",$D$7:$D$467,"&gt;34",$D$7:$D$467,"&lt;50"))/$DE34</f>
        <v>0.95454545454545459</v>
      </c>
      <c r="DX34" s="49">
        <f>(COUNTIFS(Table2821115[Phu/13 Fold],"&gt;=4",$CE$7:$CE$467,"&gt;=40",$I$7:$I$467,"N",$D$7:$D$467,"&gt;34",$D$7:$D$467,"&lt;50"))/$DE34</f>
        <v>0.72727272727272729</v>
      </c>
      <c r="DY34" s="339">
        <f>AVERAGEIFS($CP$7:$CP$467,$I$7:$I$467,"N",$D$7:$D$467,"&gt;34",$D$7:$D$467,"&lt;50")</f>
        <v>87.045454545454547</v>
      </c>
      <c r="DZ34" s="338">
        <f>AVERAGEIFS($CQ$7:$CQ$467,$I$7:$I$467,"N",$D$7:$D$467,"&gt;34",$D$7:$D$467,"&lt;50")</f>
        <v>287.27272727272725</v>
      </c>
      <c r="EA34" s="338">
        <f t="shared" si="11"/>
        <v>1.2673279253665</v>
      </c>
      <c r="EB34" s="46">
        <f>(COUNTIFS($CP$7:$CP$467,"&gt;=40",$D$7:$D$467,"&gt;34",$I$7:$I$467,"N",$D$7:$D$467,"&lt;50"))/$DE34</f>
        <v>0.54545454545454541</v>
      </c>
      <c r="EC34" s="46">
        <f>(COUNTIFS($CQ$7:$CQ$467,"&gt;=40",$I$7:$I$467,"N",$D$7:$D$467,"&gt;34",$D$7:$D$467,"&lt;50"))/$DE34</f>
        <v>0.90909090909090906</v>
      </c>
      <c r="ED34" s="54">
        <f>(COUNTIFS(Table2821115[CO/17 Fold],"&gt;=4",$CQ$7:$CQ$467,"&gt;=40",$I$7:$I$467,"N",$D$7:$D$467,"&gt;34",$D$7:$D$467,"&lt;50"))/$DE34</f>
        <v>0.5</v>
      </c>
    </row>
    <row r="35" spans="1:134" s="10" customFormat="1" ht="24" customHeight="1">
      <c r="A35" s="330">
        <v>77</v>
      </c>
      <c r="B35" s="210">
        <v>19213</v>
      </c>
      <c r="C35" s="210">
        <v>43734</v>
      </c>
      <c r="D35" s="209">
        <v>67</v>
      </c>
      <c r="E35" s="3" t="s">
        <v>61</v>
      </c>
      <c r="F35" s="143" t="s">
        <v>116</v>
      </c>
      <c r="G35" s="142">
        <v>29.135428681276434</v>
      </c>
      <c r="H35" s="5" t="s">
        <v>64</v>
      </c>
      <c r="I35" s="281" t="s">
        <v>60</v>
      </c>
      <c r="J35" s="260">
        <v>5</v>
      </c>
      <c r="K35" s="260">
        <v>10</v>
      </c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60">
        <v>5</v>
      </c>
      <c r="W35" s="260">
        <v>5</v>
      </c>
      <c r="X35" s="260">
        <v>10</v>
      </c>
      <c r="Y35" s="260">
        <v>80</v>
      </c>
      <c r="Z35" s="260">
        <v>10</v>
      </c>
      <c r="AA35" s="260">
        <v>80</v>
      </c>
      <c r="AB35" s="260">
        <v>5</v>
      </c>
      <c r="AC35" s="260">
        <v>40</v>
      </c>
      <c r="AD35" s="260"/>
      <c r="AE35" s="260"/>
      <c r="AF35" s="260"/>
      <c r="AG35" s="260"/>
      <c r="AH35" s="208">
        <v>77</v>
      </c>
      <c r="AI35" s="272">
        <v>5</v>
      </c>
      <c r="AJ35" s="271">
        <v>5</v>
      </c>
      <c r="AK35" s="260"/>
      <c r="AL35" s="260"/>
      <c r="AM35" s="260"/>
      <c r="AN35" s="260"/>
      <c r="AO35" s="260"/>
      <c r="AP35" s="260"/>
      <c r="AQ35" s="260"/>
      <c r="AR35" s="260"/>
      <c r="AS35" s="260"/>
      <c r="AT35" s="260"/>
      <c r="AU35" s="260">
        <v>80</v>
      </c>
      <c r="AV35" s="271">
        <v>320</v>
      </c>
      <c r="AW35" s="260">
        <v>80</v>
      </c>
      <c r="AX35" s="271">
        <v>320</v>
      </c>
      <c r="AY35" s="260">
        <v>20</v>
      </c>
      <c r="AZ35" s="271">
        <v>160</v>
      </c>
      <c r="BA35" s="276">
        <v>20</v>
      </c>
      <c r="BB35" s="276">
        <v>160</v>
      </c>
      <c r="BC35" s="276"/>
      <c r="BD35" s="276"/>
      <c r="BE35" s="276">
        <v>10</v>
      </c>
      <c r="BF35" s="276">
        <v>320</v>
      </c>
      <c r="BG35" s="260">
        <v>160</v>
      </c>
      <c r="BH35" s="271">
        <v>320</v>
      </c>
      <c r="BI35" s="276"/>
      <c r="BJ35" s="276"/>
      <c r="BK35" s="276"/>
      <c r="BL35" s="275"/>
      <c r="BM35" s="329">
        <v>77</v>
      </c>
      <c r="BN35" s="272">
        <v>40</v>
      </c>
      <c r="BO35" s="270">
        <v>40</v>
      </c>
      <c r="BP35" s="272"/>
      <c r="BQ35" s="260"/>
      <c r="BR35" s="260"/>
      <c r="BS35" s="260"/>
      <c r="BT35" s="260"/>
      <c r="BU35" s="260"/>
      <c r="BV35" s="260">
        <v>20</v>
      </c>
      <c r="BW35" s="260">
        <v>40</v>
      </c>
      <c r="BX35" s="260"/>
      <c r="BY35" s="260"/>
      <c r="BZ35" s="260"/>
      <c r="CA35" s="260"/>
      <c r="CB35" s="260"/>
      <c r="CC35" s="260"/>
      <c r="CD35" s="260">
        <v>40</v>
      </c>
      <c r="CE35" s="260">
        <v>40</v>
      </c>
      <c r="CF35" s="272"/>
      <c r="CG35" s="260"/>
      <c r="CH35" s="260"/>
      <c r="CI35" s="260"/>
      <c r="CJ35" s="260"/>
      <c r="CK35" s="260"/>
      <c r="CL35" s="260"/>
      <c r="CM35" s="260"/>
      <c r="CN35" s="260">
        <v>20</v>
      </c>
      <c r="CO35" s="260">
        <v>80</v>
      </c>
      <c r="CP35" s="260">
        <v>10</v>
      </c>
      <c r="CQ35" s="260">
        <v>40</v>
      </c>
      <c r="CR35" s="260">
        <v>5</v>
      </c>
      <c r="CS35" s="270">
        <v>40</v>
      </c>
      <c r="CT35" s="328">
        <v>77</v>
      </c>
      <c r="CU35" s="249">
        <f>Table2821115[[#This Row],[D28 - BR/18]]/Table2821115[[#This Row],[D0 - BR/18]]</f>
        <v>8</v>
      </c>
      <c r="CV35" s="248">
        <f>Table2821115[[#This Row],[D28 - KS/17]]/Table2821115[[#This Row],[D0 - KS/17]]</f>
        <v>32</v>
      </c>
      <c r="CW35" s="248">
        <f>Table2821115[[#This Row],[D28 - Phu/13]]/Table2821115[[#This Row],[D0 - Phu/13]]</f>
        <v>1</v>
      </c>
      <c r="CX35" s="248">
        <f>Table2821115[[#This Row],[D28 - CO/17]]/Table2821115[[#This Row],[D0 - CO/17]]</f>
        <v>4</v>
      </c>
      <c r="CY35" s="248">
        <f>LOG(Table2821115[[#This Row],[BR/18 Fold]],2)</f>
        <v>3</v>
      </c>
      <c r="CZ35" s="248">
        <f>LOG(Table2821115[[#This Row],[KS/17 Fold]],2)</f>
        <v>5</v>
      </c>
      <c r="DA35" s="248">
        <f>LOG(Table2821115[[#This Row],[Phu/13 Fold]],2)</f>
        <v>0</v>
      </c>
      <c r="DB35" s="248">
        <f>LOG(Table2821115[[#This Row],[CO/17 Fold]],2)</f>
        <v>2</v>
      </c>
      <c r="DC35" s="248">
        <f>SUM(Table2821115[[#This Row],[BR/18 Log2]:[CO/17 Log2]])</f>
        <v>10</v>
      </c>
      <c r="DE35" s="348">
        <f>COUNTIFS($I$7:$I$467,"N",$D$7:$D$467,"&gt;49",$D$7:$D$467,"&lt;65")</f>
        <v>27</v>
      </c>
      <c r="DF35" s="347" t="s">
        <v>10</v>
      </c>
      <c r="DG35" s="40">
        <f>AVERAGEIFS($AB$7:$AB$467,$I$7:$I$467,"N",$D$7:$D$467,"&gt;49",$D$7:$D$467,"&lt;65")</f>
        <v>19.62962962962963</v>
      </c>
      <c r="DH35" s="233" t="s">
        <v>1217</v>
      </c>
      <c r="DI35" s="224" t="e">
        <f t="shared" si="8"/>
        <v>#VALUE!</v>
      </c>
      <c r="DJ35" s="47">
        <f>(COUNTIFS($AB$7:$AB$467,"&gt;=40",$D$7:$D$467,"&gt;49",$I$7:$I$467,"N",$D$7:$D$467,"&lt;65"))/$DE35</f>
        <v>7.407407407407407E-2</v>
      </c>
      <c r="DK35" s="47">
        <f>(COUNTIFS($AC$7:$AC$467,"&gt;=40",$I$7:$I$467,"N",$D$7:$D$467,"&gt;49",$D$7:$D$467,"&lt;65"))/$DE35</f>
        <v>0.62962962962962965</v>
      </c>
      <c r="DL35" s="50">
        <f>(COUNTIFS(Table2821115[BR/18 Fold],"&gt;=4",$AC$7:$AC$467,"&gt;=40",$I$7:$I$467,"N",$D$7:$D$467,"&gt;49",$D$7:$D$467,"&lt;65"))/$DE35</f>
        <v>0.48148148148148145</v>
      </c>
      <c r="DM35" s="40">
        <f>AVERAGEIFS($BE$7:$BE$467,$I$7:$I$467,"N",$D$7:$D$467,"&gt;49",$D$7:$D$467,"&lt;65")</f>
        <v>19.074074074074073</v>
      </c>
      <c r="DN35" s="233">
        <f>AVERAGEIFS($BF$7:$BF$467,$I$7:$I$467,"N",$D$7:$D$467,"&gt;49",$D$7:$D$467,"&lt;65")</f>
        <v>108.14814814814815</v>
      </c>
      <c r="DO35" s="224">
        <f t="shared" si="9"/>
        <v>1.5885270557232714</v>
      </c>
      <c r="DP35" s="47">
        <f>(COUNTIFS($BE$7:$BE$467,"&gt;=40",$D$7:$D$467,"&gt;49",$I$7:$I$467,"N",$D$7:$D$467,"&lt;65"))/$DE35</f>
        <v>0.1111111111111111</v>
      </c>
      <c r="DQ35" s="47">
        <f>(COUNTIFS($BF$7:$BF$467,"&gt;=40",$I$7:$I$467,"N",$D$7:$D$467,"&gt;49",$D$7:$D$467,"&lt;65"))/$DE35</f>
        <v>0.51851851851851849</v>
      </c>
      <c r="DR35" s="50">
        <f>(COUNTIFS(Table2821115[KS/17 Fold],"&gt;=4",$BF$7:$BF$467,"&gt;=40",$I$7:$I$467,"N",$D$7:$D$467,"&gt;49",$D$7:$D$467,"&lt;65"))/$DE35</f>
        <v>0.40740740740740738</v>
      </c>
      <c r="DS35" s="40">
        <f>AVERAGEIFS($CD$7:$CD$467,$I$7:$I$467,"N",$D$7:$D$467,"&gt;49",$D$7:$D$467,"&lt;65")</f>
        <v>36.851851851851855</v>
      </c>
      <c r="DT35" s="233">
        <f>AVERAGEIFS($CE$7:$CE$467,$I$7:$I$467,"N",$D$7:$D$467,"&gt;49",$D$7:$D$467,"&lt;65")</f>
        <v>228.5185185185185</v>
      </c>
      <c r="DU35" s="224">
        <f t="shared" si="10"/>
        <v>1.5058938172835947</v>
      </c>
      <c r="DV35" s="47">
        <f>(COUNTIFS($CD$7:$CD$467,"&gt;=40",$D$7:$D$467,"&gt;49",$I$7:$I$467,"N",$D$7:$D$467,"&lt;65"))/$DE35</f>
        <v>0.44444444444444442</v>
      </c>
      <c r="DW35" s="47">
        <f>(COUNTIFS($CE$7:$CE$467,"&gt;=40",$I$7:$I$467,"N",$D$7:$D$467,"&gt;49",$D$7:$D$467,"&lt;65"))/$DE35</f>
        <v>0.96296296296296291</v>
      </c>
      <c r="DX35" s="50">
        <f>(COUNTIFS(Table2821115[Phu/13 Fold],"&gt;=4",$CE$7:$CE$467,"&gt;=40",$I$7:$I$467,"N",$D$7:$D$467,"&gt;49",$D$7:$D$467,"&lt;65"))/$DE35</f>
        <v>0.66666666666666663</v>
      </c>
      <c r="DY35" s="346">
        <f>AVERAGEIFS($CP$7:$CP$467,$I$7:$I$467,"N",$D$7:$D$467,"&gt;49",$D$7:$D$467,"&lt;65")</f>
        <v>65.370370370370367</v>
      </c>
      <c r="DZ35" s="224">
        <f>AVERAGEIFS($CQ$7:$CQ$467,$I$7:$I$467,"N",$D$7:$D$467,"&gt;49",$D$7:$D$467,"&lt;65")</f>
        <v>156.85185185185185</v>
      </c>
      <c r="EA35" s="224">
        <f t="shared" si="11"/>
        <v>1.2093823370083978</v>
      </c>
      <c r="EB35" s="47">
        <f>(COUNTIFS($CP$7:$CP$467,"&gt;=40",$D$7:$D$467,"&gt;49",$I$7:$I$467,"N",$D$7:$D$467,"&lt;65"))/$DE35</f>
        <v>0.48148148148148145</v>
      </c>
      <c r="EC35" s="47">
        <f>(COUNTIFS($CQ$7:$CQ$467,"&gt;=40",$I$7:$I$467,"N",$D$7:$D$467,"&gt;49",$D$7:$D$467,"&lt;65"))/$DE35</f>
        <v>0.88888888888888884</v>
      </c>
      <c r="ED35" s="53">
        <f>(COUNTIFS(Table2821115[CO/17 Fold],"&gt;=4",$CQ$7:$CQ$467,"&gt;=40",$I$7:$I$467,"N",$D$7:$D$467,"&gt;49",$D$7:$D$467,"&lt;65"))/$DE35</f>
        <v>0.48148148148148145</v>
      </c>
    </row>
    <row r="36" spans="1:134" s="10" customFormat="1" ht="24" customHeight="1">
      <c r="A36" s="324">
        <v>81</v>
      </c>
      <c r="B36" s="190">
        <v>25576</v>
      </c>
      <c r="C36" s="190">
        <v>43770</v>
      </c>
      <c r="D36" s="189">
        <v>49</v>
      </c>
      <c r="E36" s="3" t="s">
        <v>61</v>
      </c>
      <c r="F36" s="143" t="s">
        <v>116</v>
      </c>
      <c r="G36" s="142">
        <v>20.171150559121141</v>
      </c>
      <c r="H36" s="11" t="s">
        <v>59</v>
      </c>
      <c r="I36" s="281" t="s">
        <v>60</v>
      </c>
      <c r="J36" s="260">
        <v>5</v>
      </c>
      <c r="K36" s="260">
        <v>5</v>
      </c>
      <c r="L36" s="260"/>
      <c r="M36" s="260"/>
      <c r="N36" s="260"/>
      <c r="O36" s="260"/>
      <c r="P36" s="260"/>
      <c r="Q36" s="260"/>
      <c r="R36" s="260"/>
      <c r="S36" s="260"/>
      <c r="T36" s="260"/>
      <c r="U36" s="260"/>
      <c r="V36" s="260">
        <v>5</v>
      </c>
      <c r="W36" s="260">
        <v>5</v>
      </c>
      <c r="X36" s="260">
        <v>40</v>
      </c>
      <c r="Y36" s="260">
        <v>40</v>
      </c>
      <c r="Z36" s="260">
        <v>80</v>
      </c>
      <c r="AA36" s="260">
        <v>80</v>
      </c>
      <c r="AB36" s="260">
        <v>40</v>
      </c>
      <c r="AC36" s="260">
        <v>40</v>
      </c>
      <c r="AD36" s="260"/>
      <c r="AE36" s="260"/>
      <c r="AF36" s="260"/>
      <c r="AG36" s="260"/>
      <c r="AH36" s="198">
        <v>81</v>
      </c>
      <c r="AI36" s="272">
        <v>5</v>
      </c>
      <c r="AJ36" s="271">
        <v>5</v>
      </c>
      <c r="AK36" s="260"/>
      <c r="AL36" s="260"/>
      <c r="AM36" s="260"/>
      <c r="AN36" s="260"/>
      <c r="AO36" s="260"/>
      <c r="AP36" s="260"/>
      <c r="AQ36" s="260"/>
      <c r="AR36" s="260"/>
      <c r="AS36" s="260"/>
      <c r="AT36" s="260"/>
      <c r="AU36" s="260">
        <v>10</v>
      </c>
      <c r="AV36" s="271">
        <v>20</v>
      </c>
      <c r="AW36" s="260">
        <v>10</v>
      </c>
      <c r="AX36" s="271">
        <v>20</v>
      </c>
      <c r="AY36" s="260">
        <v>20</v>
      </c>
      <c r="AZ36" s="271">
        <v>40</v>
      </c>
      <c r="BA36" s="276">
        <v>20</v>
      </c>
      <c r="BB36" s="276">
        <v>40</v>
      </c>
      <c r="BC36" s="276"/>
      <c r="BD36" s="276"/>
      <c r="BE36" s="276">
        <v>5</v>
      </c>
      <c r="BF36" s="276">
        <v>10</v>
      </c>
      <c r="BG36" s="260">
        <v>10</v>
      </c>
      <c r="BH36" s="271">
        <v>20</v>
      </c>
      <c r="BI36" s="276"/>
      <c r="BJ36" s="276"/>
      <c r="BK36" s="276"/>
      <c r="BL36" s="275"/>
      <c r="BM36" s="323">
        <v>81</v>
      </c>
      <c r="BN36" s="272">
        <v>40</v>
      </c>
      <c r="BO36" s="270">
        <v>40</v>
      </c>
      <c r="BP36" s="272"/>
      <c r="BQ36" s="260"/>
      <c r="BR36" s="260"/>
      <c r="BS36" s="260"/>
      <c r="BT36" s="260"/>
      <c r="BU36" s="260"/>
      <c r="BV36" s="260">
        <v>80</v>
      </c>
      <c r="BW36" s="260">
        <v>80</v>
      </c>
      <c r="BX36" s="260"/>
      <c r="BY36" s="260"/>
      <c r="BZ36" s="260"/>
      <c r="CA36" s="260"/>
      <c r="CB36" s="260"/>
      <c r="CC36" s="260"/>
      <c r="CD36" s="260">
        <v>160</v>
      </c>
      <c r="CE36" s="260">
        <v>160</v>
      </c>
      <c r="CF36" s="272"/>
      <c r="CG36" s="260"/>
      <c r="CH36" s="260"/>
      <c r="CI36" s="260"/>
      <c r="CJ36" s="260"/>
      <c r="CK36" s="260"/>
      <c r="CL36" s="260"/>
      <c r="CM36" s="260"/>
      <c r="CN36" s="260">
        <v>40</v>
      </c>
      <c r="CO36" s="260">
        <v>40</v>
      </c>
      <c r="CP36" s="260">
        <v>80</v>
      </c>
      <c r="CQ36" s="260">
        <v>80</v>
      </c>
      <c r="CR36" s="260">
        <v>40</v>
      </c>
      <c r="CS36" s="270">
        <v>80</v>
      </c>
      <c r="CT36" s="322">
        <v>81</v>
      </c>
      <c r="CU36" s="249">
        <f>Table2821115[[#This Row],[D28 - BR/18]]/Table2821115[[#This Row],[D0 - BR/18]]</f>
        <v>1</v>
      </c>
      <c r="CV36" s="248">
        <f>Table2821115[[#This Row],[D28 - KS/17]]/Table2821115[[#This Row],[D0 - KS/17]]</f>
        <v>2</v>
      </c>
      <c r="CW36" s="248">
        <f>Table2821115[[#This Row],[D28 - Phu/13]]/Table2821115[[#This Row],[D0 - Phu/13]]</f>
        <v>1</v>
      </c>
      <c r="CX36" s="248">
        <f>Table2821115[[#This Row],[D28 - CO/17]]/Table2821115[[#This Row],[D0 - CO/17]]</f>
        <v>1</v>
      </c>
      <c r="CY36" s="248">
        <f>LOG(Table2821115[[#This Row],[BR/18 Fold]],2)</f>
        <v>0</v>
      </c>
      <c r="CZ36" s="248">
        <f>LOG(Table2821115[[#This Row],[KS/17 Fold]],2)</f>
        <v>1</v>
      </c>
      <c r="DA36" s="248">
        <f>LOG(Table2821115[[#This Row],[Phu/13 Fold]],2)</f>
        <v>0</v>
      </c>
      <c r="DB36" s="248">
        <f>LOG(Table2821115[[#This Row],[CO/17 Fold]],2)</f>
        <v>0</v>
      </c>
      <c r="DC36" s="248">
        <f>SUM(Table2821115[[#This Row],[BR/18 Log2]:[CO/17 Log2]])</f>
        <v>1</v>
      </c>
      <c r="DE36" s="38">
        <f>COUNTIFS($I$7:$I$467,"N",$D$7:$D$467,"&gt;64")</f>
        <v>6</v>
      </c>
      <c r="DF36" s="41" t="s">
        <v>66</v>
      </c>
      <c r="DG36" s="39">
        <f>AVERAGEIFS($AB$7:$AB$467,$I$7:$I$467,"N",$D$7:$D$467,"&gt;64")</f>
        <v>11.666666666666666</v>
      </c>
      <c r="DH36" s="345">
        <f>AVERAGEIFS($AC$7:$AC$467,$I$7:$I$467,"N",$D$7:$D$467,"&gt;64")</f>
        <v>147.5</v>
      </c>
      <c r="DI36" s="338">
        <f t="shared" si="8"/>
        <v>2.0327086986831251</v>
      </c>
      <c r="DJ36" s="46">
        <f>(COUNTIFS($AB$7:$AB$467,"&gt;=40",$I$7:$I$467,"N",$D$7:$D$467,"&gt;64"))/$DE36</f>
        <v>0.16666666666666666</v>
      </c>
      <c r="DK36" s="46">
        <f>(COUNTIFS($AC$7:$AC$467,"&gt;=40",$I$7:$I$467,"N",$D$7:$D$467,"&gt;64"))/$DE36</f>
        <v>0.5</v>
      </c>
      <c r="DL36" s="49">
        <f>(COUNTIFS(Table2821115[BR/18 Fold],"&gt;=4",$AC$7:$AC$467,"&gt;=40",$I$7:$I$467,"N",$D$7:$D$467,"&gt;64"))/$DE36</f>
        <v>0.5</v>
      </c>
      <c r="DM36" s="39">
        <f>AVERAGEIFS($BE$7:$BE$467,$I$7:$I$467,"N",$D$7:$D$467,"&gt;64")</f>
        <v>5</v>
      </c>
      <c r="DN36" s="345">
        <f>AVERAGEIFS($BF$7:$BF$467,$I$7:$I$467,"N",$D$7:$D$467,"&gt;64")</f>
        <v>140.83333333333334</v>
      </c>
      <c r="DO36" s="338">
        <f t="shared" si="9"/>
        <v>3.0741025297747862</v>
      </c>
      <c r="DP36" s="46">
        <f>(COUNTIFS($BE$7:$BE$467,"&gt;=40",$I$7:$I$467,"N",$D$7:$D$467,"&gt;64"))/$DE36</f>
        <v>0</v>
      </c>
      <c r="DQ36" s="46">
        <f>(COUNTIFS($BF$7:$BF$467,"&gt;=40",$I$7:$I$467,"N",$D$7:$D$467,"&gt;64"))/$DE36</f>
        <v>0.5</v>
      </c>
      <c r="DR36" s="49">
        <f>(COUNTIFS(Table2821115[KS/17 Fold],"&gt;=4",$BF$7:$BF$467,"&gt;=40",$I$7:$I$467,"N",$D$7:$D$467,"&gt;64"))/$DE36</f>
        <v>0.5</v>
      </c>
      <c r="DS36" s="39">
        <f>AVERAGEIFS($CD$7:$CD$467,$I$7:$I$467,"N",$D$7:$D$467,"&gt;64")</f>
        <v>57.5</v>
      </c>
      <c r="DT36" s="345">
        <f>AVERAGEIFS($CE$7:$CE$467,$I$7:$I$467,"N",$D$7:$D$467,"&gt;64")</f>
        <v>140</v>
      </c>
      <c r="DU36" s="338">
        <f t="shared" si="10"/>
        <v>1.2196211018771961</v>
      </c>
      <c r="DV36" s="46">
        <f>(COUNTIFS($CD$7:$CD$467,"&gt;=40",$I$7:$I$467,"N",$D$7:$D$467,"&gt;64"))/$DE36</f>
        <v>0.5</v>
      </c>
      <c r="DW36" s="46">
        <f>(COUNTIFS($CE$7:$CE$467,"&gt;=40",$I$7:$I$467,"N",$D$7:$D$467,"&gt;64"))/$DE36</f>
        <v>1</v>
      </c>
      <c r="DX36" s="49">
        <f>(COUNTIFS(Table2821115[Phu/13 Fold],"&gt;=4",$CE$7:$CE$467,"&gt;=40",$I$7:$I$467,"N",$D$7:$D$467,"&gt;64"))/$DE36</f>
        <v>0.5</v>
      </c>
      <c r="DY36" s="339">
        <f>AVERAGEIFS($CP$7:$CP$467,$I$7:$I$467,"N",$D$7:$D$467,"&gt;64")</f>
        <v>8.3333333333333339</v>
      </c>
      <c r="DZ36" s="338">
        <f>AVERAGEIFS($CQ$7:$CQ$467,$I$7:$I$467,"N",$D$7:$D$467,"&gt;64")</f>
        <v>110</v>
      </c>
      <c r="EA36" s="338">
        <f t="shared" si="11"/>
        <v>2.2169321339254631</v>
      </c>
      <c r="EB36" s="46">
        <f>(COUNTIFS($CP$7:$CP$467,"&gt;=40",$I$7:$I$467,"N",$D$7:$D$467,"&gt;64"))/$DE36</f>
        <v>0</v>
      </c>
      <c r="EC36" s="46">
        <f>(COUNTIFS($CQ$7:$CQ$467,"&gt;=40",$I$7:$I$467,"N",$D$7:$D$467,"&gt;64"))/$DE36</f>
        <v>0.83333333333333337</v>
      </c>
      <c r="ED36" s="54">
        <f>(COUNTIFS(Table2821115[CO/17 Fold],"&gt;=4",$CQ$7:$CQ$467,"&gt;=40",$I$7:$I$467,"N",$D$7:$D$467,"&gt;64"))/$DE36</f>
        <v>0.66666666666666663</v>
      </c>
    </row>
    <row r="37" spans="1:134" s="10" customFormat="1" ht="24" customHeight="1">
      <c r="A37" s="330">
        <v>83</v>
      </c>
      <c r="B37" s="210">
        <v>18549</v>
      </c>
      <c r="C37" s="210">
        <v>43766</v>
      </c>
      <c r="D37" s="209">
        <v>69</v>
      </c>
      <c r="E37" s="3" t="s">
        <v>61</v>
      </c>
      <c r="F37" s="143" t="s">
        <v>116</v>
      </c>
      <c r="G37" s="142">
        <v>27.018008999990982</v>
      </c>
      <c r="H37" s="5" t="s">
        <v>64</v>
      </c>
      <c r="I37" s="281" t="s">
        <v>60</v>
      </c>
      <c r="J37" s="260">
        <v>5</v>
      </c>
      <c r="K37" s="260">
        <v>5</v>
      </c>
      <c r="L37" s="260"/>
      <c r="M37" s="260"/>
      <c r="N37" s="260"/>
      <c r="O37" s="260"/>
      <c r="P37" s="260"/>
      <c r="Q37" s="260"/>
      <c r="R37" s="260"/>
      <c r="S37" s="260"/>
      <c r="T37" s="260"/>
      <c r="U37" s="260"/>
      <c r="V37" s="260">
        <v>5</v>
      </c>
      <c r="W37" s="260">
        <v>5</v>
      </c>
      <c r="X37" s="260">
        <v>10</v>
      </c>
      <c r="Y37" s="260">
        <v>20</v>
      </c>
      <c r="Z37" s="260">
        <v>10</v>
      </c>
      <c r="AA37" s="260">
        <v>20</v>
      </c>
      <c r="AB37" s="260">
        <v>5</v>
      </c>
      <c r="AC37" s="260">
        <v>10</v>
      </c>
      <c r="AD37" s="260"/>
      <c r="AE37" s="260"/>
      <c r="AF37" s="260"/>
      <c r="AG37" s="260"/>
      <c r="AH37" s="208">
        <v>83</v>
      </c>
      <c r="AI37" s="272">
        <v>20</v>
      </c>
      <c r="AJ37" s="271">
        <v>20</v>
      </c>
      <c r="AK37" s="260"/>
      <c r="AL37" s="260"/>
      <c r="AM37" s="260"/>
      <c r="AN37" s="260"/>
      <c r="AO37" s="260"/>
      <c r="AP37" s="260"/>
      <c r="AQ37" s="260"/>
      <c r="AR37" s="260"/>
      <c r="AS37" s="260"/>
      <c r="AT37" s="260"/>
      <c r="AU37" s="260">
        <v>5</v>
      </c>
      <c r="AV37" s="271">
        <v>20</v>
      </c>
      <c r="AW37" s="260">
        <v>5</v>
      </c>
      <c r="AX37" s="271">
        <v>20</v>
      </c>
      <c r="AY37" s="260">
        <v>5</v>
      </c>
      <c r="AZ37" s="271">
        <v>10</v>
      </c>
      <c r="BA37" s="276">
        <v>5</v>
      </c>
      <c r="BB37" s="276">
        <v>10</v>
      </c>
      <c r="BC37" s="276"/>
      <c r="BD37" s="276"/>
      <c r="BE37" s="276">
        <v>5</v>
      </c>
      <c r="BF37" s="276">
        <v>5</v>
      </c>
      <c r="BG37" s="260">
        <v>5</v>
      </c>
      <c r="BH37" s="271">
        <v>20</v>
      </c>
      <c r="BI37" s="276"/>
      <c r="BJ37" s="276"/>
      <c r="BK37" s="276"/>
      <c r="BL37" s="275"/>
      <c r="BM37" s="329">
        <v>83</v>
      </c>
      <c r="BN37" s="272">
        <v>40</v>
      </c>
      <c r="BO37" s="270">
        <v>80</v>
      </c>
      <c r="BP37" s="272"/>
      <c r="BQ37" s="260"/>
      <c r="BR37" s="260"/>
      <c r="BS37" s="260"/>
      <c r="BT37" s="260"/>
      <c r="BU37" s="260"/>
      <c r="BV37" s="260">
        <v>20</v>
      </c>
      <c r="BW37" s="260">
        <v>40</v>
      </c>
      <c r="BX37" s="260"/>
      <c r="BY37" s="260"/>
      <c r="BZ37" s="260"/>
      <c r="CA37" s="260"/>
      <c r="CB37" s="260"/>
      <c r="CC37" s="260"/>
      <c r="CD37" s="260">
        <v>20</v>
      </c>
      <c r="CE37" s="260">
        <v>20</v>
      </c>
      <c r="CF37" s="272"/>
      <c r="CG37" s="260"/>
      <c r="CH37" s="260"/>
      <c r="CI37" s="260"/>
      <c r="CJ37" s="260"/>
      <c r="CK37" s="260"/>
      <c r="CL37" s="260"/>
      <c r="CM37" s="260"/>
      <c r="CN37" s="260">
        <v>10</v>
      </c>
      <c r="CO37" s="260">
        <v>20</v>
      </c>
      <c r="CP37" s="260">
        <v>20</v>
      </c>
      <c r="CQ37" s="260">
        <v>20</v>
      </c>
      <c r="CR37" s="260">
        <v>10</v>
      </c>
      <c r="CS37" s="270">
        <v>20</v>
      </c>
      <c r="CT37" s="328">
        <v>83</v>
      </c>
      <c r="CU37" s="249">
        <f>Table2821115[[#This Row],[D28 - BR/18]]/Table2821115[[#This Row],[D0 - BR/18]]</f>
        <v>2</v>
      </c>
      <c r="CV37" s="248">
        <f>Table2821115[[#This Row],[D28 - KS/17]]/Table2821115[[#This Row],[D0 - KS/17]]</f>
        <v>1</v>
      </c>
      <c r="CW37" s="248">
        <f>Table2821115[[#This Row],[D28 - Phu/13]]/Table2821115[[#This Row],[D0 - Phu/13]]</f>
        <v>1</v>
      </c>
      <c r="CX37" s="248">
        <f>Table2821115[[#This Row],[D28 - CO/17]]/Table2821115[[#This Row],[D0 - CO/17]]</f>
        <v>1</v>
      </c>
      <c r="CY37" s="248">
        <f>LOG(Table2821115[[#This Row],[BR/18 Fold]],2)</f>
        <v>1</v>
      </c>
      <c r="CZ37" s="248">
        <f>LOG(Table2821115[[#This Row],[KS/17 Fold]],2)</f>
        <v>0</v>
      </c>
      <c r="DA37" s="248">
        <f>LOG(Table2821115[[#This Row],[Phu/13 Fold]],2)</f>
        <v>0</v>
      </c>
      <c r="DB37" s="248">
        <f>LOG(Table2821115[[#This Row],[CO/17 Fold]],2)</f>
        <v>0</v>
      </c>
      <c r="DC37" s="248">
        <f>SUM(Table2821115[[#This Row],[BR/18 Log2]:[CO/17 Log2]])</f>
        <v>1</v>
      </c>
      <c r="DE37" s="344">
        <f>COUNTIFS($H$7:$H$467,"*Standard*",$I$7:$I$467,"N",$D$7:$D$467,"&gt;64")</f>
        <v>5</v>
      </c>
      <c r="DF37" s="343" t="s">
        <v>67</v>
      </c>
      <c r="DG37" s="37">
        <f>AVERAGEIFS($AB$7:$AB$467,$H$7:$H$467,"*Standard*",$I$7:$I$467,"N",$D$7:$D$467,"&gt;64")</f>
        <v>12</v>
      </c>
      <c r="DH37" s="341">
        <f>AVERAGEIFS($AC$7:$AC$467,$H$7:$H$467,"*Standard*",$I$7:$I$467,"N",$D$7:$D$467,"&gt;64")</f>
        <v>173</v>
      </c>
      <c r="DI37" s="341">
        <f t="shared" si="8"/>
        <v>2.0738370976380267</v>
      </c>
      <c r="DJ37" s="45">
        <f>(COUNTIFS($AB$7:$AB$467,"&gt;=40",$H$7:$H$467,"*Standard*",$I$7:$I$467,"N",$D$7:$D$467,"&gt;64"))/$DE37</f>
        <v>0.2</v>
      </c>
      <c r="DK37" s="45">
        <f>(COUNTIFS($AC$7:$AC$467,"&gt;=40",$I$7:$I$467,"N",$H$7:$H$467,"*Standard*",$D$7:$D$467,"&gt;64"))/$DE37</f>
        <v>0.6</v>
      </c>
      <c r="DL37" s="48">
        <f>(COUNTIFS(Table2821115[BR/18 Fold],"&gt;=4",$AC$7:$AC$467,"&gt;=40",$I$7:$I$467,"N",$H$7:$H$467,"*Standard*",$D$7:$D$467,"&gt;64"))/$DE37</f>
        <v>0.6</v>
      </c>
      <c r="DM37" s="37">
        <f>AVERAGEIFS($BE$7:$BE$467,$H$7:$H$467,"*Standard*",$I$7:$I$467,"N",$D$7:$D$467,"&gt;64")</f>
        <v>5</v>
      </c>
      <c r="DN37" s="341">
        <f>AVERAGEIFS($BF$7:$BF$467,$H$7:$H$467,"*Standard*",$I$7:$I$467,"N",$D$7:$D$467,"&gt;64")</f>
        <v>168</v>
      </c>
      <c r="DO37" s="341">
        <f t="shared" si="9"/>
        <v>3.1836978238283322</v>
      </c>
      <c r="DP37" s="45">
        <f>(COUNTIFS($BE$7:$BE$467,"&gt;=40",$H$7:$H$467,"*Standard*",$I$7:$I$467,"N",$D$7:$D$467,"&gt;64"))/$DE37</f>
        <v>0</v>
      </c>
      <c r="DQ37" s="45">
        <f>(COUNTIFS($BF$7:$BF$467,"&gt;=40",$I$7:$I$467,"N",$H$7:$H$467,"*Standard*",$D$7:$D$467,"&gt;64"))/$DE37</f>
        <v>0.6</v>
      </c>
      <c r="DR37" s="48">
        <f>(COUNTIFS(Table2821115[KS/17 Fold],"&gt;=4",$BF$7:$BF$467,"&gt;=40",$I$7:$I$467,"N",$H$7:$H$467,"*Standard*",$D$7:$D$467,"&gt;64"))/$DE37</f>
        <v>0.6</v>
      </c>
      <c r="DS37" s="37">
        <f>AVERAGEIFS($CD$7:$CD$467,$H$7:$H$467,"*Standard*",$I$7:$I$467,"N",$D$7:$D$467,"&gt;64")</f>
        <v>53</v>
      </c>
      <c r="DT37" s="341">
        <f>AVERAGEIFS($CE$7:$CE$467,$H$7:$H$467,"*Standard*",$I$7:$I$467,"N",$D$7:$D$467,"&gt;64")</f>
        <v>160</v>
      </c>
      <c r="DU37" s="341">
        <f t="shared" si="10"/>
        <v>1.2782873213705825</v>
      </c>
      <c r="DV37" s="45">
        <f>(COUNTIFS($CD$7:$CD$467,"&gt;=40",$H$7:$H$467,"*Standard*",$I$7:$I$467,"N",$D$7:$D$467,"&gt;64"))/$DE37</f>
        <v>0.4</v>
      </c>
      <c r="DW37" s="45">
        <f>(COUNTIFS($CE$7:$CE$467,"&gt;=40",$I$7:$I$467,"N",$H$7:$H$467,"*Standard*",$D$7:$D$467,"&gt;64"))/$DE37</f>
        <v>1</v>
      </c>
      <c r="DX37" s="48">
        <f>(COUNTIFS(Table2821115[Phu/13 Fold],"&gt;=4",$CE$7:$CE$467,"&gt;=40",$I$7:$I$467,"N",$H$7:$H$467,"*Standard*",$D$7:$D$467,"&gt;64"))/$DE37</f>
        <v>0.6</v>
      </c>
      <c r="DY37" s="342">
        <f>AVERAGEIFS($CP$7:$CP$467,$H$7:$H$467,"*Standard*",$I$7:$I$467,"N",$D$7:$D$467,"&gt;64")</f>
        <v>6</v>
      </c>
      <c r="DZ37" s="341">
        <f>AVERAGEIFS($CQ$7:$CQ$467,$H$7:$H$467,"*Standard*",$I$7:$I$467,"N",$D$7:$D$467,"&gt;64")</f>
        <v>124</v>
      </c>
      <c r="EA37" s="341">
        <f t="shared" si="11"/>
        <v>2.6902503647332545</v>
      </c>
      <c r="EB37" s="45">
        <f>(COUNTIFS($CP$7:$CP$467,"&gt;=40",$H$7:$H$467,"*Standard*",$I$7:$I$467,"N",$D$7:$D$467,"&gt;64"))/$DE37</f>
        <v>0</v>
      </c>
      <c r="EC37" s="45">
        <f>(COUNTIFS($CQ$7:$CQ$467,"&gt;=40",$I$7:$I$467,"N",$H$7:$H$467,"*Standard*",$D$7:$D$467,"&gt;64"))/$DE37</f>
        <v>0.8</v>
      </c>
      <c r="ED37" s="55">
        <f>(COUNTIFS(Table2821115[CO/17 Fold],"&gt;=4",$CQ$7:$CQ$467,"&gt;=40",$I$7:$I$467,"N",$H$7:$H$467,"*Standard*",$D$7:$D$467,"&gt;64"))/$DE37</f>
        <v>0.8</v>
      </c>
    </row>
    <row r="38" spans="1:134" s="10" customFormat="1" ht="24" customHeight="1">
      <c r="A38" s="321">
        <v>85</v>
      </c>
      <c r="B38" s="183">
        <v>35942</v>
      </c>
      <c r="C38" s="183">
        <v>43774</v>
      </c>
      <c r="D38" s="182">
        <v>21</v>
      </c>
      <c r="E38" s="3" t="s">
        <v>61</v>
      </c>
      <c r="F38" s="143" t="s">
        <v>116</v>
      </c>
      <c r="G38" s="142">
        <v>21.041891904000764</v>
      </c>
      <c r="H38" s="11" t="s">
        <v>59</v>
      </c>
      <c r="I38" s="281" t="s">
        <v>60</v>
      </c>
      <c r="J38" s="260">
        <v>5</v>
      </c>
      <c r="K38" s="260">
        <v>5</v>
      </c>
      <c r="L38" s="260"/>
      <c r="M38" s="260"/>
      <c r="N38" s="260"/>
      <c r="O38" s="260"/>
      <c r="P38" s="260"/>
      <c r="Q38" s="260"/>
      <c r="R38" s="260"/>
      <c r="S38" s="260"/>
      <c r="T38" s="260"/>
      <c r="U38" s="260"/>
      <c r="V38" s="260">
        <v>5</v>
      </c>
      <c r="W38" s="260">
        <v>5</v>
      </c>
      <c r="X38" s="260">
        <v>20</v>
      </c>
      <c r="Y38" s="260">
        <v>40</v>
      </c>
      <c r="Z38" s="260">
        <v>40</v>
      </c>
      <c r="AA38" s="260">
        <v>80</v>
      </c>
      <c r="AB38" s="260">
        <v>20</v>
      </c>
      <c r="AC38" s="260">
        <v>40</v>
      </c>
      <c r="AD38" s="260"/>
      <c r="AE38" s="260"/>
      <c r="AF38" s="260"/>
      <c r="AG38" s="260"/>
      <c r="AH38" s="32">
        <v>85</v>
      </c>
      <c r="AI38" s="272">
        <v>10</v>
      </c>
      <c r="AJ38" s="271">
        <v>10</v>
      </c>
      <c r="AK38" s="260"/>
      <c r="AL38" s="260"/>
      <c r="AM38" s="260"/>
      <c r="AN38" s="260"/>
      <c r="AO38" s="260"/>
      <c r="AP38" s="260"/>
      <c r="AQ38" s="260"/>
      <c r="AR38" s="260"/>
      <c r="AS38" s="260"/>
      <c r="AT38" s="260"/>
      <c r="AU38" s="260">
        <v>160</v>
      </c>
      <c r="AV38" s="271">
        <v>160</v>
      </c>
      <c r="AW38" s="260">
        <v>80</v>
      </c>
      <c r="AX38" s="271">
        <v>160</v>
      </c>
      <c r="AY38" s="260">
        <v>160</v>
      </c>
      <c r="AZ38" s="271">
        <v>320</v>
      </c>
      <c r="BA38" s="276">
        <v>80</v>
      </c>
      <c r="BB38" s="276">
        <v>160</v>
      </c>
      <c r="BC38" s="276"/>
      <c r="BD38" s="276"/>
      <c r="BE38" s="276">
        <v>5</v>
      </c>
      <c r="BF38" s="276">
        <v>10</v>
      </c>
      <c r="BG38" s="260">
        <v>80</v>
      </c>
      <c r="BH38" s="271">
        <v>160</v>
      </c>
      <c r="BI38" s="276"/>
      <c r="BJ38" s="276"/>
      <c r="BK38" s="276"/>
      <c r="BL38" s="275"/>
      <c r="BM38" s="320">
        <v>85</v>
      </c>
      <c r="BN38" s="272">
        <v>20</v>
      </c>
      <c r="BO38" s="270">
        <v>20</v>
      </c>
      <c r="BP38" s="272"/>
      <c r="BQ38" s="260"/>
      <c r="BR38" s="260"/>
      <c r="BS38" s="260"/>
      <c r="BT38" s="260"/>
      <c r="BU38" s="260"/>
      <c r="BV38" s="260">
        <v>10</v>
      </c>
      <c r="BW38" s="260">
        <v>40</v>
      </c>
      <c r="BX38" s="260"/>
      <c r="BY38" s="260"/>
      <c r="BZ38" s="260"/>
      <c r="CA38" s="260"/>
      <c r="CB38" s="260"/>
      <c r="CC38" s="260"/>
      <c r="CD38" s="260">
        <v>40</v>
      </c>
      <c r="CE38" s="260">
        <v>80</v>
      </c>
      <c r="CF38" s="272"/>
      <c r="CG38" s="260"/>
      <c r="CH38" s="260"/>
      <c r="CI38" s="260"/>
      <c r="CJ38" s="260"/>
      <c r="CK38" s="260"/>
      <c r="CL38" s="260"/>
      <c r="CM38" s="260"/>
      <c r="CN38" s="260">
        <v>10</v>
      </c>
      <c r="CO38" s="260">
        <v>20</v>
      </c>
      <c r="CP38" s="260">
        <v>10</v>
      </c>
      <c r="CQ38" s="260">
        <v>20</v>
      </c>
      <c r="CR38" s="260">
        <v>5</v>
      </c>
      <c r="CS38" s="270">
        <v>20</v>
      </c>
      <c r="CT38" s="319">
        <v>85</v>
      </c>
      <c r="CU38" s="249">
        <f>Table2821115[[#This Row],[D28 - BR/18]]/Table2821115[[#This Row],[D0 - BR/18]]</f>
        <v>2</v>
      </c>
      <c r="CV38" s="248">
        <f>Table2821115[[#This Row],[D28 - KS/17]]/Table2821115[[#This Row],[D0 - KS/17]]</f>
        <v>2</v>
      </c>
      <c r="CW38" s="248">
        <f>Table2821115[[#This Row],[D28 - Phu/13]]/Table2821115[[#This Row],[D0 - Phu/13]]</f>
        <v>2</v>
      </c>
      <c r="CX38" s="248">
        <f>Table2821115[[#This Row],[D28 - CO/17]]/Table2821115[[#This Row],[D0 - CO/17]]</f>
        <v>2</v>
      </c>
      <c r="CY38" s="248">
        <f>LOG(Table2821115[[#This Row],[BR/18 Fold]],2)</f>
        <v>1</v>
      </c>
      <c r="CZ38" s="248">
        <f>LOG(Table2821115[[#This Row],[KS/17 Fold]],2)</f>
        <v>1</v>
      </c>
      <c r="DA38" s="248">
        <f>LOG(Table2821115[[#This Row],[Phu/13 Fold]],2)</f>
        <v>1</v>
      </c>
      <c r="DB38" s="248">
        <f>LOG(Table2821115[[#This Row],[CO/17 Fold]],2)</f>
        <v>1</v>
      </c>
      <c r="DC38" s="248">
        <f>SUM(Table2821115[[#This Row],[BR/18 Log2]:[CO/17 Log2]])</f>
        <v>4</v>
      </c>
      <c r="DE38" s="42">
        <f>COUNTIFS($H$7:$H$467,"*High*",$I$7:$I$467,"N",$D$7:$D$467,"&gt;64")</f>
        <v>1</v>
      </c>
      <c r="DF38" s="340" t="s">
        <v>291</v>
      </c>
      <c r="DG38" s="39">
        <f>AVERAGEIFS($AB$7:$AB$467,$H$7:$H$467,"*High*",$I$7:$I$467,"N",$D$7:$D$467,"&gt;64")</f>
        <v>10</v>
      </c>
      <c r="DH38" s="338">
        <f>AVERAGEIFS($AC$7:$AC$467,$H$7:$H$467,"*High*",$I$7:$I$467,"N",$D$7:$D$467,"&gt;64")</f>
        <v>20</v>
      </c>
      <c r="DI38" s="338">
        <f t="shared" si="8"/>
        <v>1.3010299956639813</v>
      </c>
      <c r="DJ38" s="46">
        <f>(COUNTIFS($AB$7:$AB$467,"&gt;=40",$H$7:$H$467,"*High*",$I$7:$I$467,"N",$D$7:$D$467,"&gt;64"))/$DE38</f>
        <v>0</v>
      </c>
      <c r="DK38" s="46">
        <f>(COUNTIFS($AC$7:$AC$467,"&gt;=40",$I$7:$I$467,"N",$H$7:$H$467,"*High*",$D$7:$D$467,"&gt;64"))/$DE38</f>
        <v>0</v>
      </c>
      <c r="DL38" s="49">
        <f>(COUNTIFS(Table2821115[BR/18 Fold],"&gt;=4",$AC$7:$AC$467,"&gt;=40",$I$7:$I$467,"N",$H$7:$H$467,"*High*",$D$7:$D$467,"&gt;64"))/$DE38</f>
        <v>0</v>
      </c>
      <c r="DM38" s="39">
        <f>AVERAGEIFS($BE$7:$BE$467,$H$7:$H$467,"*High*",$I$7:$I$467,"N",$D$7:$D$467,"&gt;64")</f>
        <v>5</v>
      </c>
      <c r="DN38" s="338">
        <f>AVERAGEIFS($BF$7:$BF$467,$H$7:$H$467,"*High*",$I$7:$I$467,"N",$D$7:$D$467,"&gt;64")</f>
        <v>5</v>
      </c>
      <c r="DO38" s="338">
        <f t="shared" si="9"/>
        <v>1</v>
      </c>
      <c r="DP38" s="46">
        <f>(COUNTIFS($BE$7:$BE$467,"&gt;=40",$H$7:$H$467,"*High*",$I$7:$I$467,"N",$D$7:$D$467,"&gt;64"))/$DE38</f>
        <v>0</v>
      </c>
      <c r="DQ38" s="46">
        <f>(COUNTIFS($BF$7:$BF$467,"&gt;=40",$I$7:$I$467,"N",$H$7:$H$467,"*High*",$D$7:$D$467,"&gt;64"))/$DE38</f>
        <v>0</v>
      </c>
      <c r="DR38" s="49">
        <f>(COUNTIFS(Table2821115[KS/17 Fold],"&gt;=4",$BF$7:$BF$467,"&gt;=40",$I$7:$I$467,"N",$H$7:$H$467,"*High*",$D$7:$D$467,"&gt;64"))/$DE38</f>
        <v>0</v>
      </c>
      <c r="DS38" s="39">
        <f>AVERAGEIFS($CD$7:$CD$467,$H$7:$H$467,"*High*",$I$7:$I$467,"N",$D$7:$D$467,"&gt;64")</f>
        <v>80</v>
      </c>
      <c r="DT38" s="338">
        <f>AVERAGEIFS($CE$7:$CE$467,$H$7:$H$467,"*High*",$I$7:$I$467,"N",$D$7:$D$467,"&gt;64")</f>
        <v>40</v>
      </c>
      <c r="DU38" s="338">
        <f t="shared" si="10"/>
        <v>0.84182040906021782</v>
      </c>
      <c r="DV38" s="46">
        <f>(COUNTIFS($CD$7:$CD$467,"&gt;=40",$H$7:$H$467,"*High*",$I$7:$I$467,"N",$D$7:$D$467,"&gt;64"))/$DE38</f>
        <v>1</v>
      </c>
      <c r="DW38" s="46">
        <f>(COUNTIFS($CE$7:$CE$467,"&gt;=40",$I$7:$I$467,"N",$H$7:$H$467,"*High*",$D$7:$D$467,"&gt;64"))/$DE38</f>
        <v>1</v>
      </c>
      <c r="DX38" s="49">
        <f>(COUNTIFS(Table2821115[Phu/13 Fold],"&gt;=4",$CE$7:$CE$467,"&gt;=40",$I$7:$I$467,"N",$H$7:$H$467,"*High*",$D$7:$D$467,"&gt;64"))/$DE38</f>
        <v>0</v>
      </c>
      <c r="DY38" s="339">
        <f>AVERAGEIFS($CP$7:$CP$467,$H$7:$H$467,"*High*",$I$7:$I$467,"N",$D$7:$D$467,"&gt;64")</f>
        <v>20</v>
      </c>
      <c r="DZ38" s="338">
        <f>AVERAGEIFS($CQ$7:$CQ$467,$H$7:$H$467,"*High*",$I$7:$I$467,"N",$D$7:$D$467,"&gt;64")</f>
        <v>40</v>
      </c>
      <c r="EA38" s="338">
        <f t="shared" si="11"/>
        <v>1.2313782131597593</v>
      </c>
      <c r="EB38" s="46">
        <f>(COUNTIFS($CP$7:$CP$467,"&gt;=40",$H$7:$H$467,"*High*",$I$7:$I$467,"N",$D$7:$D$467,"&gt;64"))/$DE38</f>
        <v>0</v>
      </c>
      <c r="EC38" s="46">
        <f>(COUNTIFS($CQ$7:$CQ$467,"&gt;=40",$I$7:$I$467,"N",$H$7:$H$467,"*High*",$D$7:$D$467,"&gt;64"))/$DE38</f>
        <v>1</v>
      </c>
      <c r="ED38" s="54">
        <f>(COUNTIFS(Table2821115[CO/17 Fold],"&gt;=4",$CQ$7:$CQ$467,"&gt;=40",$I$7:$I$467,"N",$H$7:$H$467,"*High*",$D$7:$D$467,"&gt;64"))/$DE38</f>
        <v>0</v>
      </c>
    </row>
    <row r="39" spans="1:134" s="10" customFormat="1" ht="24" customHeight="1" thickBot="1">
      <c r="A39" s="318">
        <v>86</v>
      </c>
      <c r="B39" s="180">
        <v>21556</v>
      </c>
      <c r="C39" s="180">
        <v>43739</v>
      </c>
      <c r="D39" s="179">
        <v>60</v>
      </c>
      <c r="E39" s="4" t="s">
        <v>58</v>
      </c>
      <c r="F39" s="143" t="s">
        <v>116</v>
      </c>
      <c r="G39" s="142">
        <v>33.22690500070032</v>
      </c>
      <c r="H39" s="11" t="s">
        <v>59</v>
      </c>
      <c r="I39" s="281" t="s">
        <v>60</v>
      </c>
      <c r="J39" s="260">
        <v>5</v>
      </c>
      <c r="K39" s="260">
        <v>5</v>
      </c>
      <c r="L39" s="260"/>
      <c r="M39" s="260"/>
      <c r="N39" s="260"/>
      <c r="O39" s="260"/>
      <c r="P39" s="260"/>
      <c r="Q39" s="260"/>
      <c r="R39" s="260"/>
      <c r="S39" s="260"/>
      <c r="T39" s="260"/>
      <c r="U39" s="260"/>
      <c r="V39" s="260">
        <v>5</v>
      </c>
      <c r="W39" s="260">
        <v>5</v>
      </c>
      <c r="X39" s="260">
        <v>640</v>
      </c>
      <c r="Y39" s="260">
        <v>640</v>
      </c>
      <c r="Z39" s="260">
        <v>640</v>
      </c>
      <c r="AA39" s="260">
        <v>640</v>
      </c>
      <c r="AB39" s="260">
        <v>320</v>
      </c>
      <c r="AC39" s="260">
        <v>640</v>
      </c>
      <c r="AD39" s="260"/>
      <c r="AE39" s="260"/>
      <c r="AF39" s="260"/>
      <c r="AG39" s="260"/>
      <c r="AH39" s="195">
        <v>86</v>
      </c>
      <c r="AI39" s="272">
        <v>5</v>
      </c>
      <c r="AJ39" s="271">
        <v>10</v>
      </c>
      <c r="AK39" s="260"/>
      <c r="AL39" s="260"/>
      <c r="AM39" s="260"/>
      <c r="AN39" s="260"/>
      <c r="AO39" s="260"/>
      <c r="AP39" s="260"/>
      <c r="AQ39" s="260"/>
      <c r="AR39" s="260"/>
      <c r="AS39" s="260"/>
      <c r="AT39" s="260"/>
      <c r="AU39" s="260">
        <v>5</v>
      </c>
      <c r="AV39" s="271">
        <v>20</v>
      </c>
      <c r="AW39" s="260">
        <v>5</v>
      </c>
      <c r="AX39" s="271">
        <v>10</v>
      </c>
      <c r="AY39" s="260">
        <v>5</v>
      </c>
      <c r="AZ39" s="271">
        <v>10</v>
      </c>
      <c r="BA39" s="276">
        <v>5</v>
      </c>
      <c r="BB39" s="276">
        <v>20</v>
      </c>
      <c r="BC39" s="276"/>
      <c r="BD39" s="276"/>
      <c r="BE39" s="276">
        <v>5</v>
      </c>
      <c r="BF39" s="276">
        <v>5</v>
      </c>
      <c r="BG39" s="260">
        <v>5</v>
      </c>
      <c r="BH39" s="271">
        <v>20</v>
      </c>
      <c r="BI39" s="276"/>
      <c r="BJ39" s="276"/>
      <c r="BK39" s="276"/>
      <c r="BL39" s="275"/>
      <c r="BM39" s="316">
        <v>86</v>
      </c>
      <c r="BN39" s="272">
        <v>160</v>
      </c>
      <c r="BO39" s="270">
        <v>160</v>
      </c>
      <c r="BP39" s="272"/>
      <c r="BQ39" s="260"/>
      <c r="BR39" s="260"/>
      <c r="BS39" s="260"/>
      <c r="BT39" s="260"/>
      <c r="BU39" s="260"/>
      <c r="BV39" s="260">
        <v>80</v>
      </c>
      <c r="BW39" s="260">
        <v>80</v>
      </c>
      <c r="BX39" s="260"/>
      <c r="BY39" s="260"/>
      <c r="BZ39" s="260"/>
      <c r="CA39" s="260"/>
      <c r="CB39" s="260"/>
      <c r="CC39" s="260"/>
      <c r="CD39" s="260">
        <v>80</v>
      </c>
      <c r="CE39" s="260">
        <v>80</v>
      </c>
      <c r="CF39" s="272"/>
      <c r="CG39" s="260"/>
      <c r="CH39" s="260"/>
      <c r="CI39" s="260"/>
      <c r="CJ39" s="260"/>
      <c r="CK39" s="260"/>
      <c r="CL39" s="260"/>
      <c r="CM39" s="260"/>
      <c r="CN39" s="260">
        <v>40</v>
      </c>
      <c r="CO39" s="260">
        <v>40</v>
      </c>
      <c r="CP39" s="260">
        <v>40</v>
      </c>
      <c r="CQ39" s="260">
        <v>40</v>
      </c>
      <c r="CR39" s="260">
        <v>20</v>
      </c>
      <c r="CS39" s="270">
        <v>40</v>
      </c>
      <c r="CT39" s="315">
        <v>86</v>
      </c>
      <c r="CU39" s="249">
        <f>Table2821115[[#This Row],[D28 - BR/18]]/Table2821115[[#This Row],[D0 - BR/18]]</f>
        <v>2</v>
      </c>
      <c r="CV39" s="248">
        <f>Table2821115[[#This Row],[D28 - KS/17]]/Table2821115[[#This Row],[D0 - KS/17]]</f>
        <v>1</v>
      </c>
      <c r="CW39" s="248">
        <f>Table2821115[[#This Row],[D28 - Phu/13]]/Table2821115[[#This Row],[D0 - Phu/13]]</f>
        <v>1</v>
      </c>
      <c r="CX39" s="248">
        <f>Table2821115[[#This Row],[D28 - CO/17]]/Table2821115[[#This Row],[D0 - CO/17]]</f>
        <v>1</v>
      </c>
      <c r="CY39" s="248">
        <f>LOG(Table2821115[[#This Row],[BR/18 Fold]],2)</f>
        <v>1</v>
      </c>
      <c r="CZ39" s="248">
        <f>LOG(Table2821115[[#This Row],[KS/17 Fold]],2)</f>
        <v>0</v>
      </c>
      <c r="DA39" s="248">
        <f>LOG(Table2821115[[#This Row],[Phu/13 Fold]],2)</f>
        <v>0</v>
      </c>
      <c r="DB39" s="248">
        <f>LOG(Table2821115[[#This Row],[CO/17 Fold]],2)</f>
        <v>0</v>
      </c>
      <c r="DC39" s="248">
        <f>SUM(Table2821115[[#This Row],[BR/18 Log2]:[CO/17 Log2]])</f>
        <v>1</v>
      </c>
      <c r="DE39" s="43">
        <f>COUNTIF($I$7:$I$467,"N")</f>
        <v>71</v>
      </c>
      <c r="DF39" s="337" t="s">
        <v>278</v>
      </c>
      <c r="DG39" s="336">
        <f>AVERAGEIFS($AB$7:$AB$467,$I$7:$I$467,"N")</f>
        <v>39.859154929577464</v>
      </c>
      <c r="DH39" s="335">
        <f>AVERAGEIFS($AC$7:$AC$467,$I$7:$I$467,"N")</f>
        <v>137.46478873239437</v>
      </c>
      <c r="DI39" s="335">
        <f t="shared" si="8"/>
        <v>1.3359287391298591</v>
      </c>
      <c r="DJ39" s="56">
        <f>(COUNTIFS($AB$7:$AB$467,"&gt;=40",$I$7:$I$467,"N"))/$DE39</f>
        <v>0.28169014084507044</v>
      </c>
      <c r="DK39" s="56">
        <f>(COUNTIFS($I$7:$I$467,"N",$AC$7:$AC$467,"&gt;=40"))/$DE39</f>
        <v>0.77464788732394363</v>
      </c>
      <c r="DL39" s="57">
        <f>(COUNTIFS($I$7:$I$467,"N",$AC$7:$AC$467,"&gt;=40",Table2821115[BR/18 Fold],"&gt;=4"))/$DE39</f>
        <v>0.53521126760563376</v>
      </c>
      <c r="DM39" s="336">
        <f>AVERAGEIFS($BE$7:$BE$467,$I$7:$I$467,"N")</f>
        <v>14.577464788732394</v>
      </c>
      <c r="DN39" s="335">
        <f>AVERAGEIFS($BF$7:$BF$467,$I$7:$I$467,"N")</f>
        <v>125.49295774647888</v>
      </c>
      <c r="DO39" s="335">
        <f t="shared" si="9"/>
        <v>1.803430278530703</v>
      </c>
      <c r="DP39" s="56">
        <f>(COUNTIFS($BE$7:$BE$467,"&gt;=40",$I$7:$I$467,"N"))/$DE39</f>
        <v>7.0422535211267609E-2</v>
      </c>
      <c r="DQ39" s="56">
        <f>(COUNTIFS($I$7:$I$467,"N",$BF$7:$BF$467,"&gt;=40"))/$DE39</f>
        <v>0.6619718309859155</v>
      </c>
      <c r="DR39" s="57">
        <f>(COUNTIFS($I$7:$I$467,"N",$BF$7:$BF$467,"&gt;=40",Table2821115[KS/17 Fold],"&gt;=4"))/$DE39</f>
        <v>0.59154929577464788</v>
      </c>
      <c r="DS39" s="336">
        <f>AVERAGEIFS($CD$7:$CD$467,$I$7:$I$467,"N")</f>
        <v>48.309859154929576</v>
      </c>
      <c r="DT39" s="335">
        <f>AVERAGEIFS($CE$7:$CE$467,$I$7:$I$467,"N")</f>
        <v>261.83098591549293</v>
      </c>
      <c r="DU39" s="335">
        <f t="shared" si="10"/>
        <v>1.4358489779300807</v>
      </c>
      <c r="DV39" s="56">
        <f>(COUNTIFS($CD$7:$CD$467,"&gt;=40",$I$7:$I$467,"N"))/$DE39</f>
        <v>0.47887323943661969</v>
      </c>
      <c r="DW39" s="56">
        <f>(COUNTIFS($I$7:$I$467,"N",$CE$7:$CE$467,"&gt;=40"))/$DE39</f>
        <v>0.971830985915493</v>
      </c>
      <c r="DX39" s="57">
        <f>(COUNTIFS($I$7:$I$467,"N",$CE$7:$CE$467,"&gt;=40",Table2821115[Phu/13 Fold],"&gt;=4"))/$DE39</f>
        <v>0.6901408450704225</v>
      </c>
      <c r="DY39" s="336">
        <f>AVERAGEIFS($CP$7:$CP$467,$I$7:$I$467,"N")</f>
        <v>59.577464788732392</v>
      </c>
      <c r="DZ39" s="335">
        <f>AVERAGEIFS($CQ$7:$CQ$467,$I$7:$I$467,"N")</f>
        <v>196.97183098591549</v>
      </c>
      <c r="EA39" s="335">
        <f t="shared" si="11"/>
        <v>1.2925623142336358</v>
      </c>
      <c r="EB39" s="56">
        <f>(COUNTIFS($CP$7:$CP$467,"&gt;=40",$I$7:$I$467,"N"))/$DE39</f>
        <v>0.40845070422535212</v>
      </c>
      <c r="EC39" s="56">
        <f>(COUNTIFS($I$7:$I$467,"N",$CQ$7:$CQ$467,"&gt;=40"))/$DE39</f>
        <v>0.90140845070422537</v>
      </c>
      <c r="ED39" s="58">
        <f>(COUNTIFS($I$7:$I$467,"N",$CQ$7:$CQ$467,"&gt;=40",Table2821115[CO/17 Fold],"&gt;=4"))/$DE39</f>
        <v>0.53521126760563376</v>
      </c>
    </row>
    <row r="40" spans="1:134" s="10" customFormat="1" ht="24" customHeight="1">
      <c r="A40" s="318">
        <v>89</v>
      </c>
      <c r="B40" s="180">
        <v>22209</v>
      </c>
      <c r="C40" s="180">
        <v>43739</v>
      </c>
      <c r="D40" s="179">
        <v>58</v>
      </c>
      <c r="E40" s="4" t="s">
        <v>58</v>
      </c>
      <c r="F40" s="143" t="s">
        <v>116</v>
      </c>
      <c r="G40" s="142">
        <v>31.695288876117651</v>
      </c>
      <c r="H40" s="11" t="s">
        <v>59</v>
      </c>
      <c r="I40" s="281" t="s">
        <v>60</v>
      </c>
      <c r="J40" s="260">
        <v>5</v>
      </c>
      <c r="K40" s="260">
        <v>5</v>
      </c>
      <c r="L40" s="260"/>
      <c r="M40" s="260"/>
      <c r="N40" s="260"/>
      <c r="O40" s="260"/>
      <c r="P40" s="260"/>
      <c r="Q40" s="260"/>
      <c r="R40" s="260"/>
      <c r="S40" s="260"/>
      <c r="T40" s="260"/>
      <c r="U40" s="260"/>
      <c r="V40" s="260">
        <v>5</v>
      </c>
      <c r="W40" s="260">
        <v>5</v>
      </c>
      <c r="X40" s="260">
        <v>320</v>
      </c>
      <c r="Y40" s="260">
        <v>640</v>
      </c>
      <c r="Z40" s="260">
        <v>320</v>
      </c>
      <c r="AA40" s="260">
        <v>640</v>
      </c>
      <c r="AB40" s="260">
        <v>160</v>
      </c>
      <c r="AC40" s="260">
        <v>320</v>
      </c>
      <c r="AD40" s="260"/>
      <c r="AE40" s="260"/>
      <c r="AF40" s="260"/>
      <c r="AG40" s="260"/>
      <c r="AH40" s="195">
        <v>89</v>
      </c>
      <c r="AI40" s="272">
        <v>5</v>
      </c>
      <c r="AJ40" s="271">
        <v>40</v>
      </c>
      <c r="AK40" s="260"/>
      <c r="AL40" s="260"/>
      <c r="AM40" s="260"/>
      <c r="AN40" s="260"/>
      <c r="AO40" s="260"/>
      <c r="AP40" s="260"/>
      <c r="AQ40" s="260"/>
      <c r="AR40" s="260"/>
      <c r="AS40" s="260"/>
      <c r="AT40" s="260"/>
      <c r="AU40" s="260">
        <v>10</v>
      </c>
      <c r="AV40" s="271">
        <v>320</v>
      </c>
      <c r="AW40" s="260">
        <v>5</v>
      </c>
      <c r="AX40" s="271">
        <v>320</v>
      </c>
      <c r="AY40" s="260">
        <v>20</v>
      </c>
      <c r="AZ40" s="271">
        <v>320</v>
      </c>
      <c r="BA40" s="276">
        <v>20</v>
      </c>
      <c r="BB40" s="276">
        <v>320</v>
      </c>
      <c r="BC40" s="276"/>
      <c r="BD40" s="276"/>
      <c r="BE40" s="276">
        <v>10</v>
      </c>
      <c r="BF40" s="276">
        <v>320</v>
      </c>
      <c r="BG40" s="260">
        <v>20</v>
      </c>
      <c r="BH40" s="271">
        <v>160</v>
      </c>
      <c r="BI40" s="276"/>
      <c r="BJ40" s="276"/>
      <c r="BK40" s="276"/>
      <c r="BL40" s="275"/>
      <c r="BM40" s="316">
        <v>89</v>
      </c>
      <c r="BN40" s="272">
        <v>160</v>
      </c>
      <c r="BO40" s="270">
        <v>320</v>
      </c>
      <c r="BP40" s="272"/>
      <c r="BQ40" s="260"/>
      <c r="BR40" s="260"/>
      <c r="BS40" s="260"/>
      <c r="BT40" s="260"/>
      <c r="BU40" s="260"/>
      <c r="BV40" s="260">
        <v>80</v>
      </c>
      <c r="BW40" s="260">
        <v>160</v>
      </c>
      <c r="BX40" s="260"/>
      <c r="BY40" s="260"/>
      <c r="BZ40" s="260"/>
      <c r="CA40" s="260"/>
      <c r="CB40" s="260"/>
      <c r="CC40" s="260"/>
      <c r="CD40" s="260">
        <v>80</v>
      </c>
      <c r="CE40" s="260">
        <v>160</v>
      </c>
      <c r="CF40" s="272"/>
      <c r="CG40" s="260"/>
      <c r="CH40" s="260"/>
      <c r="CI40" s="260"/>
      <c r="CJ40" s="260"/>
      <c r="CK40" s="260"/>
      <c r="CL40" s="260"/>
      <c r="CM40" s="260"/>
      <c r="CN40" s="260">
        <v>20</v>
      </c>
      <c r="CO40" s="260">
        <v>40</v>
      </c>
      <c r="CP40" s="260">
        <v>40</v>
      </c>
      <c r="CQ40" s="260">
        <v>80</v>
      </c>
      <c r="CR40" s="260">
        <v>20</v>
      </c>
      <c r="CS40" s="270">
        <v>80</v>
      </c>
      <c r="CT40" s="315">
        <v>89</v>
      </c>
      <c r="CU40" s="249">
        <f>Table2821115[[#This Row],[D28 - BR/18]]/Table2821115[[#This Row],[D0 - BR/18]]</f>
        <v>2</v>
      </c>
      <c r="CV40" s="248">
        <f>Table2821115[[#This Row],[D28 - KS/17]]/Table2821115[[#This Row],[D0 - KS/17]]</f>
        <v>32</v>
      </c>
      <c r="CW40" s="248">
        <f>Table2821115[[#This Row],[D28 - Phu/13]]/Table2821115[[#This Row],[D0 - Phu/13]]</f>
        <v>2</v>
      </c>
      <c r="CX40" s="248">
        <f>Table2821115[[#This Row],[D28 - CO/17]]/Table2821115[[#This Row],[D0 - CO/17]]</f>
        <v>2</v>
      </c>
      <c r="CY40" s="248">
        <f>LOG(Table2821115[[#This Row],[BR/18 Fold]],2)</f>
        <v>1</v>
      </c>
      <c r="CZ40" s="248">
        <f>LOG(Table2821115[[#This Row],[KS/17 Fold]],2)</f>
        <v>5</v>
      </c>
      <c r="DA40" s="248">
        <f>LOG(Table2821115[[#This Row],[Phu/13 Fold]],2)</f>
        <v>1</v>
      </c>
      <c r="DB40" s="248">
        <f>LOG(Table2821115[[#This Row],[CO/17 Fold]],2)</f>
        <v>1</v>
      </c>
      <c r="DC40" s="248">
        <f>SUM(Table2821115[[#This Row],[BR/18 Log2]:[CO/17 Log2]])</f>
        <v>8</v>
      </c>
      <c r="DE40" s="488" t="s">
        <v>289</v>
      </c>
      <c r="DF40" s="489"/>
      <c r="DG40" s="489"/>
      <c r="DH40" s="489"/>
      <c r="DI40" s="489"/>
      <c r="DJ40" s="489"/>
      <c r="DK40" s="489"/>
      <c r="DL40" s="489"/>
      <c r="DM40" s="489"/>
      <c r="DN40" s="489"/>
      <c r="DO40" s="489"/>
      <c r="DP40" s="489"/>
      <c r="DQ40" s="489"/>
      <c r="DR40" s="489"/>
      <c r="DS40" s="489"/>
      <c r="DT40" s="489"/>
      <c r="DU40" s="489"/>
      <c r="DV40" s="489"/>
      <c r="DW40" s="489"/>
      <c r="DX40" s="489"/>
      <c r="DY40" s="489"/>
      <c r="DZ40" s="489"/>
      <c r="EA40" s="489"/>
      <c r="EB40" s="489"/>
      <c r="EC40" s="489"/>
      <c r="ED40" s="490"/>
    </row>
    <row r="41" spans="1:134" ht="24" customHeight="1" thickBot="1">
      <c r="A41" s="321">
        <v>99</v>
      </c>
      <c r="B41" s="183">
        <v>35046</v>
      </c>
      <c r="C41" s="183">
        <v>43853</v>
      </c>
      <c r="D41" s="182">
        <v>24</v>
      </c>
      <c r="E41" s="3" t="s">
        <v>61</v>
      </c>
      <c r="F41" s="143" t="s">
        <v>116</v>
      </c>
      <c r="G41" s="142">
        <v>19.880383574459554</v>
      </c>
      <c r="H41" s="11" t="s">
        <v>59</v>
      </c>
      <c r="I41" s="281" t="s">
        <v>60</v>
      </c>
      <c r="J41" s="260">
        <v>5</v>
      </c>
      <c r="K41" s="260">
        <v>5</v>
      </c>
      <c r="L41" s="260"/>
      <c r="M41" s="260"/>
      <c r="N41" s="260"/>
      <c r="O41" s="260"/>
      <c r="P41" s="260"/>
      <c r="Q41" s="260"/>
      <c r="R41" s="260"/>
      <c r="S41" s="260"/>
      <c r="T41" s="260"/>
      <c r="U41" s="260"/>
      <c r="V41" s="260">
        <v>5</v>
      </c>
      <c r="W41" s="260">
        <v>5</v>
      </c>
      <c r="X41" s="260">
        <v>160</v>
      </c>
      <c r="Y41" s="260">
        <v>160</v>
      </c>
      <c r="Z41" s="260">
        <v>160</v>
      </c>
      <c r="AA41" s="260">
        <v>320</v>
      </c>
      <c r="AB41" s="260">
        <v>80</v>
      </c>
      <c r="AC41" s="260">
        <v>160</v>
      </c>
      <c r="AD41" s="260"/>
      <c r="AE41" s="260"/>
      <c r="AF41" s="260"/>
      <c r="AG41" s="260"/>
      <c r="AH41" s="32">
        <v>99</v>
      </c>
      <c r="AI41" s="272">
        <v>320</v>
      </c>
      <c r="AJ41" s="271">
        <v>320</v>
      </c>
      <c r="AK41" s="260"/>
      <c r="AL41" s="260"/>
      <c r="AM41" s="260"/>
      <c r="AN41" s="260"/>
      <c r="AO41" s="260"/>
      <c r="AP41" s="260"/>
      <c r="AQ41" s="260"/>
      <c r="AR41" s="260"/>
      <c r="AS41" s="260"/>
      <c r="AT41" s="260"/>
      <c r="AU41" s="260">
        <v>320</v>
      </c>
      <c r="AV41" s="271">
        <v>640</v>
      </c>
      <c r="AW41" s="260">
        <v>160</v>
      </c>
      <c r="AX41" s="271">
        <v>320</v>
      </c>
      <c r="AY41" s="260">
        <v>320</v>
      </c>
      <c r="AZ41" s="271">
        <v>320</v>
      </c>
      <c r="BA41" s="276">
        <v>160</v>
      </c>
      <c r="BB41" s="276">
        <v>320</v>
      </c>
      <c r="BC41" s="276"/>
      <c r="BD41" s="276"/>
      <c r="BE41" s="276">
        <v>160</v>
      </c>
      <c r="BF41" s="276">
        <v>160</v>
      </c>
      <c r="BG41" s="260">
        <v>320</v>
      </c>
      <c r="BH41" s="271">
        <v>640</v>
      </c>
      <c r="BI41" s="276"/>
      <c r="BJ41" s="276"/>
      <c r="BK41" s="276"/>
      <c r="BL41" s="275"/>
      <c r="BM41" s="320">
        <v>99</v>
      </c>
      <c r="BN41" s="272">
        <v>40</v>
      </c>
      <c r="BO41" s="270">
        <v>80</v>
      </c>
      <c r="BP41" s="272"/>
      <c r="BQ41" s="260"/>
      <c r="BR41" s="260"/>
      <c r="BS41" s="260"/>
      <c r="BT41" s="260"/>
      <c r="BU41" s="260"/>
      <c r="BV41" s="260">
        <v>160</v>
      </c>
      <c r="BW41" s="260">
        <v>320</v>
      </c>
      <c r="BX41" s="260"/>
      <c r="BY41" s="260"/>
      <c r="BZ41" s="260"/>
      <c r="CA41" s="260"/>
      <c r="CB41" s="260"/>
      <c r="CC41" s="260"/>
      <c r="CD41" s="260">
        <v>320</v>
      </c>
      <c r="CE41" s="260">
        <v>320</v>
      </c>
      <c r="CF41" s="272"/>
      <c r="CG41" s="260"/>
      <c r="CH41" s="260"/>
      <c r="CI41" s="260"/>
      <c r="CJ41" s="260"/>
      <c r="CK41" s="260"/>
      <c r="CL41" s="260"/>
      <c r="CM41" s="260"/>
      <c r="CN41" s="260">
        <v>80</v>
      </c>
      <c r="CO41" s="260">
        <v>80</v>
      </c>
      <c r="CP41" s="260">
        <v>80</v>
      </c>
      <c r="CQ41" s="260">
        <v>80</v>
      </c>
      <c r="CR41" s="260">
        <v>20</v>
      </c>
      <c r="CS41" s="270">
        <v>40</v>
      </c>
      <c r="CT41" s="319">
        <v>99</v>
      </c>
      <c r="CU41" s="249">
        <f>Table2821115[[#This Row],[D28 - BR/18]]/Table2821115[[#This Row],[D0 - BR/18]]</f>
        <v>2</v>
      </c>
      <c r="CV41" s="248">
        <f>Table2821115[[#This Row],[D28 - KS/17]]/Table2821115[[#This Row],[D0 - KS/17]]</f>
        <v>1</v>
      </c>
      <c r="CW41" s="248">
        <f>Table2821115[[#This Row],[D28 - Phu/13]]/Table2821115[[#This Row],[D0 - Phu/13]]</f>
        <v>1</v>
      </c>
      <c r="CX41" s="248">
        <f>Table2821115[[#This Row],[D28 - CO/17]]/Table2821115[[#This Row],[D0 - CO/17]]</f>
        <v>1</v>
      </c>
      <c r="CY41" s="248">
        <f>LOG(Table2821115[[#This Row],[BR/18 Fold]],2)</f>
        <v>1</v>
      </c>
      <c r="CZ41" s="248">
        <f>LOG(Table2821115[[#This Row],[KS/17 Fold]],2)</f>
        <v>0</v>
      </c>
      <c r="DA41" s="248">
        <f>LOG(Table2821115[[#This Row],[Phu/13 Fold]],2)</f>
        <v>0</v>
      </c>
      <c r="DB41" s="248">
        <f>LOG(Table2821115[[#This Row],[CO/17 Fold]],2)</f>
        <v>0</v>
      </c>
      <c r="DC41" s="248">
        <f>SUM(Table2821115[[#This Row],[BR/18 Log2]:[CO/17 Log2]])</f>
        <v>1</v>
      </c>
      <c r="DE41" s="491"/>
      <c r="DF41" s="492"/>
      <c r="DG41" s="492"/>
      <c r="DH41" s="492"/>
      <c r="DI41" s="492"/>
      <c r="DJ41" s="492"/>
      <c r="DK41" s="492"/>
      <c r="DL41" s="492"/>
      <c r="DM41" s="492"/>
      <c r="DN41" s="492"/>
      <c r="DO41" s="492"/>
      <c r="DP41" s="492"/>
      <c r="DQ41" s="492"/>
      <c r="DR41" s="492"/>
      <c r="DS41" s="492"/>
      <c r="DT41" s="492"/>
      <c r="DU41" s="492"/>
      <c r="DV41" s="492"/>
      <c r="DW41" s="492"/>
      <c r="DX41" s="492"/>
      <c r="DY41" s="492"/>
      <c r="DZ41" s="492"/>
      <c r="EA41" s="492"/>
      <c r="EB41" s="492"/>
      <c r="EC41" s="492"/>
      <c r="ED41" s="493"/>
    </row>
    <row r="42" spans="1:134" ht="24" customHeight="1">
      <c r="A42" s="324">
        <v>100</v>
      </c>
      <c r="B42" s="190">
        <v>25574</v>
      </c>
      <c r="C42" s="190">
        <v>43760</v>
      </c>
      <c r="D42" s="189">
        <v>49</v>
      </c>
      <c r="E42" s="3" t="s">
        <v>61</v>
      </c>
      <c r="F42" s="143" t="s">
        <v>116</v>
      </c>
      <c r="G42" s="142">
        <v>33.371428571428574</v>
      </c>
      <c r="H42" s="11" t="s">
        <v>59</v>
      </c>
      <c r="I42" s="281" t="s">
        <v>60</v>
      </c>
      <c r="J42" s="260">
        <v>5</v>
      </c>
      <c r="K42" s="260">
        <v>10</v>
      </c>
      <c r="L42" s="260"/>
      <c r="M42" s="260"/>
      <c r="N42" s="260"/>
      <c r="O42" s="260"/>
      <c r="P42" s="260"/>
      <c r="Q42" s="260"/>
      <c r="R42" s="260"/>
      <c r="S42" s="260"/>
      <c r="T42" s="260"/>
      <c r="U42" s="260"/>
      <c r="V42" s="260">
        <v>5</v>
      </c>
      <c r="W42" s="260">
        <v>5</v>
      </c>
      <c r="X42" s="260">
        <v>10</v>
      </c>
      <c r="Y42" s="260">
        <v>40</v>
      </c>
      <c r="Z42" s="260">
        <v>10</v>
      </c>
      <c r="AA42" s="260">
        <v>40</v>
      </c>
      <c r="AB42" s="260">
        <v>5</v>
      </c>
      <c r="AC42" s="260">
        <v>20</v>
      </c>
      <c r="AD42" s="260"/>
      <c r="AE42" s="260"/>
      <c r="AF42" s="260"/>
      <c r="AG42" s="260"/>
      <c r="AH42" s="198">
        <v>100</v>
      </c>
      <c r="AI42" s="272">
        <v>5</v>
      </c>
      <c r="AJ42" s="271">
        <v>5</v>
      </c>
      <c r="AK42" s="260"/>
      <c r="AL42" s="260"/>
      <c r="AM42" s="260"/>
      <c r="AN42" s="260"/>
      <c r="AO42" s="260"/>
      <c r="AP42" s="260"/>
      <c r="AQ42" s="260"/>
      <c r="AR42" s="260"/>
      <c r="AS42" s="260"/>
      <c r="AT42" s="260"/>
      <c r="AU42" s="260">
        <v>20</v>
      </c>
      <c r="AV42" s="271">
        <v>40</v>
      </c>
      <c r="AW42" s="260">
        <v>20</v>
      </c>
      <c r="AX42" s="271">
        <v>80</v>
      </c>
      <c r="AY42" s="260">
        <v>10</v>
      </c>
      <c r="AZ42" s="271">
        <v>10</v>
      </c>
      <c r="BA42" s="276">
        <v>5</v>
      </c>
      <c r="BB42" s="276">
        <v>10</v>
      </c>
      <c r="BC42" s="276"/>
      <c r="BD42" s="276"/>
      <c r="BE42" s="276">
        <v>20</v>
      </c>
      <c r="BF42" s="276">
        <v>160</v>
      </c>
      <c r="BG42" s="260">
        <v>10</v>
      </c>
      <c r="BH42" s="271">
        <v>20</v>
      </c>
      <c r="BI42" s="276"/>
      <c r="BJ42" s="276"/>
      <c r="BK42" s="276"/>
      <c r="BL42" s="275"/>
      <c r="BM42" s="323">
        <v>100</v>
      </c>
      <c r="BN42" s="272">
        <v>5</v>
      </c>
      <c r="BO42" s="270">
        <v>10</v>
      </c>
      <c r="BP42" s="272"/>
      <c r="BQ42" s="260"/>
      <c r="BR42" s="260"/>
      <c r="BS42" s="260"/>
      <c r="BT42" s="260"/>
      <c r="BU42" s="260"/>
      <c r="BV42" s="260">
        <v>5</v>
      </c>
      <c r="BW42" s="260">
        <v>20</v>
      </c>
      <c r="BX42" s="260"/>
      <c r="BY42" s="260"/>
      <c r="BZ42" s="260"/>
      <c r="CA42" s="260"/>
      <c r="CB42" s="260"/>
      <c r="CC42" s="260"/>
      <c r="CD42" s="260">
        <v>10</v>
      </c>
      <c r="CE42" s="260">
        <v>20</v>
      </c>
      <c r="CF42" s="272"/>
      <c r="CG42" s="260"/>
      <c r="CH42" s="260"/>
      <c r="CI42" s="260"/>
      <c r="CJ42" s="260"/>
      <c r="CK42" s="260"/>
      <c r="CL42" s="260"/>
      <c r="CM42" s="260"/>
      <c r="CN42" s="260">
        <v>20</v>
      </c>
      <c r="CO42" s="260">
        <v>40</v>
      </c>
      <c r="CP42" s="260">
        <v>20</v>
      </c>
      <c r="CQ42" s="260">
        <v>40</v>
      </c>
      <c r="CR42" s="260">
        <v>20</v>
      </c>
      <c r="CS42" s="270">
        <v>40</v>
      </c>
      <c r="CT42" s="322">
        <v>100</v>
      </c>
      <c r="CU42" s="249">
        <f>Table2821115[[#This Row],[D28 - BR/18]]/Table2821115[[#This Row],[D0 - BR/18]]</f>
        <v>4</v>
      </c>
      <c r="CV42" s="248">
        <f>Table2821115[[#This Row],[D28 - KS/17]]/Table2821115[[#This Row],[D0 - KS/17]]</f>
        <v>8</v>
      </c>
      <c r="CW42" s="248">
        <f>Table2821115[[#This Row],[D28 - Phu/13]]/Table2821115[[#This Row],[D0 - Phu/13]]</f>
        <v>2</v>
      </c>
      <c r="CX42" s="248">
        <f>Table2821115[[#This Row],[D28 - CO/17]]/Table2821115[[#This Row],[D0 - CO/17]]</f>
        <v>2</v>
      </c>
      <c r="CY42" s="248">
        <f>LOG(Table2821115[[#This Row],[BR/18 Fold]],2)</f>
        <v>2</v>
      </c>
      <c r="CZ42" s="248">
        <f>LOG(Table2821115[[#This Row],[KS/17 Fold]],2)</f>
        <v>3</v>
      </c>
      <c r="DA42" s="248">
        <f>LOG(Table2821115[[#This Row],[Phu/13 Fold]],2)</f>
        <v>1</v>
      </c>
      <c r="DB42" s="248">
        <f>LOG(Table2821115[[#This Row],[CO/17 Fold]],2)</f>
        <v>1</v>
      </c>
      <c r="DC42" s="248">
        <f>SUM(Table2821115[[#This Row],[BR/18 Log2]:[CO/17 Log2]])</f>
        <v>7</v>
      </c>
    </row>
    <row r="43" spans="1:134" ht="24" customHeight="1">
      <c r="A43" s="318">
        <v>108</v>
      </c>
      <c r="B43" s="180">
        <v>23017</v>
      </c>
      <c r="C43" s="180">
        <v>43840</v>
      </c>
      <c r="D43" s="179">
        <v>57</v>
      </c>
      <c r="E43" s="4" t="s">
        <v>58</v>
      </c>
      <c r="F43" s="143" t="s">
        <v>116</v>
      </c>
      <c r="G43" s="142">
        <v>23.3</v>
      </c>
      <c r="H43" s="11" t="s">
        <v>59</v>
      </c>
      <c r="I43" s="281" t="s">
        <v>62</v>
      </c>
      <c r="J43" s="260">
        <v>5</v>
      </c>
      <c r="K43" s="260">
        <v>5</v>
      </c>
      <c r="L43" s="260"/>
      <c r="M43" s="260"/>
      <c r="N43" s="260"/>
      <c r="O43" s="260"/>
      <c r="P43" s="260"/>
      <c r="Q43" s="260"/>
      <c r="R43" s="260"/>
      <c r="S43" s="260"/>
      <c r="T43" s="260"/>
      <c r="U43" s="260"/>
      <c r="V43" s="260">
        <v>5</v>
      </c>
      <c r="W43" s="260">
        <v>20</v>
      </c>
      <c r="X43" s="260">
        <v>5</v>
      </c>
      <c r="Y43" s="260">
        <v>10</v>
      </c>
      <c r="Z43" s="260">
        <v>10</v>
      </c>
      <c r="AA43" s="260">
        <v>80</v>
      </c>
      <c r="AB43" s="260">
        <v>10</v>
      </c>
      <c r="AC43" s="260">
        <v>80</v>
      </c>
      <c r="AD43" s="260"/>
      <c r="AE43" s="260"/>
      <c r="AF43" s="260"/>
      <c r="AG43" s="260"/>
      <c r="AH43" s="195">
        <v>108</v>
      </c>
      <c r="AI43" s="272">
        <v>5</v>
      </c>
      <c r="AJ43" s="271">
        <v>40</v>
      </c>
      <c r="AK43" s="260"/>
      <c r="AL43" s="260"/>
      <c r="AM43" s="260"/>
      <c r="AN43" s="260"/>
      <c r="AO43" s="260"/>
      <c r="AP43" s="260"/>
      <c r="AQ43" s="260"/>
      <c r="AR43" s="260"/>
      <c r="AS43" s="260"/>
      <c r="AT43" s="260"/>
      <c r="AU43" s="260">
        <v>5</v>
      </c>
      <c r="AV43" s="271">
        <v>160</v>
      </c>
      <c r="AW43" s="260">
        <v>5</v>
      </c>
      <c r="AX43" s="271">
        <v>320</v>
      </c>
      <c r="AY43" s="260">
        <v>5</v>
      </c>
      <c r="AZ43" s="271">
        <v>5</v>
      </c>
      <c r="BA43" s="276">
        <v>5</v>
      </c>
      <c r="BB43" s="276">
        <v>160</v>
      </c>
      <c r="BC43" s="276"/>
      <c r="BD43" s="276"/>
      <c r="BE43" s="276">
        <v>5</v>
      </c>
      <c r="BF43" s="276">
        <v>160</v>
      </c>
      <c r="BG43" s="260">
        <v>10</v>
      </c>
      <c r="BH43" s="271">
        <v>160</v>
      </c>
      <c r="BI43" s="276"/>
      <c r="BJ43" s="276"/>
      <c r="BK43" s="276"/>
      <c r="BL43" s="275"/>
      <c r="BM43" s="316">
        <v>108</v>
      </c>
      <c r="BN43" s="272">
        <v>40</v>
      </c>
      <c r="BO43" s="270">
        <v>80</v>
      </c>
      <c r="BP43" s="272"/>
      <c r="BQ43" s="260"/>
      <c r="BR43" s="260"/>
      <c r="BS43" s="260"/>
      <c r="BT43" s="260"/>
      <c r="BU43" s="260"/>
      <c r="BV43" s="260">
        <v>5</v>
      </c>
      <c r="BW43" s="260">
        <v>5</v>
      </c>
      <c r="BX43" s="260"/>
      <c r="BY43" s="260"/>
      <c r="BZ43" s="260"/>
      <c r="CA43" s="260"/>
      <c r="CB43" s="260"/>
      <c r="CC43" s="260"/>
      <c r="CD43" s="260">
        <v>160</v>
      </c>
      <c r="CE43" s="260">
        <v>320</v>
      </c>
      <c r="CF43" s="272"/>
      <c r="CG43" s="260"/>
      <c r="CH43" s="260"/>
      <c r="CI43" s="260"/>
      <c r="CJ43" s="260"/>
      <c r="CK43" s="260"/>
      <c r="CL43" s="260"/>
      <c r="CM43" s="260"/>
      <c r="CN43" s="260">
        <v>160</v>
      </c>
      <c r="CO43" s="260">
        <v>320</v>
      </c>
      <c r="CP43" s="260">
        <v>160</v>
      </c>
      <c r="CQ43" s="260">
        <v>320</v>
      </c>
      <c r="CR43" s="260">
        <v>160</v>
      </c>
      <c r="CS43" s="270">
        <v>320</v>
      </c>
      <c r="CT43" s="315">
        <v>108</v>
      </c>
      <c r="CU43" s="249">
        <f>Table2821115[[#This Row],[D28 - BR/18]]/Table2821115[[#This Row],[D0 - BR/18]]</f>
        <v>8</v>
      </c>
      <c r="CV43" s="248">
        <f>Table2821115[[#This Row],[D28 - KS/17]]/Table2821115[[#This Row],[D0 - KS/17]]</f>
        <v>32</v>
      </c>
      <c r="CW43" s="248">
        <f>Table2821115[[#This Row],[D28 - Phu/13]]/Table2821115[[#This Row],[D0 - Phu/13]]</f>
        <v>2</v>
      </c>
      <c r="CX43" s="248">
        <f>Table2821115[[#This Row],[D28 - CO/17]]/Table2821115[[#This Row],[D0 - CO/17]]</f>
        <v>2</v>
      </c>
      <c r="CY43" s="248">
        <f>LOG(Table2821115[[#This Row],[BR/18 Fold]],2)</f>
        <v>3</v>
      </c>
      <c r="CZ43" s="248">
        <f>LOG(Table2821115[[#This Row],[KS/17 Fold]],2)</f>
        <v>5</v>
      </c>
      <c r="DA43" s="248">
        <f>LOG(Table2821115[[#This Row],[Phu/13 Fold]],2)</f>
        <v>1</v>
      </c>
      <c r="DB43" s="248">
        <f>LOG(Table2821115[[#This Row],[CO/17 Fold]],2)</f>
        <v>1</v>
      </c>
      <c r="DC43" s="248">
        <f>SUM(Table2821115[[#This Row],[BR/18 Log2]:[CO/17 Log2]])</f>
        <v>10</v>
      </c>
    </row>
    <row r="44" spans="1:134" ht="24" customHeight="1">
      <c r="A44" s="321">
        <v>118</v>
      </c>
      <c r="B44" s="183">
        <v>34605</v>
      </c>
      <c r="C44" s="183">
        <v>43754</v>
      </c>
      <c r="D44" s="182">
        <v>25</v>
      </c>
      <c r="E44" s="3" t="s">
        <v>61</v>
      </c>
      <c r="F44" s="143" t="s">
        <v>116</v>
      </c>
      <c r="G44" s="142">
        <v>21.26</v>
      </c>
      <c r="H44" s="11" t="s">
        <v>59</v>
      </c>
      <c r="I44" s="281" t="s">
        <v>60</v>
      </c>
      <c r="J44" s="260">
        <v>5</v>
      </c>
      <c r="K44" s="260">
        <v>5</v>
      </c>
      <c r="L44" s="260"/>
      <c r="M44" s="260"/>
      <c r="N44" s="260"/>
      <c r="O44" s="260"/>
      <c r="P44" s="260"/>
      <c r="Q44" s="260"/>
      <c r="R44" s="260"/>
      <c r="S44" s="260"/>
      <c r="T44" s="260"/>
      <c r="U44" s="260"/>
      <c r="V44" s="260">
        <v>5</v>
      </c>
      <c r="W44" s="260">
        <v>5</v>
      </c>
      <c r="X44" s="260">
        <v>40</v>
      </c>
      <c r="Y44" s="260">
        <v>80</v>
      </c>
      <c r="Z44" s="260">
        <v>40</v>
      </c>
      <c r="AA44" s="260">
        <v>80</v>
      </c>
      <c r="AB44" s="260">
        <v>40</v>
      </c>
      <c r="AC44" s="260">
        <v>80</v>
      </c>
      <c r="AD44" s="260"/>
      <c r="AE44" s="260"/>
      <c r="AF44" s="260"/>
      <c r="AG44" s="260"/>
      <c r="AH44" s="32">
        <v>118</v>
      </c>
      <c r="AI44" s="272">
        <v>80</v>
      </c>
      <c r="AJ44" s="271">
        <v>80</v>
      </c>
      <c r="AK44" s="260"/>
      <c r="AL44" s="260"/>
      <c r="AM44" s="260"/>
      <c r="AN44" s="260"/>
      <c r="AO44" s="260"/>
      <c r="AP44" s="260"/>
      <c r="AQ44" s="260"/>
      <c r="AR44" s="260"/>
      <c r="AS44" s="260"/>
      <c r="AT44" s="260"/>
      <c r="AU44" s="260">
        <v>160</v>
      </c>
      <c r="AV44" s="271">
        <v>640</v>
      </c>
      <c r="AW44" s="260">
        <v>80</v>
      </c>
      <c r="AX44" s="271">
        <v>640</v>
      </c>
      <c r="AY44" s="260">
        <v>80</v>
      </c>
      <c r="AZ44" s="271">
        <v>320</v>
      </c>
      <c r="BA44" s="276">
        <v>80</v>
      </c>
      <c r="BB44" s="276">
        <v>320</v>
      </c>
      <c r="BC44" s="276"/>
      <c r="BD44" s="276"/>
      <c r="BE44" s="276">
        <v>40</v>
      </c>
      <c r="BF44" s="276">
        <v>320</v>
      </c>
      <c r="BG44" s="260">
        <v>160</v>
      </c>
      <c r="BH44" s="271">
        <v>640</v>
      </c>
      <c r="BI44" s="276"/>
      <c r="BJ44" s="276"/>
      <c r="BK44" s="276"/>
      <c r="BL44" s="275"/>
      <c r="BM44" s="320">
        <v>118</v>
      </c>
      <c r="BN44" s="272">
        <v>160</v>
      </c>
      <c r="BO44" s="270">
        <v>320</v>
      </c>
      <c r="BP44" s="272"/>
      <c r="BQ44" s="260"/>
      <c r="BR44" s="260"/>
      <c r="BS44" s="260"/>
      <c r="BT44" s="260"/>
      <c r="BU44" s="260"/>
      <c r="BV44" s="260">
        <v>20</v>
      </c>
      <c r="BW44" s="260">
        <v>80</v>
      </c>
      <c r="BX44" s="260"/>
      <c r="BY44" s="260"/>
      <c r="BZ44" s="260"/>
      <c r="CA44" s="260"/>
      <c r="CB44" s="260"/>
      <c r="CC44" s="260"/>
      <c r="CD44" s="260">
        <v>40</v>
      </c>
      <c r="CE44" s="260">
        <v>80</v>
      </c>
      <c r="CF44" s="272"/>
      <c r="CG44" s="260"/>
      <c r="CH44" s="260"/>
      <c r="CI44" s="260"/>
      <c r="CJ44" s="260"/>
      <c r="CK44" s="260"/>
      <c r="CL44" s="260"/>
      <c r="CM44" s="260"/>
      <c r="CN44" s="260">
        <v>160</v>
      </c>
      <c r="CO44" s="260">
        <v>320</v>
      </c>
      <c r="CP44" s="260">
        <v>160</v>
      </c>
      <c r="CQ44" s="260">
        <v>160</v>
      </c>
      <c r="CR44" s="260">
        <v>160</v>
      </c>
      <c r="CS44" s="270">
        <v>160</v>
      </c>
      <c r="CT44" s="319">
        <v>118</v>
      </c>
      <c r="CU44" s="249">
        <f>Table2821115[[#This Row],[D28 - BR/18]]/Table2821115[[#This Row],[D0 - BR/18]]</f>
        <v>2</v>
      </c>
      <c r="CV44" s="248">
        <f>Table2821115[[#This Row],[D28 - KS/17]]/Table2821115[[#This Row],[D0 - KS/17]]</f>
        <v>8</v>
      </c>
      <c r="CW44" s="248">
        <f>Table2821115[[#This Row],[D28 - Phu/13]]/Table2821115[[#This Row],[D0 - Phu/13]]</f>
        <v>2</v>
      </c>
      <c r="CX44" s="248">
        <f>Table2821115[[#This Row],[D28 - CO/17]]/Table2821115[[#This Row],[D0 - CO/17]]</f>
        <v>1</v>
      </c>
      <c r="CY44" s="248">
        <f>LOG(Table2821115[[#This Row],[BR/18 Fold]],2)</f>
        <v>1</v>
      </c>
      <c r="CZ44" s="248">
        <f>LOG(Table2821115[[#This Row],[KS/17 Fold]],2)</f>
        <v>3</v>
      </c>
      <c r="DA44" s="248">
        <f>LOG(Table2821115[[#This Row],[Phu/13 Fold]],2)</f>
        <v>1</v>
      </c>
      <c r="DB44" s="248">
        <f>LOG(Table2821115[[#This Row],[CO/17 Fold]],2)</f>
        <v>0</v>
      </c>
      <c r="DC44" s="248">
        <f>SUM(Table2821115[[#This Row],[BR/18 Log2]:[CO/17 Log2]])</f>
        <v>5</v>
      </c>
    </row>
    <row r="45" spans="1:134" ht="24" customHeight="1">
      <c r="A45" s="330">
        <v>124</v>
      </c>
      <c r="B45" s="210">
        <v>15637</v>
      </c>
      <c r="C45" s="210">
        <v>43746</v>
      </c>
      <c r="D45" s="209">
        <v>76</v>
      </c>
      <c r="E45" s="4" t="s">
        <v>58</v>
      </c>
      <c r="F45" s="143" t="s">
        <v>116</v>
      </c>
      <c r="G45" s="142">
        <v>25.994842293195799</v>
      </c>
      <c r="H45" s="5" t="s">
        <v>64</v>
      </c>
      <c r="I45" s="281" t="s">
        <v>60</v>
      </c>
      <c r="J45" s="260">
        <v>5</v>
      </c>
      <c r="K45" s="260">
        <v>5</v>
      </c>
      <c r="L45" s="260"/>
      <c r="M45" s="260"/>
      <c r="N45" s="260"/>
      <c r="O45" s="260"/>
      <c r="P45" s="260"/>
      <c r="Q45" s="260"/>
      <c r="R45" s="260"/>
      <c r="S45" s="260"/>
      <c r="T45" s="260"/>
      <c r="U45" s="260"/>
      <c r="V45" s="260">
        <v>5</v>
      </c>
      <c r="W45" s="260">
        <v>5</v>
      </c>
      <c r="X45" s="260">
        <v>5</v>
      </c>
      <c r="Y45" s="260">
        <v>20</v>
      </c>
      <c r="Z45" s="260">
        <v>5</v>
      </c>
      <c r="AA45" s="260">
        <v>20</v>
      </c>
      <c r="AB45" s="260">
        <v>5</v>
      </c>
      <c r="AC45" s="260">
        <v>10</v>
      </c>
      <c r="AD45" s="260"/>
      <c r="AE45" s="260"/>
      <c r="AF45" s="260"/>
      <c r="AG45" s="260"/>
      <c r="AH45" s="208">
        <v>124</v>
      </c>
      <c r="AI45" s="272">
        <v>5</v>
      </c>
      <c r="AJ45" s="271">
        <v>5</v>
      </c>
      <c r="AK45" s="260"/>
      <c r="AL45" s="260"/>
      <c r="AM45" s="260"/>
      <c r="AN45" s="260"/>
      <c r="AO45" s="260"/>
      <c r="AP45" s="260"/>
      <c r="AQ45" s="260"/>
      <c r="AR45" s="260"/>
      <c r="AS45" s="260"/>
      <c r="AT45" s="260"/>
      <c r="AU45" s="260">
        <v>5</v>
      </c>
      <c r="AV45" s="271">
        <v>10</v>
      </c>
      <c r="AW45" s="260">
        <v>5</v>
      </c>
      <c r="AX45" s="271">
        <v>20</v>
      </c>
      <c r="AY45" s="260">
        <v>5</v>
      </c>
      <c r="AZ45" s="271">
        <v>5</v>
      </c>
      <c r="BA45" s="276">
        <v>5</v>
      </c>
      <c r="BB45" s="276">
        <v>5</v>
      </c>
      <c r="BC45" s="276"/>
      <c r="BD45" s="276"/>
      <c r="BE45" s="276">
        <v>5</v>
      </c>
      <c r="BF45" s="276">
        <v>10</v>
      </c>
      <c r="BG45" s="260">
        <v>5</v>
      </c>
      <c r="BH45" s="271">
        <v>5</v>
      </c>
      <c r="BI45" s="276"/>
      <c r="BJ45" s="276"/>
      <c r="BK45" s="276"/>
      <c r="BL45" s="275"/>
      <c r="BM45" s="329">
        <v>124</v>
      </c>
      <c r="BN45" s="272">
        <v>10</v>
      </c>
      <c r="BO45" s="270">
        <v>20</v>
      </c>
      <c r="BP45" s="272"/>
      <c r="BQ45" s="260"/>
      <c r="BR45" s="260"/>
      <c r="BS45" s="260"/>
      <c r="BT45" s="260"/>
      <c r="BU45" s="260"/>
      <c r="BV45" s="260">
        <v>5</v>
      </c>
      <c r="BW45" s="260">
        <v>10</v>
      </c>
      <c r="BX45" s="260"/>
      <c r="BY45" s="260"/>
      <c r="BZ45" s="260"/>
      <c r="CA45" s="260"/>
      <c r="CB45" s="260"/>
      <c r="CC45" s="260"/>
      <c r="CD45" s="260">
        <v>10</v>
      </c>
      <c r="CE45" s="260">
        <v>10</v>
      </c>
      <c r="CF45" s="272"/>
      <c r="CG45" s="260"/>
      <c r="CH45" s="260"/>
      <c r="CI45" s="260"/>
      <c r="CJ45" s="260"/>
      <c r="CK45" s="260"/>
      <c r="CL45" s="260"/>
      <c r="CM45" s="260"/>
      <c r="CN45" s="260">
        <v>5</v>
      </c>
      <c r="CO45" s="260">
        <v>10</v>
      </c>
      <c r="CP45" s="260">
        <v>20</v>
      </c>
      <c r="CQ45" s="260">
        <v>40</v>
      </c>
      <c r="CR45" s="260">
        <v>10</v>
      </c>
      <c r="CS45" s="270">
        <v>20</v>
      </c>
      <c r="CT45" s="328">
        <v>124</v>
      </c>
      <c r="CU45" s="249">
        <f>Table2821115[[#This Row],[D28 - BR/18]]/Table2821115[[#This Row],[D0 - BR/18]]</f>
        <v>2</v>
      </c>
      <c r="CV45" s="248">
        <f>Table2821115[[#This Row],[D28 - KS/17]]/Table2821115[[#This Row],[D0 - KS/17]]</f>
        <v>2</v>
      </c>
      <c r="CW45" s="248">
        <f>Table2821115[[#This Row],[D28 - Phu/13]]/Table2821115[[#This Row],[D0 - Phu/13]]</f>
        <v>1</v>
      </c>
      <c r="CX45" s="248">
        <f>Table2821115[[#This Row],[D28 - CO/17]]/Table2821115[[#This Row],[D0 - CO/17]]</f>
        <v>2</v>
      </c>
      <c r="CY45" s="248">
        <f>LOG(Table2821115[[#This Row],[BR/18 Fold]],2)</f>
        <v>1</v>
      </c>
      <c r="CZ45" s="248">
        <f>LOG(Table2821115[[#This Row],[KS/17 Fold]],2)</f>
        <v>1</v>
      </c>
      <c r="DA45" s="248">
        <f>LOG(Table2821115[[#This Row],[Phu/13 Fold]],2)</f>
        <v>0</v>
      </c>
      <c r="DB45" s="248">
        <f>LOG(Table2821115[[#This Row],[CO/17 Fold]],2)</f>
        <v>1</v>
      </c>
      <c r="DC45" s="248">
        <f>SUM(Table2821115[[#This Row],[BR/18 Log2]:[CO/17 Log2]])</f>
        <v>3</v>
      </c>
    </row>
    <row r="46" spans="1:134" ht="24" customHeight="1">
      <c r="A46" s="330">
        <v>125</v>
      </c>
      <c r="B46" s="210">
        <v>17950</v>
      </c>
      <c r="C46" s="210">
        <v>43734</v>
      </c>
      <c r="D46" s="209">
        <v>70</v>
      </c>
      <c r="E46" s="3" t="s">
        <v>61</v>
      </c>
      <c r="F46" s="143" t="s">
        <v>116</v>
      </c>
      <c r="G46" s="142">
        <v>35.707747279109121</v>
      </c>
      <c r="H46" s="5" t="s">
        <v>64</v>
      </c>
      <c r="I46" s="281" t="s">
        <v>60</v>
      </c>
      <c r="J46" s="260">
        <v>40</v>
      </c>
      <c r="K46" s="260">
        <v>80</v>
      </c>
      <c r="L46" s="260"/>
      <c r="M46" s="260"/>
      <c r="N46" s="260"/>
      <c r="O46" s="260"/>
      <c r="P46" s="260"/>
      <c r="Q46" s="260"/>
      <c r="R46" s="260"/>
      <c r="S46" s="260"/>
      <c r="T46" s="260"/>
      <c r="U46" s="260"/>
      <c r="V46" s="260">
        <v>5</v>
      </c>
      <c r="W46" s="260">
        <v>5</v>
      </c>
      <c r="X46" s="260">
        <v>20</v>
      </c>
      <c r="Y46" s="260">
        <v>40</v>
      </c>
      <c r="Z46" s="260">
        <v>20</v>
      </c>
      <c r="AA46" s="260">
        <v>80</v>
      </c>
      <c r="AB46" s="260">
        <v>20</v>
      </c>
      <c r="AC46" s="260">
        <v>40</v>
      </c>
      <c r="AD46" s="260"/>
      <c r="AE46" s="260"/>
      <c r="AF46" s="260"/>
      <c r="AG46" s="260"/>
      <c r="AH46" s="208">
        <v>125</v>
      </c>
      <c r="AI46" s="272">
        <v>5</v>
      </c>
      <c r="AJ46" s="271">
        <v>10</v>
      </c>
      <c r="AK46" s="260"/>
      <c r="AL46" s="260"/>
      <c r="AM46" s="260"/>
      <c r="AN46" s="260"/>
      <c r="AO46" s="260"/>
      <c r="AP46" s="260"/>
      <c r="AQ46" s="260"/>
      <c r="AR46" s="260"/>
      <c r="AS46" s="260"/>
      <c r="AT46" s="260"/>
      <c r="AU46" s="260">
        <v>20</v>
      </c>
      <c r="AV46" s="271">
        <v>80</v>
      </c>
      <c r="AW46" s="260">
        <v>10</v>
      </c>
      <c r="AX46" s="271">
        <v>80</v>
      </c>
      <c r="AY46" s="260">
        <v>5</v>
      </c>
      <c r="AZ46" s="271">
        <v>160</v>
      </c>
      <c r="BA46" s="276">
        <v>5</v>
      </c>
      <c r="BB46" s="276">
        <v>80</v>
      </c>
      <c r="BC46" s="276"/>
      <c r="BD46" s="276"/>
      <c r="BE46" s="276">
        <v>5</v>
      </c>
      <c r="BF46" s="276">
        <v>40</v>
      </c>
      <c r="BG46" s="260">
        <v>20</v>
      </c>
      <c r="BH46" s="271">
        <v>80</v>
      </c>
      <c r="BI46" s="276"/>
      <c r="BJ46" s="276"/>
      <c r="BK46" s="276"/>
      <c r="BL46" s="275"/>
      <c r="BM46" s="329">
        <v>125</v>
      </c>
      <c r="BN46" s="272">
        <v>20</v>
      </c>
      <c r="BO46" s="270">
        <v>80</v>
      </c>
      <c r="BP46" s="272"/>
      <c r="BQ46" s="260"/>
      <c r="BR46" s="260"/>
      <c r="BS46" s="260"/>
      <c r="BT46" s="260"/>
      <c r="BU46" s="260"/>
      <c r="BV46" s="260">
        <v>10</v>
      </c>
      <c r="BW46" s="260">
        <v>20</v>
      </c>
      <c r="BX46" s="260"/>
      <c r="BY46" s="260"/>
      <c r="BZ46" s="260"/>
      <c r="CA46" s="260"/>
      <c r="CB46" s="260"/>
      <c r="CC46" s="260"/>
      <c r="CD46" s="260">
        <v>10</v>
      </c>
      <c r="CE46" s="260">
        <v>20</v>
      </c>
      <c r="CF46" s="272"/>
      <c r="CG46" s="260"/>
      <c r="CH46" s="260"/>
      <c r="CI46" s="260"/>
      <c r="CJ46" s="260"/>
      <c r="CK46" s="260"/>
      <c r="CL46" s="260"/>
      <c r="CM46" s="260"/>
      <c r="CN46" s="260">
        <v>10</v>
      </c>
      <c r="CO46" s="260">
        <v>40</v>
      </c>
      <c r="CP46" s="260">
        <v>5</v>
      </c>
      <c r="CQ46" s="260">
        <v>40</v>
      </c>
      <c r="CR46" s="260">
        <v>5</v>
      </c>
      <c r="CS46" s="270">
        <v>40</v>
      </c>
      <c r="CT46" s="328">
        <v>125</v>
      </c>
      <c r="CU46" s="249">
        <f>Table2821115[[#This Row],[D28 - BR/18]]/Table2821115[[#This Row],[D0 - BR/18]]</f>
        <v>2</v>
      </c>
      <c r="CV46" s="248">
        <f>Table2821115[[#This Row],[D28 - KS/17]]/Table2821115[[#This Row],[D0 - KS/17]]</f>
        <v>8</v>
      </c>
      <c r="CW46" s="248">
        <f>Table2821115[[#This Row],[D28 - Phu/13]]/Table2821115[[#This Row],[D0 - Phu/13]]</f>
        <v>2</v>
      </c>
      <c r="CX46" s="248">
        <f>Table2821115[[#This Row],[D28 - CO/17]]/Table2821115[[#This Row],[D0 - CO/17]]</f>
        <v>8</v>
      </c>
      <c r="CY46" s="248">
        <f>LOG(Table2821115[[#This Row],[BR/18 Fold]],2)</f>
        <v>1</v>
      </c>
      <c r="CZ46" s="248">
        <f>LOG(Table2821115[[#This Row],[KS/17 Fold]],2)</f>
        <v>3</v>
      </c>
      <c r="DA46" s="248">
        <f>LOG(Table2821115[[#This Row],[Phu/13 Fold]],2)</f>
        <v>1</v>
      </c>
      <c r="DB46" s="248">
        <f>LOG(Table2821115[[#This Row],[CO/17 Fold]],2)</f>
        <v>3</v>
      </c>
      <c r="DC46" s="248">
        <f>SUM(Table2821115[[#This Row],[BR/18 Log2]:[CO/17 Log2]])</f>
        <v>8</v>
      </c>
    </row>
    <row r="47" spans="1:134" ht="24" customHeight="1">
      <c r="A47" s="330">
        <v>126</v>
      </c>
      <c r="B47" s="210">
        <v>19037</v>
      </c>
      <c r="C47" s="210">
        <v>43766</v>
      </c>
      <c r="D47" s="209">
        <v>67</v>
      </c>
      <c r="E47" s="4" t="s">
        <v>58</v>
      </c>
      <c r="F47" s="143" t="s">
        <v>116</v>
      </c>
      <c r="G47" s="142">
        <v>27.788319184423081</v>
      </c>
      <c r="H47" s="5" t="s">
        <v>64</v>
      </c>
      <c r="I47" s="281" t="s">
        <v>60</v>
      </c>
      <c r="J47" s="260">
        <v>5</v>
      </c>
      <c r="K47" s="260">
        <v>5</v>
      </c>
      <c r="L47" s="260"/>
      <c r="M47" s="260"/>
      <c r="N47" s="260"/>
      <c r="O47" s="260"/>
      <c r="P47" s="260"/>
      <c r="Q47" s="260"/>
      <c r="R47" s="260"/>
      <c r="S47" s="260"/>
      <c r="T47" s="260"/>
      <c r="U47" s="260"/>
      <c r="V47" s="260">
        <v>5</v>
      </c>
      <c r="W47" s="260">
        <v>5</v>
      </c>
      <c r="X47" s="260">
        <v>10</v>
      </c>
      <c r="Y47" s="260">
        <v>40</v>
      </c>
      <c r="Z47" s="260">
        <v>20</v>
      </c>
      <c r="AA47" s="260">
        <v>80</v>
      </c>
      <c r="AB47" s="260">
        <v>10</v>
      </c>
      <c r="AC47" s="260">
        <v>40</v>
      </c>
      <c r="AD47" s="260"/>
      <c r="AE47" s="260"/>
      <c r="AF47" s="260"/>
      <c r="AG47" s="260"/>
      <c r="AH47" s="208">
        <v>126</v>
      </c>
      <c r="AI47" s="272">
        <v>20</v>
      </c>
      <c r="AJ47" s="271">
        <v>20</v>
      </c>
      <c r="AK47" s="260"/>
      <c r="AL47" s="260"/>
      <c r="AM47" s="260"/>
      <c r="AN47" s="260"/>
      <c r="AO47" s="260"/>
      <c r="AP47" s="260"/>
      <c r="AQ47" s="260"/>
      <c r="AR47" s="260"/>
      <c r="AS47" s="260"/>
      <c r="AT47" s="260"/>
      <c r="AU47" s="260">
        <v>80</v>
      </c>
      <c r="AV47" s="271">
        <v>160</v>
      </c>
      <c r="AW47" s="260">
        <v>40</v>
      </c>
      <c r="AX47" s="271">
        <v>320</v>
      </c>
      <c r="AY47" s="260">
        <v>40</v>
      </c>
      <c r="AZ47" s="271">
        <v>160</v>
      </c>
      <c r="BA47" s="276">
        <v>40</v>
      </c>
      <c r="BB47" s="276">
        <v>160</v>
      </c>
      <c r="BC47" s="276"/>
      <c r="BD47" s="276"/>
      <c r="BE47" s="276">
        <v>5</v>
      </c>
      <c r="BF47" s="276">
        <v>40</v>
      </c>
      <c r="BG47" s="260">
        <v>40</v>
      </c>
      <c r="BH47" s="271">
        <v>160</v>
      </c>
      <c r="BI47" s="276"/>
      <c r="BJ47" s="276"/>
      <c r="BK47" s="276"/>
      <c r="BL47" s="275"/>
      <c r="BM47" s="329">
        <v>126</v>
      </c>
      <c r="BN47" s="272">
        <v>80</v>
      </c>
      <c r="BO47" s="270">
        <v>160</v>
      </c>
      <c r="BP47" s="272"/>
      <c r="BQ47" s="260"/>
      <c r="BR47" s="260"/>
      <c r="BS47" s="260"/>
      <c r="BT47" s="260"/>
      <c r="BU47" s="260"/>
      <c r="BV47" s="260">
        <v>5</v>
      </c>
      <c r="BW47" s="260">
        <v>5</v>
      </c>
      <c r="BX47" s="260"/>
      <c r="BY47" s="260"/>
      <c r="BZ47" s="260"/>
      <c r="CA47" s="260"/>
      <c r="CB47" s="260"/>
      <c r="CC47" s="260"/>
      <c r="CD47" s="260">
        <v>20</v>
      </c>
      <c r="CE47" s="260">
        <v>20</v>
      </c>
      <c r="CF47" s="272"/>
      <c r="CG47" s="260"/>
      <c r="CH47" s="260"/>
      <c r="CI47" s="260"/>
      <c r="CJ47" s="260"/>
      <c r="CK47" s="260"/>
      <c r="CL47" s="260"/>
      <c r="CM47" s="260"/>
      <c r="CN47" s="260">
        <v>80</v>
      </c>
      <c r="CO47" s="260">
        <v>80</v>
      </c>
      <c r="CP47" s="260">
        <v>20</v>
      </c>
      <c r="CQ47" s="260">
        <v>20</v>
      </c>
      <c r="CR47" s="260">
        <v>20</v>
      </c>
      <c r="CS47" s="270">
        <v>20</v>
      </c>
      <c r="CT47" s="328">
        <v>126</v>
      </c>
      <c r="CU47" s="249">
        <f>Table2821115[[#This Row],[D28 - BR/18]]/Table2821115[[#This Row],[D0 - BR/18]]</f>
        <v>4</v>
      </c>
      <c r="CV47" s="248">
        <f>Table2821115[[#This Row],[D28 - KS/17]]/Table2821115[[#This Row],[D0 - KS/17]]</f>
        <v>8</v>
      </c>
      <c r="CW47" s="248">
        <f>Table2821115[[#This Row],[D28 - Phu/13]]/Table2821115[[#This Row],[D0 - Phu/13]]</f>
        <v>1</v>
      </c>
      <c r="CX47" s="248">
        <f>Table2821115[[#This Row],[D28 - CO/17]]/Table2821115[[#This Row],[D0 - CO/17]]</f>
        <v>1</v>
      </c>
      <c r="CY47" s="248">
        <f>LOG(Table2821115[[#This Row],[BR/18 Fold]],2)</f>
        <v>2</v>
      </c>
      <c r="CZ47" s="248">
        <f>LOG(Table2821115[[#This Row],[KS/17 Fold]],2)</f>
        <v>3</v>
      </c>
      <c r="DA47" s="248">
        <f>LOG(Table2821115[[#This Row],[Phu/13 Fold]],2)</f>
        <v>0</v>
      </c>
      <c r="DB47" s="248">
        <f>LOG(Table2821115[[#This Row],[CO/17 Fold]],2)</f>
        <v>0</v>
      </c>
      <c r="DC47" s="248">
        <f>SUM(Table2821115[[#This Row],[BR/18 Log2]:[CO/17 Log2]])</f>
        <v>5</v>
      </c>
    </row>
    <row r="48" spans="1:134" ht="24" customHeight="1">
      <c r="A48" s="324">
        <v>128</v>
      </c>
      <c r="B48" s="190">
        <v>29678</v>
      </c>
      <c r="C48" s="190">
        <v>43804</v>
      </c>
      <c r="D48" s="189">
        <v>38</v>
      </c>
      <c r="E48" s="3" t="s">
        <v>61</v>
      </c>
      <c r="F48" s="143" t="s">
        <v>117</v>
      </c>
      <c r="G48" s="142">
        <v>36.374961416558783</v>
      </c>
      <c r="H48" s="11" t="s">
        <v>59</v>
      </c>
      <c r="I48" s="281" t="s">
        <v>60</v>
      </c>
      <c r="J48" s="260">
        <v>5</v>
      </c>
      <c r="K48" s="260">
        <v>5</v>
      </c>
      <c r="L48" s="260"/>
      <c r="M48" s="260"/>
      <c r="N48" s="260"/>
      <c r="O48" s="260"/>
      <c r="P48" s="260"/>
      <c r="Q48" s="260"/>
      <c r="R48" s="260"/>
      <c r="S48" s="260"/>
      <c r="T48" s="260"/>
      <c r="U48" s="260"/>
      <c r="V48" s="260">
        <v>5</v>
      </c>
      <c r="W48" s="260">
        <v>10</v>
      </c>
      <c r="X48" s="260">
        <v>40</v>
      </c>
      <c r="Y48" s="260">
        <v>160</v>
      </c>
      <c r="Z48" s="260">
        <v>40</v>
      </c>
      <c r="AA48" s="260">
        <v>160</v>
      </c>
      <c r="AB48" s="260">
        <v>40</v>
      </c>
      <c r="AC48" s="260">
        <v>80</v>
      </c>
      <c r="AD48" s="260"/>
      <c r="AE48" s="260"/>
      <c r="AF48" s="260"/>
      <c r="AG48" s="260"/>
      <c r="AH48" s="198">
        <v>128</v>
      </c>
      <c r="AI48" s="272">
        <v>10</v>
      </c>
      <c r="AJ48" s="271">
        <v>80</v>
      </c>
      <c r="AK48" s="260"/>
      <c r="AL48" s="260"/>
      <c r="AM48" s="260"/>
      <c r="AN48" s="260"/>
      <c r="AO48" s="260"/>
      <c r="AP48" s="260"/>
      <c r="AQ48" s="260"/>
      <c r="AR48" s="260"/>
      <c r="AS48" s="260"/>
      <c r="AT48" s="260"/>
      <c r="AU48" s="260">
        <v>40</v>
      </c>
      <c r="AV48" s="271">
        <v>320</v>
      </c>
      <c r="AW48" s="260">
        <v>20</v>
      </c>
      <c r="AX48" s="271">
        <v>320</v>
      </c>
      <c r="AY48" s="260">
        <v>40</v>
      </c>
      <c r="AZ48" s="271">
        <v>320</v>
      </c>
      <c r="BA48" s="276">
        <v>40</v>
      </c>
      <c r="BB48" s="276">
        <v>320</v>
      </c>
      <c r="BC48" s="276"/>
      <c r="BD48" s="276"/>
      <c r="BE48" s="276">
        <v>10</v>
      </c>
      <c r="BF48" s="276">
        <v>160</v>
      </c>
      <c r="BG48" s="260">
        <v>40</v>
      </c>
      <c r="BH48" s="271">
        <v>320</v>
      </c>
      <c r="BI48" s="276"/>
      <c r="BJ48" s="276"/>
      <c r="BK48" s="276"/>
      <c r="BL48" s="275"/>
      <c r="BM48" s="323">
        <v>128</v>
      </c>
      <c r="BN48" s="272">
        <v>5</v>
      </c>
      <c r="BO48" s="270">
        <v>20</v>
      </c>
      <c r="BP48" s="272"/>
      <c r="BQ48" s="260"/>
      <c r="BR48" s="260"/>
      <c r="BS48" s="260"/>
      <c r="BT48" s="260"/>
      <c r="BU48" s="260"/>
      <c r="BV48" s="260">
        <v>5</v>
      </c>
      <c r="BW48" s="260">
        <v>5</v>
      </c>
      <c r="BX48" s="260"/>
      <c r="BY48" s="260"/>
      <c r="BZ48" s="260"/>
      <c r="CA48" s="260"/>
      <c r="CB48" s="260"/>
      <c r="CC48" s="260"/>
      <c r="CD48" s="260">
        <v>20</v>
      </c>
      <c r="CE48" s="260">
        <v>80</v>
      </c>
      <c r="CF48" s="272"/>
      <c r="CG48" s="260"/>
      <c r="CH48" s="260"/>
      <c r="CI48" s="260"/>
      <c r="CJ48" s="260"/>
      <c r="CK48" s="260"/>
      <c r="CL48" s="260"/>
      <c r="CM48" s="260"/>
      <c r="CN48" s="260">
        <v>5</v>
      </c>
      <c r="CO48" s="260">
        <v>20</v>
      </c>
      <c r="CP48" s="260">
        <v>5</v>
      </c>
      <c r="CQ48" s="260">
        <v>20</v>
      </c>
      <c r="CR48" s="260">
        <v>5</v>
      </c>
      <c r="CS48" s="270">
        <v>20</v>
      </c>
      <c r="CT48" s="322">
        <v>128</v>
      </c>
      <c r="CU48" s="249">
        <f>Table2821115[[#This Row],[D28 - BR/18]]/Table2821115[[#This Row],[D0 - BR/18]]</f>
        <v>2</v>
      </c>
      <c r="CV48" s="248">
        <f>Table2821115[[#This Row],[D28 - KS/17]]/Table2821115[[#This Row],[D0 - KS/17]]</f>
        <v>16</v>
      </c>
      <c r="CW48" s="248">
        <f>Table2821115[[#This Row],[D28 - Phu/13]]/Table2821115[[#This Row],[D0 - Phu/13]]</f>
        <v>4</v>
      </c>
      <c r="CX48" s="248">
        <f>Table2821115[[#This Row],[D28 - CO/17]]/Table2821115[[#This Row],[D0 - CO/17]]</f>
        <v>4</v>
      </c>
      <c r="CY48" s="248">
        <f>LOG(Table2821115[[#This Row],[BR/18 Fold]],2)</f>
        <v>1</v>
      </c>
      <c r="CZ48" s="248">
        <f>LOG(Table2821115[[#This Row],[KS/17 Fold]],2)</f>
        <v>4</v>
      </c>
      <c r="DA48" s="248">
        <f>LOG(Table2821115[[#This Row],[Phu/13 Fold]],2)</f>
        <v>2</v>
      </c>
      <c r="DB48" s="248">
        <f>LOG(Table2821115[[#This Row],[CO/17 Fold]],2)</f>
        <v>2</v>
      </c>
      <c r="DC48" s="248">
        <f>SUM(Table2821115[[#This Row],[BR/18 Log2]:[CO/17 Log2]])</f>
        <v>9</v>
      </c>
    </row>
    <row r="49" spans="1:107" ht="24" customHeight="1">
      <c r="A49" s="321">
        <v>129</v>
      </c>
      <c r="B49" s="183">
        <v>34934</v>
      </c>
      <c r="C49" s="183">
        <v>43857</v>
      </c>
      <c r="D49" s="182">
        <v>24</v>
      </c>
      <c r="E49" s="3" t="s">
        <v>61</v>
      </c>
      <c r="F49" s="143" t="s">
        <v>118</v>
      </c>
      <c r="G49" s="142">
        <v>26.2</v>
      </c>
      <c r="H49" s="11" t="s">
        <v>59</v>
      </c>
      <c r="I49" s="281" t="s">
        <v>62</v>
      </c>
      <c r="J49" s="260">
        <v>5</v>
      </c>
      <c r="K49" s="260">
        <v>5</v>
      </c>
      <c r="L49" s="260"/>
      <c r="M49" s="260"/>
      <c r="N49" s="260"/>
      <c r="O49" s="260"/>
      <c r="P49" s="260"/>
      <c r="Q49" s="260"/>
      <c r="R49" s="260"/>
      <c r="S49" s="260"/>
      <c r="T49" s="260"/>
      <c r="U49" s="260"/>
      <c r="V49" s="260">
        <v>10</v>
      </c>
      <c r="W49" s="260">
        <v>20</v>
      </c>
      <c r="X49" s="260">
        <v>40</v>
      </c>
      <c r="Y49" s="260">
        <v>80</v>
      </c>
      <c r="Z49" s="260">
        <v>80</v>
      </c>
      <c r="AA49" s="260">
        <v>160</v>
      </c>
      <c r="AB49" s="260">
        <v>80</v>
      </c>
      <c r="AC49" s="260">
        <v>80</v>
      </c>
      <c r="AD49" s="260"/>
      <c r="AE49" s="260"/>
      <c r="AF49" s="260"/>
      <c r="AG49" s="260"/>
      <c r="AH49" s="32">
        <v>129</v>
      </c>
      <c r="AI49" s="272">
        <v>40</v>
      </c>
      <c r="AJ49" s="271">
        <v>160</v>
      </c>
      <c r="AK49" s="260"/>
      <c r="AL49" s="260"/>
      <c r="AM49" s="260"/>
      <c r="AN49" s="260"/>
      <c r="AO49" s="260"/>
      <c r="AP49" s="260"/>
      <c r="AQ49" s="260"/>
      <c r="AR49" s="260"/>
      <c r="AS49" s="260"/>
      <c r="AT49" s="260"/>
      <c r="AU49" s="260">
        <v>40</v>
      </c>
      <c r="AV49" s="271">
        <v>160</v>
      </c>
      <c r="AW49" s="260">
        <v>20</v>
      </c>
      <c r="AX49" s="271">
        <v>160</v>
      </c>
      <c r="AY49" s="260">
        <v>40</v>
      </c>
      <c r="AZ49" s="271">
        <v>80</v>
      </c>
      <c r="BA49" s="276">
        <v>20</v>
      </c>
      <c r="BB49" s="276">
        <v>80</v>
      </c>
      <c r="BC49" s="276"/>
      <c r="BD49" s="276"/>
      <c r="BE49" s="276">
        <v>20</v>
      </c>
      <c r="BF49" s="276">
        <v>160</v>
      </c>
      <c r="BG49" s="260">
        <v>20</v>
      </c>
      <c r="BH49" s="271">
        <v>40</v>
      </c>
      <c r="BI49" s="276"/>
      <c r="BJ49" s="276"/>
      <c r="BK49" s="276"/>
      <c r="BL49" s="275"/>
      <c r="BM49" s="320">
        <v>129</v>
      </c>
      <c r="BN49" s="272">
        <v>20</v>
      </c>
      <c r="BO49" s="270">
        <v>40</v>
      </c>
      <c r="BP49" s="272"/>
      <c r="BQ49" s="260"/>
      <c r="BR49" s="260"/>
      <c r="BS49" s="260"/>
      <c r="BT49" s="260"/>
      <c r="BU49" s="260"/>
      <c r="BV49" s="260">
        <v>20</v>
      </c>
      <c r="BW49" s="260">
        <v>80</v>
      </c>
      <c r="BX49" s="260"/>
      <c r="BY49" s="260"/>
      <c r="BZ49" s="260"/>
      <c r="CA49" s="260"/>
      <c r="CB49" s="260"/>
      <c r="CC49" s="260"/>
      <c r="CD49" s="260">
        <v>40</v>
      </c>
      <c r="CE49" s="260">
        <v>320</v>
      </c>
      <c r="CF49" s="272"/>
      <c r="CG49" s="260"/>
      <c r="CH49" s="260"/>
      <c r="CI49" s="260"/>
      <c r="CJ49" s="260"/>
      <c r="CK49" s="260"/>
      <c r="CL49" s="260"/>
      <c r="CM49" s="260"/>
      <c r="CN49" s="260">
        <v>40</v>
      </c>
      <c r="CO49" s="260">
        <v>40</v>
      </c>
      <c r="CP49" s="260">
        <v>5</v>
      </c>
      <c r="CQ49" s="260">
        <v>40</v>
      </c>
      <c r="CR49" s="260">
        <v>5</v>
      </c>
      <c r="CS49" s="270">
        <v>20</v>
      </c>
      <c r="CT49" s="319">
        <v>129</v>
      </c>
      <c r="CU49" s="249">
        <f>Table2821115[[#This Row],[D28 - BR/18]]/Table2821115[[#This Row],[D0 - BR/18]]</f>
        <v>1</v>
      </c>
      <c r="CV49" s="248">
        <f>Table2821115[[#This Row],[D28 - KS/17]]/Table2821115[[#This Row],[D0 - KS/17]]</f>
        <v>8</v>
      </c>
      <c r="CW49" s="248">
        <f>Table2821115[[#This Row],[D28 - Phu/13]]/Table2821115[[#This Row],[D0 - Phu/13]]</f>
        <v>8</v>
      </c>
      <c r="CX49" s="248">
        <f>Table2821115[[#This Row],[D28 - CO/17]]/Table2821115[[#This Row],[D0 - CO/17]]</f>
        <v>8</v>
      </c>
      <c r="CY49" s="248">
        <f>LOG(Table2821115[[#This Row],[BR/18 Fold]],2)</f>
        <v>0</v>
      </c>
      <c r="CZ49" s="248">
        <f>LOG(Table2821115[[#This Row],[KS/17 Fold]],2)</f>
        <v>3</v>
      </c>
      <c r="DA49" s="248">
        <f>LOG(Table2821115[[#This Row],[Phu/13 Fold]],2)</f>
        <v>3</v>
      </c>
      <c r="DB49" s="248">
        <f>LOG(Table2821115[[#This Row],[CO/17 Fold]],2)</f>
        <v>3</v>
      </c>
      <c r="DC49" s="248">
        <f>SUM(Table2821115[[#This Row],[BR/18 Log2]:[CO/17 Log2]])</f>
        <v>9</v>
      </c>
    </row>
    <row r="50" spans="1:107" ht="24" customHeight="1">
      <c r="A50" s="327">
        <v>134</v>
      </c>
      <c r="B50" s="205">
        <v>17225</v>
      </c>
      <c r="C50" s="205">
        <v>43738</v>
      </c>
      <c r="D50" s="204">
        <v>72</v>
      </c>
      <c r="E50" s="3" t="s">
        <v>61</v>
      </c>
      <c r="F50" s="143" t="s">
        <v>119</v>
      </c>
      <c r="G50" s="142">
        <v>26.219684254651447</v>
      </c>
      <c r="H50" s="11" t="s">
        <v>59</v>
      </c>
      <c r="I50" s="281" t="s">
        <v>60</v>
      </c>
      <c r="J50" s="260">
        <v>5</v>
      </c>
      <c r="K50" s="260">
        <v>10</v>
      </c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>
        <v>5</v>
      </c>
      <c r="W50" s="260">
        <v>5</v>
      </c>
      <c r="X50" s="260">
        <v>5</v>
      </c>
      <c r="Y50" s="260">
        <v>20</v>
      </c>
      <c r="Z50" s="260">
        <v>5</v>
      </c>
      <c r="AA50" s="260">
        <v>10</v>
      </c>
      <c r="AB50" s="260">
        <v>5</v>
      </c>
      <c r="AC50" s="260">
        <v>10</v>
      </c>
      <c r="AD50" s="260"/>
      <c r="AE50" s="260"/>
      <c r="AF50" s="260"/>
      <c r="AG50" s="260"/>
      <c r="AH50" s="203">
        <v>134</v>
      </c>
      <c r="AI50" s="272">
        <v>5</v>
      </c>
      <c r="AJ50" s="271">
        <v>10</v>
      </c>
      <c r="AK50" s="260"/>
      <c r="AL50" s="260"/>
      <c r="AM50" s="260"/>
      <c r="AN50" s="260"/>
      <c r="AO50" s="260"/>
      <c r="AP50" s="260"/>
      <c r="AQ50" s="260"/>
      <c r="AR50" s="260"/>
      <c r="AS50" s="260"/>
      <c r="AT50" s="260"/>
      <c r="AU50" s="260">
        <v>160</v>
      </c>
      <c r="AV50" s="271">
        <v>320</v>
      </c>
      <c r="AW50" s="260">
        <v>80</v>
      </c>
      <c r="AX50" s="271">
        <v>320</v>
      </c>
      <c r="AY50" s="260">
        <v>20</v>
      </c>
      <c r="AZ50" s="271">
        <v>40</v>
      </c>
      <c r="BA50" s="276">
        <v>40</v>
      </c>
      <c r="BB50" s="276">
        <v>160</v>
      </c>
      <c r="BC50" s="276"/>
      <c r="BD50" s="276"/>
      <c r="BE50" s="276">
        <v>10</v>
      </c>
      <c r="BF50" s="276">
        <v>40</v>
      </c>
      <c r="BG50" s="260">
        <v>80</v>
      </c>
      <c r="BH50" s="271">
        <v>320</v>
      </c>
      <c r="BI50" s="276"/>
      <c r="BJ50" s="276"/>
      <c r="BK50" s="276"/>
      <c r="BL50" s="275"/>
      <c r="BM50" s="326">
        <v>134</v>
      </c>
      <c r="BN50" s="272">
        <v>20</v>
      </c>
      <c r="BO50" s="270">
        <v>80</v>
      </c>
      <c r="BP50" s="272"/>
      <c r="BQ50" s="260"/>
      <c r="BR50" s="260"/>
      <c r="BS50" s="260"/>
      <c r="BT50" s="260"/>
      <c r="BU50" s="260"/>
      <c r="BV50" s="260">
        <v>20</v>
      </c>
      <c r="BW50" s="260">
        <v>40</v>
      </c>
      <c r="BX50" s="260"/>
      <c r="BY50" s="260"/>
      <c r="BZ50" s="260"/>
      <c r="CA50" s="260"/>
      <c r="CB50" s="260"/>
      <c r="CC50" s="260"/>
      <c r="CD50" s="260">
        <v>40</v>
      </c>
      <c r="CE50" s="260">
        <v>80</v>
      </c>
      <c r="CF50" s="272"/>
      <c r="CG50" s="260"/>
      <c r="CH50" s="260"/>
      <c r="CI50" s="260"/>
      <c r="CJ50" s="260"/>
      <c r="CK50" s="260"/>
      <c r="CL50" s="260"/>
      <c r="CM50" s="260"/>
      <c r="CN50" s="260">
        <v>5</v>
      </c>
      <c r="CO50" s="260">
        <v>10</v>
      </c>
      <c r="CP50" s="260">
        <v>10</v>
      </c>
      <c r="CQ50" s="260">
        <v>40</v>
      </c>
      <c r="CR50" s="260">
        <v>10</v>
      </c>
      <c r="CS50" s="270">
        <v>20</v>
      </c>
      <c r="CT50" s="325">
        <v>134</v>
      </c>
      <c r="CU50" s="249">
        <f>Table2821115[[#This Row],[D28 - BR/18]]/Table2821115[[#This Row],[D0 - BR/18]]</f>
        <v>2</v>
      </c>
      <c r="CV50" s="248">
        <f>Table2821115[[#This Row],[D28 - KS/17]]/Table2821115[[#This Row],[D0 - KS/17]]</f>
        <v>4</v>
      </c>
      <c r="CW50" s="248">
        <f>Table2821115[[#This Row],[D28 - Phu/13]]/Table2821115[[#This Row],[D0 - Phu/13]]</f>
        <v>2</v>
      </c>
      <c r="CX50" s="248">
        <f>Table2821115[[#This Row],[D28 - CO/17]]/Table2821115[[#This Row],[D0 - CO/17]]</f>
        <v>4</v>
      </c>
      <c r="CY50" s="248">
        <f>LOG(Table2821115[[#This Row],[BR/18 Fold]],2)</f>
        <v>1</v>
      </c>
      <c r="CZ50" s="248">
        <f>LOG(Table2821115[[#This Row],[KS/17 Fold]],2)</f>
        <v>2</v>
      </c>
      <c r="DA50" s="248">
        <f>LOG(Table2821115[[#This Row],[Phu/13 Fold]],2)</f>
        <v>1</v>
      </c>
      <c r="DB50" s="248">
        <f>LOG(Table2821115[[#This Row],[CO/17 Fold]],2)</f>
        <v>2</v>
      </c>
      <c r="DC50" s="248">
        <f>SUM(Table2821115[[#This Row],[BR/18 Log2]:[CO/17 Log2]])</f>
        <v>6</v>
      </c>
    </row>
    <row r="51" spans="1:107" ht="24" customHeight="1">
      <c r="A51" s="330">
        <v>135</v>
      </c>
      <c r="B51" s="210">
        <v>17723</v>
      </c>
      <c r="C51" s="210">
        <v>43728</v>
      </c>
      <c r="D51" s="209">
        <v>71</v>
      </c>
      <c r="E51" s="4" t="s">
        <v>58</v>
      </c>
      <c r="F51" s="143" t="s">
        <v>116</v>
      </c>
      <c r="G51" s="142">
        <v>27.241452669921802</v>
      </c>
      <c r="H51" s="5" t="s">
        <v>64</v>
      </c>
      <c r="I51" s="281" t="s">
        <v>60</v>
      </c>
      <c r="J51" s="260">
        <v>5</v>
      </c>
      <c r="K51" s="260">
        <v>5</v>
      </c>
      <c r="L51" s="260"/>
      <c r="M51" s="260"/>
      <c r="N51" s="260"/>
      <c r="O51" s="260"/>
      <c r="P51" s="260"/>
      <c r="Q51" s="260"/>
      <c r="R51" s="260"/>
      <c r="S51" s="260"/>
      <c r="T51" s="260"/>
      <c r="U51" s="260"/>
      <c r="V51" s="260">
        <v>5</v>
      </c>
      <c r="W51" s="260">
        <v>5</v>
      </c>
      <c r="X51" s="260">
        <v>5</v>
      </c>
      <c r="Y51" s="260">
        <v>20</v>
      </c>
      <c r="Z51" s="260">
        <v>20</v>
      </c>
      <c r="AA51" s="260">
        <v>20</v>
      </c>
      <c r="AB51" s="260">
        <v>20</v>
      </c>
      <c r="AC51" s="260">
        <v>20</v>
      </c>
      <c r="AD51" s="260"/>
      <c r="AE51" s="260"/>
      <c r="AF51" s="260"/>
      <c r="AG51" s="260"/>
      <c r="AH51" s="208">
        <v>135</v>
      </c>
      <c r="AI51" s="272">
        <v>5</v>
      </c>
      <c r="AJ51" s="271">
        <v>5</v>
      </c>
      <c r="AK51" s="260"/>
      <c r="AL51" s="260"/>
      <c r="AM51" s="260"/>
      <c r="AN51" s="260"/>
      <c r="AO51" s="260"/>
      <c r="AP51" s="260"/>
      <c r="AQ51" s="260"/>
      <c r="AR51" s="260"/>
      <c r="AS51" s="260"/>
      <c r="AT51" s="260"/>
      <c r="AU51" s="260">
        <v>40</v>
      </c>
      <c r="AV51" s="271">
        <v>40</v>
      </c>
      <c r="AW51" s="260">
        <v>5</v>
      </c>
      <c r="AX51" s="271">
        <v>20</v>
      </c>
      <c r="AY51" s="260">
        <v>5</v>
      </c>
      <c r="AZ51" s="271">
        <v>10</v>
      </c>
      <c r="BA51" s="276">
        <v>5</v>
      </c>
      <c r="BB51" s="276">
        <v>20</v>
      </c>
      <c r="BC51" s="276"/>
      <c r="BD51" s="276"/>
      <c r="BE51" s="276">
        <v>5</v>
      </c>
      <c r="BF51" s="276">
        <v>5</v>
      </c>
      <c r="BG51" s="260">
        <v>20</v>
      </c>
      <c r="BH51" s="271">
        <v>20</v>
      </c>
      <c r="BI51" s="276"/>
      <c r="BJ51" s="276"/>
      <c r="BK51" s="276"/>
      <c r="BL51" s="275"/>
      <c r="BM51" s="329">
        <v>135</v>
      </c>
      <c r="BN51" s="272">
        <v>10</v>
      </c>
      <c r="BO51" s="270">
        <v>10</v>
      </c>
      <c r="BP51" s="272"/>
      <c r="BQ51" s="260"/>
      <c r="BR51" s="260"/>
      <c r="BS51" s="260"/>
      <c r="BT51" s="260"/>
      <c r="BU51" s="260"/>
      <c r="BV51" s="260">
        <v>5</v>
      </c>
      <c r="BW51" s="260">
        <v>5</v>
      </c>
      <c r="BX51" s="260"/>
      <c r="BY51" s="260"/>
      <c r="BZ51" s="260"/>
      <c r="CA51" s="260"/>
      <c r="CB51" s="260"/>
      <c r="CC51" s="260"/>
      <c r="CD51" s="260">
        <v>20</v>
      </c>
      <c r="CE51" s="260">
        <v>20</v>
      </c>
      <c r="CF51" s="272"/>
      <c r="CG51" s="260"/>
      <c r="CH51" s="260"/>
      <c r="CI51" s="260"/>
      <c r="CJ51" s="260"/>
      <c r="CK51" s="260"/>
      <c r="CL51" s="260"/>
      <c r="CM51" s="260"/>
      <c r="CN51" s="260">
        <v>20</v>
      </c>
      <c r="CO51" s="260">
        <v>20</v>
      </c>
      <c r="CP51" s="260">
        <v>40</v>
      </c>
      <c r="CQ51" s="260">
        <v>40</v>
      </c>
      <c r="CR51" s="260">
        <v>40</v>
      </c>
      <c r="CS51" s="270">
        <v>40</v>
      </c>
      <c r="CT51" s="328">
        <v>135</v>
      </c>
      <c r="CU51" s="249">
        <f>Table2821115[[#This Row],[D28 - BR/18]]/Table2821115[[#This Row],[D0 - BR/18]]</f>
        <v>1</v>
      </c>
      <c r="CV51" s="248">
        <f>Table2821115[[#This Row],[D28 - KS/17]]/Table2821115[[#This Row],[D0 - KS/17]]</f>
        <v>1</v>
      </c>
      <c r="CW51" s="248">
        <f>Table2821115[[#This Row],[D28 - Phu/13]]/Table2821115[[#This Row],[D0 - Phu/13]]</f>
        <v>1</v>
      </c>
      <c r="CX51" s="248">
        <f>Table2821115[[#This Row],[D28 - CO/17]]/Table2821115[[#This Row],[D0 - CO/17]]</f>
        <v>1</v>
      </c>
      <c r="CY51" s="248">
        <f>LOG(Table2821115[[#This Row],[BR/18 Fold]],2)</f>
        <v>0</v>
      </c>
      <c r="CZ51" s="248">
        <f>LOG(Table2821115[[#This Row],[KS/17 Fold]],2)</f>
        <v>0</v>
      </c>
      <c r="DA51" s="248">
        <f>LOG(Table2821115[[#This Row],[Phu/13 Fold]],2)</f>
        <v>0</v>
      </c>
      <c r="DB51" s="248">
        <f>LOG(Table2821115[[#This Row],[CO/17 Fold]],2)</f>
        <v>0</v>
      </c>
      <c r="DC51" s="248">
        <f>SUM(Table2821115[[#This Row],[BR/18 Log2]:[CO/17 Log2]])</f>
        <v>0</v>
      </c>
    </row>
    <row r="52" spans="1:107" ht="24" customHeight="1">
      <c r="A52" s="321">
        <v>136</v>
      </c>
      <c r="B52" s="183">
        <v>33119</v>
      </c>
      <c r="C52" s="183">
        <v>43843</v>
      </c>
      <c r="D52" s="182">
        <v>29</v>
      </c>
      <c r="E52" s="3" t="s">
        <v>61</v>
      </c>
      <c r="F52" s="143" t="s">
        <v>118</v>
      </c>
      <c r="G52" s="142">
        <v>25.593620325657014</v>
      </c>
      <c r="H52" s="11" t="s">
        <v>59</v>
      </c>
      <c r="I52" s="281" t="s">
        <v>60</v>
      </c>
      <c r="J52" s="260">
        <v>5</v>
      </c>
      <c r="K52" s="260">
        <v>5</v>
      </c>
      <c r="L52" s="260"/>
      <c r="M52" s="260"/>
      <c r="N52" s="260"/>
      <c r="O52" s="260"/>
      <c r="P52" s="260"/>
      <c r="Q52" s="260"/>
      <c r="R52" s="260"/>
      <c r="S52" s="260"/>
      <c r="T52" s="260"/>
      <c r="U52" s="260"/>
      <c r="V52" s="260">
        <v>5</v>
      </c>
      <c r="W52" s="260">
        <v>5</v>
      </c>
      <c r="X52" s="260">
        <v>80</v>
      </c>
      <c r="Y52" s="260">
        <v>160</v>
      </c>
      <c r="Z52" s="260">
        <v>80</v>
      </c>
      <c r="AA52" s="260">
        <v>160</v>
      </c>
      <c r="AB52" s="260">
        <v>80</v>
      </c>
      <c r="AC52" s="260">
        <v>80</v>
      </c>
      <c r="AD52" s="260"/>
      <c r="AE52" s="260"/>
      <c r="AF52" s="260"/>
      <c r="AG52" s="260"/>
      <c r="AH52" s="32">
        <v>136</v>
      </c>
      <c r="AI52" s="272">
        <v>10</v>
      </c>
      <c r="AJ52" s="271">
        <v>20</v>
      </c>
      <c r="AK52" s="260"/>
      <c r="AL52" s="260"/>
      <c r="AM52" s="260"/>
      <c r="AN52" s="260"/>
      <c r="AO52" s="260"/>
      <c r="AP52" s="260"/>
      <c r="AQ52" s="260"/>
      <c r="AR52" s="260"/>
      <c r="AS52" s="260"/>
      <c r="AT52" s="260"/>
      <c r="AU52" s="260">
        <v>10</v>
      </c>
      <c r="AV52" s="271">
        <v>80</v>
      </c>
      <c r="AW52" s="260">
        <v>5</v>
      </c>
      <c r="AX52" s="271">
        <v>80</v>
      </c>
      <c r="AY52" s="260">
        <v>10</v>
      </c>
      <c r="AZ52" s="271">
        <v>80</v>
      </c>
      <c r="BA52" s="276">
        <v>10</v>
      </c>
      <c r="BB52" s="276">
        <v>160</v>
      </c>
      <c r="BC52" s="276"/>
      <c r="BD52" s="276"/>
      <c r="BE52" s="276">
        <v>5</v>
      </c>
      <c r="BF52" s="276">
        <v>80</v>
      </c>
      <c r="BG52" s="260">
        <v>10</v>
      </c>
      <c r="BH52" s="271">
        <v>160</v>
      </c>
      <c r="BI52" s="276"/>
      <c r="BJ52" s="276"/>
      <c r="BK52" s="276"/>
      <c r="BL52" s="275"/>
      <c r="BM52" s="320">
        <v>136</v>
      </c>
      <c r="BN52" s="272">
        <v>40</v>
      </c>
      <c r="BO52" s="270">
        <v>80</v>
      </c>
      <c r="BP52" s="272"/>
      <c r="BQ52" s="260"/>
      <c r="BR52" s="260"/>
      <c r="BS52" s="260"/>
      <c r="BT52" s="260"/>
      <c r="BU52" s="260"/>
      <c r="BV52" s="260">
        <v>40</v>
      </c>
      <c r="BW52" s="260">
        <v>80</v>
      </c>
      <c r="BX52" s="260"/>
      <c r="BY52" s="260"/>
      <c r="BZ52" s="260"/>
      <c r="CA52" s="260"/>
      <c r="CB52" s="260"/>
      <c r="CC52" s="260"/>
      <c r="CD52" s="260">
        <v>80</v>
      </c>
      <c r="CE52" s="260">
        <v>160</v>
      </c>
      <c r="CF52" s="272"/>
      <c r="CG52" s="260"/>
      <c r="CH52" s="260"/>
      <c r="CI52" s="260"/>
      <c r="CJ52" s="260"/>
      <c r="CK52" s="260"/>
      <c r="CL52" s="260"/>
      <c r="CM52" s="260"/>
      <c r="CN52" s="260">
        <v>5</v>
      </c>
      <c r="CO52" s="260">
        <v>10</v>
      </c>
      <c r="CP52" s="260">
        <v>5</v>
      </c>
      <c r="CQ52" s="260">
        <v>10</v>
      </c>
      <c r="CR52" s="260">
        <v>5</v>
      </c>
      <c r="CS52" s="270">
        <v>5</v>
      </c>
      <c r="CT52" s="319">
        <v>136</v>
      </c>
      <c r="CU52" s="249">
        <f>Table2821115[[#This Row],[D28 - BR/18]]/Table2821115[[#This Row],[D0 - BR/18]]</f>
        <v>1</v>
      </c>
      <c r="CV52" s="248">
        <f>Table2821115[[#This Row],[D28 - KS/17]]/Table2821115[[#This Row],[D0 - KS/17]]</f>
        <v>16</v>
      </c>
      <c r="CW52" s="248">
        <f>Table2821115[[#This Row],[D28 - Phu/13]]/Table2821115[[#This Row],[D0 - Phu/13]]</f>
        <v>2</v>
      </c>
      <c r="CX52" s="248">
        <f>Table2821115[[#This Row],[D28 - CO/17]]/Table2821115[[#This Row],[D0 - CO/17]]</f>
        <v>2</v>
      </c>
      <c r="CY52" s="248">
        <f>LOG(Table2821115[[#This Row],[BR/18 Fold]],2)</f>
        <v>0</v>
      </c>
      <c r="CZ52" s="248">
        <f>LOG(Table2821115[[#This Row],[KS/17 Fold]],2)</f>
        <v>4</v>
      </c>
      <c r="DA52" s="248">
        <f>LOG(Table2821115[[#This Row],[Phu/13 Fold]],2)</f>
        <v>1</v>
      </c>
      <c r="DB52" s="248">
        <f>LOG(Table2821115[[#This Row],[CO/17 Fold]],2)</f>
        <v>1</v>
      </c>
      <c r="DC52" s="248">
        <f>SUM(Table2821115[[#This Row],[BR/18 Log2]:[CO/17 Log2]])</f>
        <v>6</v>
      </c>
    </row>
    <row r="53" spans="1:107" ht="24" customHeight="1">
      <c r="A53" s="327">
        <v>139</v>
      </c>
      <c r="B53" s="205">
        <v>19925</v>
      </c>
      <c r="C53" s="205">
        <v>43834</v>
      </c>
      <c r="D53" s="204">
        <v>65</v>
      </c>
      <c r="E53" s="3" t="s">
        <v>61</v>
      </c>
      <c r="F53" s="143" t="s">
        <v>116</v>
      </c>
      <c r="G53" s="142">
        <v>28.190748616809067</v>
      </c>
      <c r="H53" s="11" t="s">
        <v>59</v>
      </c>
      <c r="I53" s="281" t="s">
        <v>60</v>
      </c>
      <c r="J53" s="260">
        <v>5</v>
      </c>
      <c r="K53" s="260">
        <v>5</v>
      </c>
      <c r="L53" s="260"/>
      <c r="M53" s="260"/>
      <c r="N53" s="260"/>
      <c r="O53" s="260"/>
      <c r="P53" s="260"/>
      <c r="Q53" s="260"/>
      <c r="R53" s="260"/>
      <c r="S53" s="260"/>
      <c r="T53" s="260"/>
      <c r="U53" s="260"/>
      <c r="V53" s="260">
        <v>5</v>
      </c>
      <c r="W53" s="260">
        <v>5</v>
      </c>
      <c r="X53" s="260">
        <v>5</v>
      </c>
      <c r="Y53" s="260">
        <v>80</v>
      </c>
      <c r="Z53" s="260">
        <v>40</v>
      </c>
      <c r="AA53" s="260">
        <v>80</v>
      </c>
      <c r="AB53" s="260">
        <v>20</v>
      </c>
      <c r="AC53" s="260">
        <v>40</v>
      </c>
      <c r="AD53" s="260"/>
      <c r="AE53" s="260"/>
      <c r="AF53" s="260"/>
      <c r="AG53" s="260"/>
      <c r="AH53" s="203">
        <v>139</v>
      </c>
      <c r="AI53" s="272">
        <v>10</v>
      </c>
      <c r="AJ53" s="271">
        <v>40</v>
      </c>
      <c r="AK53" s="260"/>
      <c r="AL53" s="260"/>
      <c r="AM53" s="260"/>
      <c r="AN53" s="260"/>
      <c r="AO53" s="260"/>
      <c r="AP53" s="260"/>
      <c r="AQ53" s="260"/>
      <c r="AR53" s="260"/>
      <c r="AS53" s="260"/>
      <c r="AT53" s="260"/>
      <c r="AU53" s="260">
        <v>40</v>
      </c>
      <c r="AV53" s="271">
        <v>160</v>
      </c>
      <c r="AW53" s="260">
        <v>40</v>
      </c>
      <c r="AX53" s="271">
        <v>160</v>
      </c>
      <c r="AY53" s="260">
        <v>5</v>
      </c>
      <c r="AZ53" s="271">
        <v>80</v>
      </c>
      <c r="BA53" s="276">
        <v>20</v>
      </c>
      <c r="BB53" s="276">
        <v>80</v>
      </c>
      <c r="BC53" s="276"/>
      <c r="BD53" s="276"/>
      <c r="BE53" s="276">
        <v>5</v>
      </c>
      <c r="BF53" s="276">
        <v>40</v>
      </c>
      <c r="BG53" s="260">
        <v>20</v>
      </c>
      <c r="BH53" s="271">
        <v>80</v>
      </c>
      <c r="BI53" s="276"/>
      <c r="BJ53" s="276"/>
      <c r="BK53" s="276"/>
      <c r="BL53" s="275"/>
      <c r="BM53" s="326">
        <v>139</v>
      </c>
      <c r="BN53" s="272">
        <v>40</v>
      </c>
      <c r="BO53" s="270">
        <v>40</v>
      </c>
      <c r="BP53" s="272"/>
      <c r="BQ53" s="260"/>
      <c r="BR53" s="260"/>
      <c r="BS53" s="260"/>
      <c r="BT53" s="260"/>
      <c r="BU53" s="260"/>
      <c r="BV53" s="260">
        <v>5</v>
      </c>
      <c r="BW53" s="260">
        <v>5</v>
      </c>
      <c r="BX53" s="260"/>
      <c r="BY53" s="260"/>
      <c r="BZ53" s="260"/>
      <c r="CA53" s="260"/>
      <c r="CB53" s="260"/>
      <c r="CC53" s="260"/>
      <c r="CD53" s="260">
        <v>40</v>
      </c>
      <c r="CE53" s="260">
        <v>80</v>
      </c>
      <c r="CF53" s="272"/>
      <c r="CG53" s="260"/>
      <c r="CH53" s="260"/>
      <c r="CI53" s="260"/>
      <c r="CJ53" s="260"/>
      <c r="CK53" s="260"/>
      <c r="CL53" s="260"/>
      <c r="CM53" s="260"/>
      <c r="CN53" s="260">
        <v>5</v>
      </c>
      <c r="CO53" s="260">
        <v>10</v>
      </c>
      <c r="CP53" s="260">
        <v>5</v>
      </c>
      <c r="CQ53" s="260">
        <v>20</v>
      </c>
      <c r="CR53" s="260">
        <v>5</v>
      </c>
      <c r="CS53" s="270">
        <v>10</v>
      </c>
      <c r="CT53" s="325">
        <v>139</v>
      </c>
      <c r="CU53" s="249">
        <f>Table2821115[[#This Row],[D28 - BR/18]]/Table2821115[[#This Row],[D0 - BR/18]]</f>
        <v>2</v>
      </c>
      <c r="CV53" s="248">
        <f>Table2821115[[#This Row],[D28 - KS/17]]/Table2821115[[#This Row],[D0 - KS/17]]</f>
        <v>8</v>
      </c>
      <c r="CW53" s="248">
        <f>Table2821115[[#This Row],[D28 - Phu/13]]/Table2821115[[#This Row],[D0 - Phu/13]]</f>
        <v>2</v>
      </c>
      <c r="CX53" s="248">
        <f>Table2821115[[#This Row],[D28 - CO/17]]/Table2821115[[#This Row],[D0 - CO/17]]</f>
        <v>4</v>
      </c>
      <c r="CY53" s="248">
        <f>LOG(Table2821115[[#This Row],[BR/18 Fold]],2)</f>
        <v>1</v>
      </c>
      <c r="CZ53" s="248">
        <f>LOG(Table2821115[[#This Row],[KS/17 Fold]],2)</f>
        <v>3</v>
      </c>
      <c r="DA53" s="248">
        <f>LOG(Table2821115[[#This Row],[Phu/13 Fold]],2)</f>
        <v>1</v>
      </c>
      <c r="DB53" s="248">
        <f>LOG(Table2821115[[#This Row],[CO/17 Fold]],2)</f>
        <v>2</v>
      </c>
      <c r="DC53" s="248">
        <f>SUM(Table2821115[[#This Row],[BR/18 Log2]:[CO/17 Log2]])</f>
        <v>7</v>
      </c>
    </row>
    <row r="54" spans="1:107" ht="24" customHeight="1">
      <c r="A54" s="327">
        <v>140</v>
      </c>
      <c r="B54" s="205">
        <v>19555</v>
      </c>
      <c r="C54" s="205">
        <v>43834</v>
      </c>
      <c r="D54" s="204">
        <v>66</v>
      </c>
      <c r="E54" s="4" t="s">
        <v>58</v>
      </c>
      <c r="F54" s="143" t="s">
        <v>118</v>
      </c>
      <c r="G54" s="142">
        <v>29.012131567340255</v>
      </c>
      <c r="H54" s="11" t="s">
        <v>59</v>
      </c>
      <c r="I54" s="281" t="s">
        <v>60</v>
      </c>
      <c r="J54" s="260">
        <v>5</v>
      </c>
      <c r="K54" s="260">
        <v>5</v>
      </c>
      <c r="L54" s="260"/>
      <c r="M54" s="260"/>
      <c r="N54" s="260"/>
      <c r="O54" s="260"/>
      <c r="P54" s="260"/>
      <c r="Q54" s="260"/>
      <c r="R54" s="260"/>
      <c r="S54" s="260"/>
      <c r="T54" s="260"/>
      <c r="U54" s="260"/>
      <c r="V54" s="260">
        <v>5</v>
      </c>
      <c r="W54" s="260">
        <v>5</v>
      </c>
      <c r="X54" s="260">
        <v>5</v>
      </c>
      <c r="Y54" s="260">
        <v>320</v>
      </c>
      <c r="Z54" s="260">
        <v>80</v>
      </c>
      <c r="AA54" s="260">
        <v>320</v>
      </c>
      <c r="AB54" s="260">
        <v>40</v>
      </c>
      <c r="AC54" s="260">
        <v>160</v>
      </c>
      <c r="AD54" s="260"/>
      <c r="AE54" s="260"/>
      <c r="AF54" s="260"/>
      <c r="AG54" s="260"/>
      <c r="AH54" s="203">
        <v>140</v>
      </c>
      <c r="AI54" s="272">
        <v>10</v>
      </c>
      <c r="AJ54" s="271">
        <v>320</v>
      </c>
      <c r="AK54" s="260"/>
      <c r="AL54" s="260"/>
      <c r="AM54" s="260"/>
      <c r="AN54" s="260"/>
      <c r="AO54" s="260"/>
      <c r="AP54" s="260"/>
      <c r="AQ54" s="260"/>
      <c r="AR54" s="260"/>
      <c r="AS54" s="260"/>
      <c r="AT54" s="260"/>
      <c r="AU54" s="260">
        <v>320</v>
      </c>
      <c r="AV54" s="271">
        <v>2560</v>
      </c>
      <c r="AW54" s="260">
        <v>320</v>
      </c>
      <c r="AX54" s="271">
        <v>2560</v>
      </c>
      <c r="AY54" s="260">
        <v>320</v>
      </c>
      <c r="AZ54" s="271">
        <v>5120</v>
      </c>
      <c r="BA54" s="276">
        <v>320</v>
      </c>
      <c r="BB54" s="276">
        <v>1280</v>
      </c>
      <c r="BC54" s="276"/>
      <c r="BD54" s="276"/>
      <c r="BE54" s="276">
        <v>80</v>
      </c>
      <c r="BF54" s="276">
        <v>1280</v>
      </c>
      <c r="BG54" s="260">
        <v>320</v>
      </c>
      <c r="BH54" s="271">
        <v>1280</v>
      </c>
      <c r="BI54" s="276"/>
      <c r="BJ54" s="276"/>
      <c r="BK54" s="276"/>
      <c r="BL54" s="275"/>
      <c r="BM54" s="326">
        <v>140</v>
      </c>
      <c r="BN54" s="272">
        <v>160</v>
      </c>
      <c r="BO54" s="270">
        <v>320</v>
      </c>
      <c r="BP54" s="272"/>
      <c r="BQ54" s="260"/>
      <c r="BR54" s="260"/>
      <c r="BS54" s="260"/>
      <c r="BT54" s="260"/>
      <c r="BU54" s="260"/>
      <c r="BV54" s="260">
        <v>160</v>
      </c>
      <c r="BW54" s="260">
        <v>320</v>
      </c>
      <c r="BX54" s="260"/>
      <c r="BY54" s="260"/>
      <c r="BZ54" s="260"/>
      <c r="CA54" s="260"/>
      <c r="CB54" s="260"/>
      <c r="CC54" s="260"/>
      <c r="CD54" s="260">
        <v>160</v>
      </c>
      <c r="CE54" s="260">
        <v>320</v>
      </c>
      <c r="CF54" s="272"/>
      <c r="CG54" s="260"/>
      <c r="CH54" s="260"/>
      <c r="CI54" s="260"/>
      <c r="CJ54" s="260"/>
      <c r="CK54" s="260"/>
      <c r="CL54" s="260"/>
      <c r="CM54" s="260"/>
      <c r="CN54" s="260">
        <v>5</v>
      </c>
      <c r="CO54" s="260">
        <v>160</v>
      </c>
      <c r="CP54" s="260">
        <v>20</v>
      </c>
      <c r="CQ54" s="260">
        <v>160</v>
      </c>
      <c r="CR54" s="260">
        <v>10</v>
      </c>
      <c r="CS54" s="270">
        <v>80</v>
      </c>
      <c r="CT54" s="325">
        <v>140</v>
      </c>
      <c r="CU54" s="249">
        <f>Table2821115[[#This Row],[D28 - BR/18]]/Table2821115[[#This Row],[D0 - BR/18]]</f>
        <v>4</v>
      </c>
      <c r="CV54" s="248">
        <f>Table2821115[[#This Row],[D28 - KS/17]]/Table2821115[[#This Row],[D0 - KS/17]]</f>
        <v>16</v>
      </c>
      <c r="CW54" s="248">
        <f>Table2821115[[#This Row],[D28 - Phu/13]]/Table2821115[[#This Row],[D0 - Phu/13]]</f>
        <v>2</v>
      </c>
      <c r="CX54" s="248">
        <f>Table2821115[[#This Row],[D28 - CO/17]]/Table2821115[[#This Row],[D0 - CO/17]]</f>
        <v>8</v>
      </c>
      <c r="CY54" s="248">
        <f>LOG(Table2821115[[#This Row],[BR/18 Fold]],2)</f>
        <v>2</v>
      </c>
      <c r="CZ54" s="248">
        <f>LOG(Table2821115[[#This Row],[KS/17 Fold]],2)</f>
        <v>4</v>
      </c>
      <c r="DA54" s="248">
        <f>LOG(Table2821115[[#This Row],[Phu/13 Fold]],2)</f>
        <v>1</v>
      </c>
      <c r="DB54" s="248">
        <f>LOG(Table2821115[[#This Row],[CO/17 Fold]],2)</f>
        <v>3</v>
      </c>
      <c r="DC54" s="248">
        <f>SUM(Table2821115[[#This Row],[BR/18 Log2]:[CO/17 Log2]])</f>
        <v>10</v>
      </c>
    </row>
    <row r="55" spans="1:107" ht="24" customHeight="1">
      <c r="A55" s="330">
        <v>141</v>
      </c>
      <c r="B55" s="210">
        <v>16919</v>
      </c>
      <c r="C55" s="210">
        <v>43731</v>
      </c>
      <c r="D55" s="209">
        <v>73</v>
      </c>
      <c r="E55" s="3" t="s">
        <v>61</v>
      </c>
      <c r="F55" s="143" t="s">
        <v>116</v>
      </c>
      <c r="G55" s="142">
        <v>29.171045981198862</v>
      </c>
      <c r="H55" s="5" t="s">
        <v>64</v>
      </c>
      <c r="I55" s="281" t="s">
        <v>60</v>
      </c>
      <c r="J55" s="260">
        <v>5</v>
      </c>
      <c r="K55" s="260">
        <v>20</v>
      </c>
      <c r="L55" s="260"/>
      <c r="M55" s="260"/>
      <c r="N55" s="260"/>
      <c r="O55" s="260"/>
      <c r="P55" s="260"/>
      <c r="Q55" s="260"/>
      <c r="R55" s="260"/>
      <c r="S55" s="260"/>
      <c r="T55" s="260"/>
      <c r="U55" s="260"/>
      <c r="V55" s="260">
        <v>5</v>
      </c>
      <c r="W55" s="260">
        <v>5</v>
      </c>
      <c r="X55" s="260">
        <v>10</v>
      </c>
      <c r="Y55" s="260">
        <v>320</v>
      </c>
      <c r="Z55" s="260">
        <v>40</v>
      </c>
      <c r="AA55" s="260">
        <v>320</v>
      </c>
      <c r="AB55" s="260">
        <v>40</v>
      </c>
      <c r="AC55" s="260">
        <v>160</v>
      </c>
      <c r="AD55" s="260"/>
      <c r="AE55" s="260"/>
      <c r="AF55" s="260"/>
      <c r="AG55" s="260"/>
      <c r="AH55" s="208">
        <v>141</v>
      </c>
      <c r="AI55" s="272">
        <v>10</v>
      </c>
      <c r="AJ55" s="271">
        <v>20</v>
      </c>
      <c r="AK55" s="260"/>
      <c r="AL55" s="260"/>
      <c r="AM55" s="260"/>
      <c r="AN55" s="260"/>
      <c r="AO55" s="260"/>
      <c r="AP55" s="260"/>
      <c r="AQ55" s="260"/>
      <c r="AR55" s="260"/>
      <c r="AS55" s="260"/>
      <c r="AT55" s="260"/>
      <c r="AU55" s="260">
        <v>40</v>
      </c>
      <c r="AV55" s="271">
        <v>320</v>
      </c>
      <c r="AW55" s="260">
        <v>40</v>
      </c>
      <c r="AX55" s="271">
        <v>160</v>
      </c>
      <c r="AY55" s="260">
        <v>40</v>
      </c>
      <c r="AZ55" s="271">
        <v>80</v>
      </c>
      <c r="BA55" s="276">
        <v>20</v>
      </c>
      <c r="BB55" s="276">
        <v>40</v>
      </c>
      <c r="BC55" s="276"/>
      <c r="BD55" s="276"/>
      <c r="BE55" s="276">
        <v>5</v>
      </c>
      <c r="BF55" s="276">
        <v>40</v>
      </c>
      <c r="BG55" s="260">
        <v>40</v>
      </c>
      <c r="BH55" s="271">
        <v>160</v>
      </c>
      <c r="BI55" s="276"/>
      <c r="BJ55" s="276"/>
      <c r="BK55" s="276"/>
      <c r="BL55" s="275"/>
      <c r="BM55" s="329">
        <v>141</v>
      </c>
      <c r="BN55" s="272">
        <v>20</v>
      </c>
      <c r="BO55" s="270">
        <v>80</v>
      </c>
      <c r="BP55" s="272"/>
      <c r="BQ55" s="260"/>
      <c r="BR55" s="260"/>
      <c r="BS55" s="260"/>
      <c r="BT55" s="260"/>
      <c r="BU55" s="260"/>
      <c r="BV55" s="260">
        <v>5</v>
      </c>
      <c r="BW55" s="260">
        <v>40</v>
      </c>
      <c r="BX55" s="260"/>
      <c r="BY55" s="260"/>
      <c r="BZ55" s="260"/>
      <c r="CA55" s="260"/>
      <c r="CB55" s="260"/>
      <c r="CC55" s="260"/>
      <c r="CD55" s="260">
        <v>40</v>
      </c>
      <c r="CE55" s="260">
        <v>80</v>
      </c>
      <c r="CF55" s="272"/>
      <c r="CG55" s="260"/>
      <c r="CH55" s="260"/>
      <c r="CI55" s="260"/>
      <c r="CJ55" s="260"/>
      <c r="CK55" s="260"/>
      <c r="CL55" s="260"/>
      <c r="CM55" s="260"/>
      <c r="CN55" s="260">
        <v>10</v>
      </c>
      <c r="CO55" s="260">
        <v>40</v>
      </c>
      <c r="CP55" s="260">
        <v>20</v>
      </c>
      <c r="CQ55" s="260">
        <v>80</v>
      </c>
      <c r="CR55" s="260">
        <v>10</v>
      </c>
      <c r="CS55" s="270">
        <v>40</v>
      </c>
      <c r="CT55" s="328">
        <v>141</v>
      </c>
      <c r="CU55" s="249">
        <f>Table2821115[[#This Row],[D28 - BR/18]]/Table2821115[[#This Row],[D0 - BR/18]]</f>
        <v>4</v>
      </c>
      <c r="CV55" s="248">
        <f>Table2821115[[#This Row],[D28 - KS/17]]/Table2821115[[#This Row],[D0 - KS/17]]</f>
        <v>8</v>
      </c>
      <c r="CW55" s="248">
        <f>Table2821115[[#This Row],[D28 - Phu/13]]/Table2821115[[#This Row],[D0 - Phu/13]]</f>
        <v>2</v>
      </c>
      <c r="CX55" s="248">
        <f>Table2821115[[#This Row],[D28 - CO/17]]/Table2821115[[#This Row],[D0 - CO/17]]</f>
        <v>4</v>
      </c>
      <c r="CY55" s="248">
        <f>LOG(Table2821115[[#This Row],[BR/18 Fold]],2)</f>
        <v>2</v>
      </c>
      <c r="CZ55" s="248">
        <f>LOG(Table2821115[[#This Row],[KS/17 Fold]],2)</f>
        <v>3</v>
      </c>
      <c r="DA55" s="248">
        <f>LOG(Table2821115[[#This Row],[Phu/13 Fold]],2)</f>
        <v>1</v>
      </c>
      <c r="DB55" s="248">
        <f>LOG(Table2821115[[#This Row],[CO/17 Fold]],2)</f>
        <v>2</v>
      </c>
      <c r="DC55" s="248">
        <f>SUM(Table2821115[[#This Row],[BR/18 Log2]:[CO/17 Log2]])</f>
        <v>8</v>
      </c>
    </row>
    <row r="56" spans="1:107" ht="24" customHeight="1">
      <c r="A56" s="330">
        <v>146</v>
      </c>
      <c r="B56" s="210">
        <v>17845</v>
      </c>
      <c r="C56" s="210">
        <v>43735</v>
      </c>
      <c r="D56" s="209">
        <v>70</v>
      </c>
      <c r="E56" s="4" t="s">
        <v>58</v>
      </c>
      <c r="F56" s="143" t="s">
        <v>116</v>
      </c>
      <c r="G56" s="142">
        <v>29.026309315233192</v>
      </c>
      <c r="H56" s="5" t="s">
        <v>64</v>
      </c>
      <c r="I56" s="281" t="s">
        <v>60</v>
      </c>
      <c r="J56" s="260">
        <v>5</v>
      </c>
      <c r="K56" s="260">
        <v>5</v>
      </c>
      <c r="L56" s="260"/>
      <c r="M56" s="260"/>
      <c r="N56" s="260"/>
      <c r="O56" s="260"/>
      <c r="P56" s="260"/>
      <c r="Q56" s="260"/>
      <c r="R56" s="260"/>
      <c r="S56" s="260"/>
      <c r="T56" s="260"/>
      <c r="U56" s="260"/>
      <c r="V56" s="260">
        <v>5</v>
      </c>
      <c r="W56" s="260">
        <v>5</v>
      </c>
      <c r="X56" s="260">
        <v>80</v>
      </c>
      <c r="Y56" s="260">
        <v>160</v>
      </c>
      <c r="Z56" s="260">
        <v>80</v>
      </c>
      <c r="AA56" s="260">
        <v>320</v>
      </c>
      <c r="AB56" s="260">
        <v>80</v>
      </c>
      <c r="AC56" s="260">
        <v>160</v>
      </c>
      <c r="AD56" s="260"/>
      <c r="AE56" s="260"/>
      <c r="AF56" s="260"/>
      <c r="AG56" s="260"/>
      <c r="AH56" s="208">
        <v>146</v>
      </c>
      <c r="AI56" s="272">
        <v>5</v>
      </c>
      <c r="AJ56" s="271">
        <v>5</v>
      </c>
      <c r="AK56" s="260"/>
      <c r="AL56" s="260"/>
      <c r="AM56" s="260"/>
      <c r="AN56" s="260"/>
      <c r="AO56" s="260"/>
      <c r="AP56" s="260"/>
      <c r="AQ56" s="260"/>
      <c r="AR56" s="260"/>
      <c r="AS56" s="260"/>
      <c r="AT56" s="260"/>
      <c r="AU56" s="260">
        <v>80</v>
      </c>
      <c r="AV56" s="271">
        <v>160</v>
      </c>
      <c r="AW56" s="260">
        <v>80</v>
      </c>
      <c r="AX56" s="271">
        <v>160</v>
      </c>
      <c r="AY56" s="260">
        <v>40</v>
      </c>
      <c r="AZ56" s="271">
        <v>80</v>
      </c>
      <c r="BA56" s="276">
        <v>40</v>
      </c>
      <c r="BB56" s="276">
        <v>80</v>
      </c>
      <c r="BC56" s="276"/>
      <c r="BD56" s="276"/>
      <c r="BE56" s="276">
        <v>20</v>
      </c>
      <c r="BF56" s="276">
        <v>40</v>
      </c>
      <c r="BG56" s="260">
        <v>20</v>
      </c>
      <c r="BH56" s="271">
        <v>40</v>
      </c>
      <c r="BI56" s="276"/>
      <c r="BJ56" s="276"/>
      <c r="BK56" s="276"/>
      <c r="BL56" s="275"/>
      <c r="BM56" s="329">
        <v>146</v>
      </c>
      <c r="BN56" s="272">
        <v>10</v>
      </c>
      <c r="BO56" s="270">
        <v>80</v>
      </c>
      <c r="BP56" s="272"/>
      <c r="BQ56" s="260"/>
      <c r="BR56" s="260"/>
      <c r="BS56" s="260"/>
      <c r="BT56" s="260"/>
      <c r="BU56" s="260"/>
      <c r="BV56" s="260">
        <v>80</v>
      </c>
      <c r="BW56" s="260">
        <v>160</v>
      </c>
      <c r="BX56" s="260"/>
      <c r="BY56" s="260"/>
      <c r="BZ56" s="260"/>
      <c r="CA56" s="260"/>
      <c r="CB56" s="260"/>
      <c r="CC56" s="260"/>
      <c r="CD56" s="260">
        <v>160</v>
      </c>
      <c r="CE56" s="260">
        <v>320</v>
      </c>
      <c r="CF56" s="272"/>
      <c r="CG56" s="260"/>
      <c r="CH56" s="260"/>
      <c r="CI56" s="260"/>
      <c r="CJ56" s="260"/>
      <c r="CK56" s="260"/>
      <c r="CL56" s="260"/>
      <c r="CM56" s="260"/>
      <c r="CN56" s="260">
        <v>20</v>
      </c>
      <c r="CO56" s="260">
        <v>160</v>
      </c>
      <c r="CP56" s="260">
        <v>10</v>
      </c>
      <c r="CQ56" s="260">
        <v>160</v>
      </c>
      <c r="CR56" s="260">
        <v>10</v>
      </c>
      <c r="CS56" s="270">
        <v>80</v>
      </c>
      <c r="CT56" s="328">
        <v>146</v>
      </c>
      <c r="CU56" s="249">
        <f>Table2821115[[#This Row],[D28 - BR/18]]/Table2821115[[#This Row],[D0 - BR/18]]</f>
        <v>2</v>
      </c>
      <c r="CV56" s="248">
        <f>Table2821115[[#This Row],[D28 - KS/17]]/Table2821115[[#This Row],[D0 - KS/17]]</f>
        <v>2</v>
      </c>
      <c r="CW56" s="248">
        <f>Table2821115[[#This Row],[D28 - Phu/13]]/Table2821115[[#This Row],[D0 - Phu/13]]</f>
        <v>2</v>
      </c>
      <c r="CX56" s="248">
        <f>Table2821115[[#This Row],[D28 - CO/17]]/Table2821115[[#This Row],[D0 - CO/17]]</f>
        <v>16</v>
      </c>
      <c r="CY56" s="248">
        <f>LOG(Table2821115[[#This Row],[BR/18 Fold]],2)</f>
        <v>1</v>
      </c>
      <c r="CZ56" s="248">
        <f>LOG(Table2821115[[#This Row],[KS/17 Fold]],2)</f>
        <v>1</v>
      </c>
      <c r="DA56" s="248">
        <f>LOG(Table2821115[[#This Row],[Phu/13 Fold]],2)</f>
        <v>1</v>
      </c>
      <c r="DB56" s="248">
        <f>LOG(Table2821115[[#This Row],[CO/17 Fold]],2)</f>
        <v>4</v>
      </c>
      <c r="DC56" s="248">
        <f>SUM(Table2821115[[#This Row],[BR/18 Log2]:[CO/17 Log2]])</f>
        <v>7</v>
      </c>
    </row>
    <row r="57" spans="1:107" ht="24" customHeight="1">
      <c r="A57" s="330">
        <v>147</v>
      </c>
      <c r="B57" s="210">
        <v>18298</v>
      </c>
      <c r="C57" s="210">
        <v>43738</v>
      </c>
      <c r="D57" s="209">
        <v>69</v>
      </c>
      <c r="E57" s="4" t="s">
        <v>58</v>
      </c>
      <c r="F57" s="143" t="s">
        <v>116</v>
      </c>
      <c r="G57" s="142">
        <v>21.22724713829987</v>
      </c>
      <c r="H57" s="5" t="s">
        <v>64</v>
      </c>
      <c r="I57" s="281" t="s">
        <v>60</v>
      </c>
      <c r="J57" s="260">
        <v>5</v>
      </c>
      <c r="K57" s="260">
        <v>5</v>
      </c>
      <c r="L57" s="260"/>
      <c r="M57" s="260"/>
      <c r="N57" s="260"/>
      <c r="O57" s="260"/>
      <c r="P57" s="260"/>
      <c r="Q57" s="260"/>
      <c r="R57" s="260"/>
      <c r="S57" s="260"/>
      <c r="T57" s="260"/>
      <c r="U57" s="260"/>
      <c r="V57" s="260">
        <v>5</v>
      </c>
      <c r="W57" s="260">
        <v>5</v>
      </c>
      <c r="X57" s="260">
        <v>5</v>
      </c>
      <c r="Y57" s="260">
        <v>20</v>
      </c>
      <c r="Z57" s="260">
        <v>10</v>
      </c>
      <c r="AA57" s="260">
        <v>40</v>
      </c>
      <c r="AB57" s="260">
        <v>5</v>
      </c>
      <c r="AC57" s="260">
        <v>10</v>
      </c>
      <c r="AD57" s="260"/>
      <c r="AE57" s="260"/>
      <c r="AF57" s="260"/>
      <c r="AG57" s="260"/>
      <c r="AH57" s="208">
        <v>147</v>
      </c>
      <c r="AI57" s="272">
        <v>5</v>
      </c>
      <c r="AJ57" s="271">
        <v>5</v>
      </c>
      <c r="AK57" s="260"/>
      <c r="AL57" s="260"/>
      <c r="AM57" s="260"/>
      <c r="AN57" s="260"/>
      <c r="AO57" s="260"/>
      <c r="AP57" s="260"/>
      <c r="AQ57" s="260"/>
      <c r="AR57" s="260"/>
      <c r="AS57" s="260"/>
      <c r="AT57" s="260"/>
      <c r="AU57" s="260">
        <v>10</v>
      </c>
      <c r="AV57" s="271">
        <v>20</v>
      </c>
      <c r="AW57" s="260">
        <v>5</v>
      </c>
      <c r="AX57" s="271">
        <v>20</v>
      </c>
      <c r="AY57" s="260">
        <v>5</v>
      </c>
      <c r="AZ57" s="271">
        <v>5</v>
      </c>
      <c r="BA57" s="276">
        <v>5</v>
      </c>
      <c r="BB57" s="276">
        <v>20</v>
      </c>
      <c r="BC57" s="276"/>
      <c r="BD57" s="276"/>
      <c r="BE57" s="276">
        <v>5</v>
      </c>
      <c r="BF57" s="276">
        <v>20</v>
      </c>
      <c r="BG57" s="260">
        <v>5</v>
      </c>
      <c r="BH57" s="271">
        <v>10</v>
      </c>
      <c r="BI57" s="276"/>
      <c r="BJ57" s="276"/>
      <c r="BK57" s="276"/>
      <c r="BL57" s="275"/>
      <c r="BM57" s="329">
        <v>147</v>
      </c>
      <c r="BN57" s="272">
        <v>160</v>
      </c>
      <c r="BO57" s="270">
        <v>160</v>
      </c>
      <c r="BP57" s="272"/>
      <c r="BQ57" s="260"/>
      <c r="BR57" s="260"/>
      <c r="BS57" s="260"/>
      <c r="BT57" s="260"/>
      <c r="BU57" s="260"/>
      <c r="BV57" s="260">
        <v>5</v>
      </c>
      <c r="BW57" s="260">
        <v>5</v>
      </c>
      <c r="BX57" s="260"/>
      <c r="BY57" s="260"/>
      <c r="BZ57" s="260"/>
      <c r="CA57" s="260"/>
      <c r="CB57" s="260"/>
      <c r="CC57" s="260"/>
      <c r="CD57" s="260">
        <v>80</v>
      </c>
      <c r="CE57" s="260">
        <v>80</v>
      </c>
      <c r="CF57" s="272"/>
      <c r="CG57" s="260"/>
      <c r="CH57" s="260"/>
      <c r="CI57" s="260"/>
      <c r="CJ57" s="260"/>
      <c r="CK57" s="260"/>
      <c r="CL57" s="260"/>
      <c r="CM57" s="260"/>
      <c r="CN57" s="260">
        <v>20</v>
      </c>
      <c r="CO57" s="260">
        <v>40</v>
      </c>
      <c r="CP57" s="260">
        <v>40</v>
      </c>
      <c r="CQ57" s="260">
        <v>80</v>
      </c>
      <c r="CR57" s="260">
        <v>40</v>
      </c>
      <c r="CS57" s="270">
        <v>40</v>
      </c>
      <c r="CT57" s="328">
        <v>147</v>
      </c>
      <c r="CU57" s="249">
        <f>Table2821115[[#This Row],[D28 - BR/18]]/Table2821115[[#This Row],[D0 - BR/18]]</f>
        <v>2</v>
      </c>
      <c r="CV57" s="248">
        <f>Table2821115[[#This Row],[D28 - KS/17]]/Table2821115[[#This Row],[D0 - KS/17]]</f>
        <v>4</v>
      </c>
      <c r="CW57" s="248">
        <f>Table2821115[[#This Row],[D28 - Phu/13]]/Table2821115[[#This Row],[D0 - Phu/13]]</f>
        <v>1</v>
      </c>
      <c r="CX57" s="248">
        <f>Table2821115[[#This Row],[D28 - CO/17]]/Table2821115[[#This Row],[D0 - CO/17]]</f>
        <v>2</v>
      </c>
      <c r="CY57" s="248">
        <f>LOG(Table2821115[[#This Row],[BR/18 Fold]],2)</f>
        <v>1</v>
      </c>
      <c r="CZ57" s="248">
        <f>LOG(Table2821115[[#This Row],[KS/17 Fold]],2)</f>
        <v>2</v>
      </c>
      <c r="DA57" s="248">
        <f>LOG(Table2821115[[#This Row],[Phu/13 Fold]],2)</f>
        <v>0</v>
      </c>
      <c r="DB57" s="248">
        <f>LOG(Table2821115[[#This Row],[CO/17 Fold]],2)</f>
        <v>1</v>
      </c>
      <c r="DC57" s="248">
        <f>SUM(Table2821115[[#This Row],[BR/18 Log2]:[CO/17 Log2]])</f>
        <v>4</v>
      </c>
    </row>
    <row r="58" spans="1:107" ht="24" customHeight="1">
      <c r="A58" s="330">
        <v>148</v>
      </c>
      <c r="B58" s="210">
        <v>17640</v>
      </c>
      <c r="C58" s="210">
        <v>43732</v>
      </c>
      <c r="D58" s="209">
        <v>71</v>
      </c>
      <c r="E58" s="4" t="s">
        <v>58</v>
      </c>
      <c r="F58" s="143" t="s">
        <v>116</v>
      </c>
      <c r="G58" s="142">
        <v>30.567482085677248</v>
      </c>
      <c r="H58" s="5" t="s">
        <v>64</v>
      </c>
      <c r="I58" s="281" t="s">
        <v>60</v>
      </c>
      <c r="J58" s="260">
        <v>5</v>
      </c>
      <c r="K58" s="260">
        <v>5</v>
      </c>
      <c r="L58" s="260"/>
      <c r="M58" s="260"/>
      <c r="N58" s="260"/>
      <c r="O58" s="260"/>
      <c r="P58" s="260"/>
      <c r="Q58" s="260"/>
      <c r="R58" s="260"/>
      <c r="S58" s="260"/>
      <c r="T58" s="260"/>
      <c r="U58" s="260"/>
      <c r="V58" s="260">
        <v>5</v>
      </c>
      <c r="W58" s="260">
        <v>5</v>
      </c>
      <c r="X58" s="260">
        <v>5</v>
      </c>
      <c r="Y58" s="260">
        <v>10</v>
      </c>
      <c r="Z58" s="260">
        <v>5</v>
      </c>
      <c r="AA58" s="260">
        <v>20</v>
      </c>
      <c r="AB58" s="260">
        <v>5</v>
      </c>
      <c r="AC58" s="260">
        <v>5</v>
      </c>
      <c r="AD58" s="260"/>
      <c r="AE58" s="260"/>
      <c r="AF58" s="260"/>
      <c r="AG58" s="260"/>
      <c r="AH58" s="208">
        <v>148</v>
      </c>
      <c r="AI58" s="272">
        <v>5</v>
      </c>
      <c r="AJ58" s="271">
        <v>5</v>
      </c>
      <c r="AK58" s="260"/>
      <c r="AL58" s="260"/>
      <c r="AM58" s="260"/>
      <c r="AN58" s="260"/>
      <c r="AO58" s="260"/>
      <c r="AP58" s="260"/>
      <c r="AQ58" s="260"/>
      <c r="AR58" s="260"/>
      <c r="AS58" s="260"/>
      <c r="AT58" s="260"/>
      <c r="AU58" s="260">
        <v>20</v>
      </c>
      <c r="AV58" s="271">
        <v>80</v>
      </c>
      <c r="AW58" s="260">
        <v>5</v>
      </c>
      <c r="AX58" s="271">
        <v>40</v>
      </c>
      <c r="AY58" s="260">
        <v>5</v>
      </c>
      <c r="AZ58" s="271">
        <v>20</v>
      </c>
      <c r="BA58" s="276">
        <v>5</v>
      </c>
      <c r="BB58" s="276">
        <v>80</v>
      </c>
      <c r="BC58" s="276"/>
      <c r="BD58" s="276"/>
      <c r="BE58" s="276">
        <v>5</v>
      </c>
      <c r="BF58" s="276">
        <v>20</v>
      </c>
      <c r="BG58" s="260">
        <v>10</v>
      </c>
      <c r="BH58" s="271">
        <v>20</v>
      </c>
      <c r="BI58" s="276"/>
      <c r="BJ58" s="276"/>
      <c r="BK58" s="276"/>
      <c r="BL58" s="275"/>
      <c r="BM58" s="329">
        <v>148</v>
      </c>
      <c r="BN58" s="272">
        <v>40</v>
      </c>
      <c r="BO58" s="270">
        <v>40</v>
      </c>
      <c r="BP58" s="272"/>
      <c r="BQ58" s="260"/>
      <c r="BR58" s="260"/>
      <c r="BS58" s="260"/>
      <c r="BT58" s="260"/>
      <c r="BU58" s="260"/>
      <c r="BV58" s="260">
        <v>5</v>
      </c>
      <c r="BW58" s="260">
        <v>20</v>
      </c>
      <c r="BX58" s="260"/>
      <c r="BY58" s="260"/>
      <c r="BZ58" s="260"/>
      <c r="CA58" s="260"/>
      <c r="CB58" s="260"/>
      <c r="CC58" s="260"/>
      <c r="CD58" s="260">
        <v>20</v>
      </c>
      <c r="CE58" s="260">
        <v>40</v>
      </c>
      <c r="CF58" s="272"/>
      <c r="CG58" s="260"/>
      <c r="CH58" s="260"/>
      <c r="CI58" s="260"/>
      <c r="CJ58" s="260"/>
      <c r="CK58" s="260"/>
      <c r="CL58" s="260"/>
      <c r="CM58" s="260"/>
      <c r="CN58" s="260">
        <v>5</v>
      </c>
      <c r="CO58" s="260">
        <v>10</v>
      </c>
      <c r="CP58" s="260">
        <v>5</v>
      </c>
      <c r="CQ58" s="260">
        <v>20</v>
      </c>
      <c r="CR58" s="260">
        <v>10</v>
      </c>
      <c r="CS58" s="270">
        <v>10</v>
      </c>
      <c r="CT58" s="328">
        <v>148</v>
      </c>
      <c r="CU58" s="249">
        <f>Table2821115[[#This Row],[D28 - BR/18]]/Table2821115[[#This Row],[D0 - BR/18]]</f>
        <v>1</v>
      </c>
      <c r="CV58" s="248">
        <f>Table2821115[[#This Row],[D28 - KS/17]]/Table2821115[[#This Row],[D0 - KS/17]]</f>
        <v>4</v>
      </c>
      <c r="CW58" s="248">
        <f>Table2821115[[#This Row],[D28 - Phu/13]]/Table2821115[[#This Row],[D0 - Phu/13]]</f>
        <v>2</v>
      </c>
      <c r="CX58" s="248">
        <f>Table2821115[[#This Row],[D28 - CO/17]]/Table2821115[[#This Row],[D0 - CO/17]]</f>
        <v>4</v>
      </c>
      <c r="CY58" s="248">
        <f>LOG(Table2821115[[#This Row],[BR/18 Fold]],2)</f>
        <v>0</v>
      </c>
      <c r="CZ58" s="248">
        <f>LOG(Table2821115[[#This Row],[KS/17 Fold]],2)</f>
        <v>2</v>
      </c>
      <c r="DA58" s="248">
        <f>LOG(Table2821115[[#This Row],[Phu/13 Fold]],2)</f>
        <v>1</v>
      </c>
      <c r="DB58" s="248">
        <f>LOG(Table2821115[[#This Row],[CO/17 Fold]],2)</f>
        <v>2</v>
      </c>
      <c r="DC58" s="248">
        <f>SUM(Table2821115[[#This Row],[BR/18 Log2]:[CO/17 Log2]])</f>
        <v>5</v>
      </c>
    </row>
    <row r="59" spans="1:107" ht="24" customHeight="1">
      <c r="A59" s="327">
        <v>149</v>
      </c>
      <c r="B59" s="205">
        <v>18768</v>
      </c>
      <c r="C59" s="205">
        <v>43747</v>
      </c>
      <c r="D59" s="204">
        <v>68</v>
      </c>
      <c r="E59" s="4" t="s">
        <v>58</v>
      </c>
      <c r="F59" s="143" t="s">
        <v>116</v>
      </c>
      <c r="G59" s="142">
        <v>21.999564654165518</v>
      </c>
      <c r="H59" s="11" t="s">
        <v>59</v>
      </c>
      <c r="I59" s="281" t="s">
        <v>60</v>
      </c>
      <c r="J59" s="260">
        <v>5</v>
      </c>
      <c r="K59" s="260">
        <v>5</v>
      </c>
      <c r="L59" s="260"/>
      <c r="M59" s="260"/>
      <c r="N59" s="260"/>
      <c r="O59" s="260"/>
      <c r="P59" s="260"/>
      <c r="Q59" s="260"/>
      <c r="R59" s="260"/>
      <c r="S59" s="260"/>
      <c r="T59" s="260"/>
      <c r="U59" s="260"/>
      <c r="V59" s="260">
        <v>5</v>
      </c>
      <c r="W59" s="260">
        <v>5</v>
      </c>
      <c r="X59" s="260">
        <v>5</v>
      </c>
      <c r="Y59" s="260">
        <v>20</v>
      </c>
      <c r="Z59" s="260">
        <v>10</v>
      </c>
      <c r="AA59" s="260">
        <v>40</v>
      </c>
      <c r="AB59" s="260">
        <v>10</v>
      </c>
      <c r="AC59" s="260">
        <v>20</v>
      </c>
      <c r="AD59" s="260"/>
      <c r="AE59" s="260"/>
      <c r="AF59" s="260"/>
      <c r="AG59" s="260"/>
      <c r="AH59" s="203">
        <v>149</v>
      </c>
      <c r="AI59" s="272">
        <v>5</v>
      </c>
      <c r="AJ59" s="271">
        <v>5</v>
      </c>
      <c r="AK59" s="260"/>
      <c r="AL59" s="260"/>
      <c r="AM59" s="260"/>
      <c r="AN59" s="260"/>
      <c r="AO59" s="260"/>
      <c r="AP59" s="260"/>
      <c r="AQ59" s="260"/>
      <c r="AR59" s="260"/>
      <c r="AS59" s="260"/>
      <c r="AT59" s="260"/>
      <c r="AU59" s="260">
        <v>80</v>
      </c>
      <c r="AV59" s="271">
        <v>160</v>
      </c>
      <c r="AW59" s="260">
        <v>80</v>
      </c>
      <c r="AX59" s="271">
        <v>160</v>
      </c>
      <c r="AY59" s="260">
        <v>5</v>
      </c>
      <c r="AZ59" s="271">
        <v>40</v>
      </c>
      <c r="BA59" s="276">
        <v>20</v>
      </c>
      <c r="BB59" s="276">
        <v>80</v>
      </c>
      <c r="BC59" s="276"/>
      <c r="BD59" s="276"/>
      <c r="BE59" s="276">
        <v>20</v>
      </c>
      <c r="BF59" s="276">
        <v>80</v>
      </c>
      <c r="BG59" s="260">
        <v>40</v>
      </c>
      <c r="BH59" s="271">
        <v>80</v>
      </c>
      <c r="BI59" s="276"/>
      <c r="BJ59" s="276"/>
      <c r="BK59" s="276"/>
      <c r="BL59" s="275"/>
      <c r="BM59" s="326">
        <v>149</v>
      </c>
      <c r="BN59" s="272">
        <v>10</v>
      </c>
      <c r="BO59" s="270">
        <v>10</v>
      </c>
      <c r="BP59" s="272"/>
      <c r="BQ59" s="260"/>
      <c r="BR59" s="260"/>
      <c r="BS59" s="260"/>
      <c r="BT59" s="260"/>
      <c r="BU59" s="260"/>
      <c r="BV59" s="260">
        <v>5</v>
      </c>
      <c r="BW59" s="260">
        <v>5</v>
      </c>
      <c r="BX59" s="260"/>
      <c r="BY59" s="260"/>
      <c r="BZ59" s="260"/>
      <c r="CA59" s="260"/>
      <c r="CB59" s="260"/>
      <c r="CC59" s="260"/>
      <c r="CD59" s="260">
        <v>10</v>
      </c>
      <c r="CE59" s="260">
        <v>20</v>
      </c>
      <c r="CF59" s="272"/>
      <c r="CG59" s="260"/>
      <c r="CH59" s="260"/>
      <c r="CI59" s="260"/>
      <c r="CJ59" s="260"/>
      <c r="CK59" s="260"/>
      <c r="CL59" s="260"/>
      <c r="CM59" s="260"/>
      <c r="CN59" s="260">
        <v>5</v>
      </c>
      <c r="CO59" s="260">
        <v>20</v>
      </c>
      <c r="CP59" s="260">
        <v>5</v>
      </c>
      <c r="CQ59" s="260">
        <v>20</v>
      </c>
      <c r="CR59" s="260">
        <v>5</v>
      </c>
      <c r="CS59" s="270">
        <v>10</v>
      </c>
      <c r="CT59" s="325">
        <v>149</v>
      </c>
      <c r="CU59" s="249">
        <f>Table2821115[[#This Row],[D28 - BR/18]]/Table2821115[[#This Row],[D0 - BR/18]]</f>
        <v>2</v>
      </c>
      <c r="CV59" s="248">
        <f>Table2821115[[#This Row],[D28 - KS/17]]/Table2821115[[#This Row],[D0 - KS/17]]</f>
        <v>4</v>
      </c>
      <c r="CW59" s="248">
        <f>Table2821115[[#This Row],[D28 - Phu/13]]/Table2821115[[#This Row],[D0 - Phu/13]]</f>
        <v>2</v>
      </c>
      <c r="CX59" s="248">
        <f>Table2821115[[#This Row],[D28 - CO/17]]/Table2821115[[#This Row],[D0 - CO/17]]</f>
        <v>4</v>
      </c>
      <c r="CY59" s="248">
        <f>LOG(Table2821115[[#This Row],[BR/18 Fold]],2)</f>
        <v>1</v>
      </c>
      <c r="CZ59" s="248">
        <f>LOG(Table2821115[[#This Row],[KS/17 Fold]],2)</f>
        <v>2</v>
      </c>
      <c r="DA59" s="248">
        <f>LOG(Table2821115[[#This Row],[Phu/13 Fold]],2)</f>
        <v>1</v>
      </c>
      <c r="DB59" s="248">
        <f>LOG(Table2821115[[#This Row],[CO/17 Fold]],2)</f>
        <v>2</v>
      </c>
      <c r="DC59" s="248">
        <f>SUM(Table2821115[[#This Row],[BR/18 Log2]:[CO/17 Log2]])</f>
        <v>6</v>
      </c>
    </row>
    <row r="60" spans="1:107" ht="24" customHeight="1">
      <c r="A60" s="327">
        <v>151</v>
      </c>
      <c r="B60" s="205">
        <v>18470</v>
      </c>
      <c r="C60" s="205">
        <v>43780</v>
      </c>
      <c r="D60" s="204">
        <v>69</v>
      </c>
      <c r="E60" s="3" t="s">
        <v>61</v>
      </c>
      <c r="F60" s="143" t="s">
        <v>116</v>
      </c>
      <c r="G60" s="142">
        <v>29.970664182398806</v>
      </c>
      <c r="H60" s="11" t="s">
        <v>59</v>
      </c>
      <c r="I60" s="281" t="s">
        <v>60</v>
      </c>
      <c r="J60" s="260">
        <v>5</v>
      </c>
      <c r="K60" s="260">
        <v>5</v>
      </c>
      <c r="L60" s="260"/>
      <c r="M60" s="260"/>
      <c r="N60" s="260"/>
      <c r="O60" s="260"/>
      <c r="P60" s="260"/>
      <c r="Q60" s="260"/>
      <c r="R60" s="260"/>
      <c r="S60" s="260"/>
      <c r="T60" s="260"/>
      <c r="U60" s="260"/>
      <c r="V60" s="260">
        <v>5</v>
      </c>
      <c r="W60" s="260">
        <v>5</v>
      </c>
      <c r="X60" s="260">
        <v>5</v>
      </c>
      <c r="Y60" s="260">
        <v>5</v>
      </c>
      <c r="Z60" s="260">
        <v>5</v>
      </c>
      <c r="AA60" s="260">
        <v>5</v>
      </c>
      <c r="AB60" s="260">
        <v>5</v>
      </c>
      <c r="AC60" s="260">
        <v>5</v>
      </c>
      <c r="AD60" s="260"/>
      <c r="AE60" s="260"/>
      <c r="AF60" s="260"/>
      <c r="AG60" s="260"/>
      <c r="AH60" s="203">
        <v>151</v>
      </c>
      <c r="AI60" s="272">
        <v>5</v>
      </c>
      <c r="AJ60" s="271">
        <v>5</v>
      </c>
      <c r="AK60" s="260"/>
      <c r="AL60" s="260"/>
      <c r="AM60" s="260"/>
      <c r="AN60" s="260"/>
      <c r="AO60" s="260"/>
      <c r="AP60" s="260"/>
      <c r="AQ60" s="260"/>
      <c r="AR60" s="260"/>
      <c r="AS60" s="260"/>
      <c r="AT60" s="260"/>
      <c r="AU60" s="260">
        <v>20</v>
      </c>
      <c r="AV60" s="271">
        <v>80</v>
      </c>
      <c r="AW60" s="260">
        <v>20</v>
      </c>
      <c r="AX60" s="271">
        <v>80</v>
      </c>
      <c r="AY60" s="260">
        <v>10</v>
      </c>
      <c r="AZ60" s="271">
        <v>40</v>
      </c>
      <c r="BA60" s="276">
        <v>10</v>
      </c>
      <c r="BB60" s="276">
        <v>40</v>
      </c>
      <c r="BC60" s="276"/>
      <c r="BD60" s="276"/>
      <c r="BE60" s="276">
        <v>5</v>
      </c>
      <c r="BF60" s="276">
        <v>40</v>
      </c>
      <c r="BG60" s="260">
        <v>20</v>
      </c>
      <c r="BH60" s="271">
        <v>40</v>
      </c>
      <c r="BI60" s="276"/>
      <c r="BJ60" s="276"/>
      <c r="BK60" s="276"/>
      <c r="BL60" s="275"/>
      <c r="BM60" s="326">
        <v>151</v>
      </c>
      <c r="BN60" s="272">
        <v>80</v>
      </c>
      <c r="BO60" s="270">
        <v>5</v>
      </c>
      <c r="BP60" s="272"/>
      <c r="BQ60" s="260"/>
      <c r="BR60" s="260"/>
      <c r="BS60" s="260"/>
      <c r="BT60" s="260"/>
      <c r="BU60" s="260"/>
      <c r="BV60" s="260">
        <v>10</v>
      </c>
      <c r="BW60" s="260">
        <v>10</v>
      </c>
      <c r="BX60" s="260"/>
      <c r="BY60" s="260"/>
      <c r="BZ60" s="260"/>
      <c r="CA60" s="260"/>
      <c r="CB60" s="260"/>
      <c r="CC60" s="260"/>
      <c r="CD60" s="260">
        <v>10</v>
      </c>
      <c r="CE60" s="260">
        <v>10</v>
      </c>
      <c r="CF60" s="272"/>
      <c r="CG60" s="260"/>
      <c r="CH60" s="260"/>
      <c r="CI60" s="260"/>
      <c r="CJ60" s="260"/>
      <c r="CK60" s="260"/>
      <c r="CL60" s="260"/>
      <c r="CM60" s="260"/>
      <c r="CN60" s="260">
        <v>10</v>
      </c>
      <c r="CO60" s="260">
        <v>5</v>
      </c>
      <c r="CP60" s="260">
        <v>20</v>
      </c>
      <c r="CQ60" s="260">
        <v>10</v>
      </c>
      <c r="CR60" s="260">
        <v>20</v>
      </c>
      <c r="CS60" s="270">
        <v>5</v>
      </c>
      <c r="CT60" s="325">
        <v>151</v>
      </c>
      <c r="CU60" s="249">
        <f>Table2821115[[#This Row],[D28 - BR/18]]/Table2821115[[#This Row],[D0 - BR/18]]</f>
        <v>1</v>
      </c>
      <c r="CV60" s="248">
        <f>Table2821115[[#This Row],[D28 - KS/17]]/Table2821115[[#This Row],[D0 - KS/17]]</f>
        <v>8</v>
      </c>
      <c r="CW60" s="248">
        <f>Table2821115[[#This Row],[D28 - Phu/13]]/Table2821115[[#This Row],[D0 - Phu/13]]</f>
        <v>1</v>
      </c>
      <c r="CX60" s="248">
        <f>Table2821115[[#This Row],[D28 - CO/17]]/Table2821115[[#This Row],[D0 - CO/17]]</f>
        <v>0.5</v>
      </c>
      <c r="CY60" s="248">
        <f>LOG(Table2821115[[#This Row],[BR/18 Fold]],2)</f>
        <v>0</v>
      </c>
      <c r="CZ60" s="248">
        <f>LOG(Table2821115[[#This Row],[KS/17 Fold]],2)</f>
        <v>3</v>
      </c>
      <c r="DA60" s="248">
        <f>LOG(Table2821115[[#This Row],[Phu/13 Fold]],2)</f>
        <v>0</v>
      </c>
      <c r="DB60" s="248">
        <f>LOG(Table2821115[[#This Row],[CO/17 Fold]],2)</f>
        <v>-1</v>
      </c>
      <c r="DC60" s="248">
        <f>SUM(Table2821115[[#This Row],[BR/18 Log2]:[CO/17 Log2]])</f>
        <v>2</v>
      </c>
    </row>
    <row r="61" spans="1:107" ht="24" customHeight="1">
      <c r="A61" s="324">
        <v>155</v>
      </c>
      <c r="B61" s="190">
        <v>29689</v>
      </c>
      <c r="C61" s="190">
        <v>43769</v>
      </c>
      <c r="D61" s="189">
        <v>38</v>
      </c>
      <c r="E61" s="4" t="s">
        <v>58</v>
      </c>
      <c r="F61" s="143" t="s">
        <v>116</v>
      </c>
      <c r="G61" s="142">
        <v>49.209660774079545</v>
      </c>
      <c r="H61" s="11" t="s">
        <v>59</v>
      </c>
      <c r="I61" s="281" t="s">
        <v>62</v>
      </c>
      <c r="J61" s="260">
        <v>5</v>
      </c>
      <c r="K61" s="260">
        <v>20</v>
      </c>
      <c r="L61" s="260"/>
      <c r="M61" s="260"/>
      <c r="N61" s="260"/>
      <c r="O61" s="260"/>
      <c r="P61" s="260"/>
      <c r="Q61" s="260"/>
      <c r="R61" s="260"/>
      <c r="S61" s="260"/>
      <c r="T61" s="260"/>
      <c r="U61" s="260"/>
      <c r="V61" s="260">
        <v>5</v>
      </c>
      <c r="W61" s="260">
        <v>10</v>
      </c>
      <c r="X61" s="260">
        <v>5</v>
      </c>
      <c r="Y61" s="260">
        <v>80</v>
      </c>
      <c r="Z61" s="260">
        <v>20</v>
      </c>
      <c r="AA61" s="260">
        <v>160</v>
      </c>
      <c r="AB61" s="260">
        <v>20</v>
      </c>
      <c r="AC61" s="260">
        <v>80</v>
      </c>
      <c r="AD61" s="260"/>
      <c r="AE61" s="260"/>
      <c r="AF61" s="260"/>
      <c r="AG61" s="260"/>
      <c r="AH61" s="198">
        <v>155</v>
      </c>
      <c r="AI61" s="272">
        <v>10</v>
      </c>
      <c r="AJ61" s="271">
        <v>40</v>
      </c>
      <c r="AK61" s="260"/>
      <c r="AL61" s="260"/>
      <c r="AM61" s="260"/>
      <c r="AN61" s="260"/>
      <c r="AO61" s="260"/>
      <c r="AP61" s="260"/>
      <c r="AQ61" s="260"/>
      <c r="AR61" s="260"/>
      <c r="AS61" s="260"/>
      <c r="AT61" s="260"/>
      <c r="AU61" s="260">
        <v>5</v>
      </c>
      <c r="AV61" s="271">
        <v>160</v>
      </c>
      <c r="AW61" s="260">
        <v>5</v>
      </c>
      <c r="AX61" s="271">
        <v>160</v>
      </c>
      <c r="AY61" s="260">
        <v>5</v>
      </c>
      <c r="AZ61" s="271">
        <v>80</v>
      </c>
      <c r="BA61" s="276">
        <v>5</v>
      </c>
      <c r="BB61" s="276">
        <v>80</v>
      </c>
      <c r="BC61" s="276"/>
      <c r="BD61" s="276"/>
      <c r="BE61" s="276">
        <v>5</v>
      </c>
      <c r="BF61" s="276">
        <v>80</v>
      </c>
      <c r="BG61" s="260">
        <v>5</v>
      </c>
      <c r="BH61" s="271">
        <v>160</v>
      </c>
      <c r="BI61" s="276"/>
      <c r="BJ61" s="276"/>
      <c r="BK61" s="276"/>
      <c r="BL61" s="275"/>
      <c r="BM61" s="323">
        <v>155</v>
      </c>
      <c r="BN61" s="272">
        <v>320</v>
      </c>
      <c r="BO61" s="270">
        <v>320</v>
      </c>
      <c r="BP61" s="272"/>
      <c r="BQ61" s="260"/>
      <c r="BR61" s="260"/>
      <c r="BS61" s="260"/>
      <c r="BT61" s="260"/>
      <c r="BU61" s="260"/>
      <c r="BV61" s="260">
        <v>80</v>
      </c>
      <c r="BW61" s="260">
        <v>160</v>
      </c>
      <c r="BX61" s="260"/>
      <c r="BY61" s="260"/>
      <c r="BZ61" s="260"/>
      <c r="CA61" s="260"/>
      <c r="CB61" s="260"/>
      <c r="CC61" s="260"/>
      <c r="CD61" s="260">
        <v>160</v>
      </c>
      <c r="CE61" s="260">
        <v>320</v>
      </c>
      <c r="CF61" s="272"/>
      <c r="CG61" s="260"/>
      <c r="CH61" s="260"/>
      <c r="CI61" s="260"/>
      <c r="CJ61" s="260"/>
      <c r="CK61" s="260"/>
      <c r="CL61" s="260"/>
      <c r="CM61" s="260"/>
      <c r="CN61" s="260">
        <v>160</v>
      </c>
      <c r="CO61" s="260">
        <v>160</v>
      </c>
      <c r="CP61" s="260">
        <v>160</v>
      </c>
      <c r="CQ61" s="260">
        <v>320</v>
      </c>
      <c r="CR61" s="260">
        <v>160</v>
      </c>
      <c r="CS61" s="270">
        <v>160</v>
      </c>
      <c r="CT61" s="322">
        <v>155</v>
      </c>
      <c r="CU61" s="249">
        <f>Table2821115[[#This Row],[D28 - BR/18]]/Table2821115[[#This Row],[D0 - BR/18]]</f>
        <v>4</v>
      </c>
      <c r="CV61" s="248">
        <f>Table2821115[[#This Row],[D28 - KS/17]]/Table2821115[[#This Row],[D0 - KS/17]]</f>
        <v>16</v>
      </c>
      <c r="CW61" s="248">
        <f>Table2821115[[#This Row],[D28 - Phu/13]]/Table2821115[[#This Row],[D0 - Phu/13]]</f>
        <v>2</v>
      </c>
      <c r="CX61" s="248">
        <f>Table2821115[[#This Row],[D28 - CO/17]]/Table2821115[[#This Row],[D0 - CO/17]]</f>
        <v>2</v>
      </c>
      <c r="CY61" s="248">
        <f>LOG(Table2821115[[#This Row],[BR/18 Fold]],2)</f>
        <v>2</v>
      </c>
      <c r="CZ61" s="248">
        <f>LOG(Table2821115[[#This Row],[KS/17 Fold]],2)</f>
        <v>4</v>
      </c>
      <c r="DA61" s="248">
        <f>LOG(Table2821115[[#This Row],[Phu/13 Fold]],2)</f>
        <v>1</v>
      </c>
      <c r="DB61" s="248">
        <f>LOG(Table2821115[[#This Row],[CO/17 Fold]],2)</f>
        <v>1</v>
      </c>
      <c r="DC61" s="248">
        <f>SUM(Table2821115[[#This Row],[BR/18 Log2]:[CO/17 Log2]])</f>
        <v>8</v>
      </c>
    </row>
    <row r="62" spans="1:107" ht="24" customHeight="1">
      <c r="A62" s="318">
        <v>157</v>
      </c>
      <c r="B62" s="180">
        <v>20774</v>
      </c>
      <c r="C62" s="180">
        <v>43746</v>
      </c>
      <c r="D62" s="179">
        <v>62</v>
      </c>
      <c r="E62" s="4" t="s">
        <v>58</v>
      </c>
      <c r="F62" s="143" t="s">
        <v>116</v>
      </c>
      <c r="G62" s="142">
        <v>24.943449059311227</v>
      </c>
      <c r="H62" s="11" t="s">
        <v>59</v>
      </c>
      <c r="I62" s="281" t="s">
        <v>60</v>
      </c>
      <c r="J62" s="260">
        <v>5</v>
      </c>
      <c r="K62" s="260">
        <v>5</v>
      </c>
      <c r="L62" s="260"/>
      <c r="M62" s="260"/>
      <c r="N62" s="260"/>
      <c r="O62" s="260"/>
      <c r="P62" s="260"/>
      <c r="Q62" s="260"/>
      <c r="R62" s="260"/>
      <c r="S62" s="260"/>
      <c r="T62" s="260"/>
      <c r="U62" s="260"/>
      <c r="V62" s="260">
        <v>5</v>
      </c>
      <c r="W62" s="260">
        <v>10</v>
      </c>
      <c r="X62" s="260">
        <v>5</v>
      </c>
      <c r="Y62" s="260">
        <v>5</v>
      </c>
      <c r="Z62" s="260">
        <v>5</v>
      </c>
      <c r="AA62" s="260">
        <v>5</v>
      </c>
      <c r="AB62" s="260">
        <v>5</v>
      </c>
      <c r="AC62" s="260">
        <v>10</v>
      </c>
      <c r="AD62" s="260"/>
      <c r="AE62" s="260"/>
      <c r="AF62" s="260"/>
      <c r="AG62" s="260"/>
      <c r="AH62" s="195">
        <v>157</v>
      </c>
      <c r="AI62" s="272">
        <v>5</v>
      </c>
      <c r="AJ62" s="271">
        <v>10</v>
      </c>
      <c r="AK62" s="260"/>
      <c r="AL62" s="260"/>
      <c r="AM62" s="260"/>
      <c r="AN62" s="260"/>
      <c r="AO62" s="260"/>
      <c r="AP62" s="260"/>
      <c r="AQ62" s="260"/>
      <c r="AR62" s="260"/>
      <c r="AS62" s="260"/>
      <c r="AT62" s="260"/>
      <c r="AU62" s="260">
        <v>5</v>
      </c>
      <c r="AV62" s="271">
        <v>10</v>
      </c>
      <c r="AW62" s="260">
        <v>80</v>
      </c>
      <c r="AX62" s="271">
        <v>320</v>
      </c>
      <c r="AY62" s="260">
        <v>40</v>
      </c>
      <c r="AZ62" s="271">
        <v>160</v>
      </c>
      <c r="BA62" s="276">
        <v>40</v>
      </c>
      <c r="BB62" s="276">
        <v>160</v>
      </c>
      <c r="BC62" s="276"/>
      <c r="BD62" s="276"/>
      <c r="BE62" s="276">
        <v>10</v>
      </c>
      <c r="BF62" s="276">
        <v>40</v>
      </c>
      <c r="BG62" s="260">
        <v>40</v>
      </c>
      <c r="BH62" s="271">
        <v>80</v>
      </c>
      <c r="BI62" s="276"/>
      <c r="BJ62" s="276"/>
      <c r="BK62" s="276"/>
      <c r="BL62" s="275"/>
      <c r="BM62" s="316">
        <v>157</v>
      </c>
      <c r="BN62" s="272">
        <v>40</v>
      </c>
      <c r="BO62" s="270">
        <v>160</v>
      </c>
      <c r="BP62" s="272"/>
      <c r="BQ62" s="260"/>
      <c r="BR62" s="260"/>
      <c r="BS62" s="260"/>
      <c r="BT62" s="260"/>
      <c r="BU62" s="260"/>
      <c r="BV62" s="260">
        <v>5</v>
      </c>
      <c r="BW62" s="260">
        <v>40</v>
      </c>
      <c r="BX62" s="260"/>
      <c r="BY62" s="260"/>
      <c r="BZ62" s="260"/>
      <c r="CA62" s="260"/>
      <c r="CB62" s="260"/>
      <c r="CC62" s="260"/>
      <c r="CD62" s="260">
        <v>20</v>
      </c>
      <c r="CE62" s="260">
        <v>40</v>
      </c>
      <c r="CF62" s="272"/>
      <c r="CG62" s="260"/>
      <c r="CH62" s="260"/>
      <c r="CI62" s="260"/>
      <c r="CJ62" s="260"/>
      <c r="CK62" s="260"/>
      <c r="CL62" s="260"/>
      <c r="CM62" s="260"/>
      <c r="CN62" s="260">
        <v>20</v>
      </c>
      <c r="CO62" s="260">
        <v>40</v>
      </c>
      <c r="CP62" s="260">
        <v>20</v>
      </c>
      <c r="CQ62" s="260">
        <v>80</v>
      </c>
      <c r="CR62" s="260">
        <v>20</v>
      </c>
      <c r="CS62" s="270">
        <v>40</v>
      </c>
      <c r="CT62" s="315">
        <v>157</v>
      </c>
      <c r="CU62" s="249">
        <f>Table2821115[[#This Row],[D28 - BR/18]]/Table2821115[[#This Row],[D0 - BR/18]]</f>
        <v>2</v>
      </c>
      <c r="CV62" s="248">
        <f>Table2821115[[#This Row],[D28 - KS/17]]/Table2821115[[#This Row],[D0 - KS/17]]</f>
        <v>4</v>
      </c>
      <c r="CW62" s="248">
        <f>Table2821115[[#This Row],[D28 - Phu/13]]/Table2821115[[#This Row],[D0 - Phu/13]]</f>
        <v>2</v>
      </c>
      <c r="CX62" s="248">
        <f>Table2821115[[#This Row],[D28 - CO/17]]/Table2821115[[#This Row],[D0 - CO/17]]</f>
        <v>4</v>
      </c>
      <c r="CY62" s="248">
        <f>LOG(Table2821115[[#This Row],[BR/18 Fold]],2)</f>
        <v>1</v>
      </c>
      <c r="CZ62" s="248">
        <f>LOG(Table2821115[[#This Row],[KS/17 Fold]],2)</f>
        <v>2</v>
      </c>
      <c r="DA62" s="248">
        <f>LOG(Table2821115[[#This Row],[Phu/13 Fold]],2)</f>
        <v>1</v>
      </c>
      <c r="DB62" s="248">
        <f>LOG(Table2821115[[#This Row],[CO/17 Fold]],2)</f>
        <v>2</v>
      </c>
      <c r="DC62" s="248">
        <f>SUM(Table2821115[[#This Row],[BR/18 Log2]:[CO/17 Log2]])</f>
        <v>6</v>
      </c>
    </row>
    <row r="63" spans="1:107" ht="24" customHeight="1">
      <c r="A63" s="321">
        <v>161</v>
      </c>
      <c r="B63" s="183">
        <v>33793</v>
      </c>
      <c r="C63" s="183">
        <v>43760</v>
      </c>
      <c r="D63" s="182">
        <v>27</v>
      </c>
      <c r="E63" s="4" t="s">
        <v>58</v>
      </c>
      <c r="F63" s="143" t="s">
        <v>116</v>
      </c>
      <c r="G63" s="142">
        <v>26.873469387755101</v>
      </c>
      <c r="H63" s="11" t="s">
        <v>59</v>
      </c>
      <c r="I63" s="281" t="s">
        <v>60</v>
      </c>
      <c r="J63" s="260">
        <v>5</v>
      </c>
      <c r="K63" s="260">
        <v>5</v>
      </c>
      <c r="L63" s="260"/>
      <c r="M63" s="260"/>
      <c r="N63" s="260"/>
      <c r="O63" s="260"/>
      <c r="P63" s="260"/>
      <c r="Q63" s="260"/>
      <c r="R63" s="260"/>
      <c r="S63" s="260"/>
      <c r="T63" s="260"/>
      <c r="U63" s="260"/>
      <c r="V63" s="260">
        <v>40</v>
      </c>
      <c r="W63" s="260">
        <v>40</v>
      </c>
      <c r="X63" s="260">
        <v>320</v>
      </c>
      <c r="Y63" s="260">
        <v>320</v>
      </c>
      <c r="Z63" s="260">
        <v>320</v>
      </c>
      <c r="AA63" s="260">
        <v>320</v>
      </c>
      <c r="AB63" s="260">
        <v>160</v>
      </c>
      <c r="AC63" s="260">
        <v>160</v>
      </c>
      <c r="AD63" s="260"/>
      <c r="AE63" s="260"/>
      <c r="AF63" s="260"/>
      <c r="AG63" s="260"/>
      <c r="AH63" s="32">
        <v>161</v>
      </c>
      <c r="AI63" s="272">
        <v>320</v>
      </c>
      <c r="AJ63" s="271">
        <v>320</v>
      </c>
      <c r="AK63" s="260"/>
      <c r="AL63" s="260"/>
      <c r="AM63" s="260"/>
      <c r="AN63" s="260"/>
      <c r="AO63" s="260"/>
      <c r="AP63" s="260"/>
      <c r="AQ63" s="260"/>
      <c r="AR63" s="260"/>
      <c r="AS63" s="260"/>
      <c r="AT63" s="260"/>
      <c r="AU63" s="260">
        <v>160</v>
      </c>
      <c r="AV63" s="271">
        <v>160</v>
      </c>
      <c r="AW63" s="260">
        <v>40</v>
      </c>
      <c r="AX63" s="271">
        <v>80</v>
      </c>
      <c r="AY63" s="260">
        <v>5</v>
      </c>
      <c r="AZ63" s="271">
        <v>80</v>
      </c>
      <c r="BA63" s="276">
        <v>80</v>
      </c>
      <c r="BB63" s="276">
        <v>80</v>
      </c>
      <c r="BC63" s="276"/>
      <c r="BD63" s="276"/>
      <c r="BE63" s="276">
        <v>5</v>
      </c>
      <c r="BF63" s="276">
        <v>20</v>
      </c>
      <c r="BG63" s="260">
        <v>160</v>
      </c>
      <c r="BH63" s="271">
        <v>320</v>
      </c>
      <c r="BI63" s="276"/>
      <c r="BJ63" s="276"/>
      <c r="BK63" s="276"/>
      <c r="BL63" s="275"/>
      <c r="BM63" s="320">
        <v>161</v>
      </c>
      <c r="BN63" s="272">
        <v>640</v>
      </c>
      <c r="BO63" s="270">
        <v>640</v>
      </c>
      <c r="BP63" s="272"/>
      <c r="BQ63" s="260"/>
      <c r="BR63" s="260"/>
      <c r="BS63" s="260"/>
      <c r="BT63" s="260"/>
      <c r="BU63" s="260"/>
      <c r="BV63" s="260">
        <v>320</v>
      </c>
      <c r="BW63" s="260">
        <v>320</v>
      </c>
      <c r="BX63" s="260"/>
      <c r="BY63" s="260"/>
      <c r="BZ63" s="260"/>
      <c r="CA63" s="260"/>
      <c r="CB63" s="260"/>
      <c r="CC63" s="260"/>
      <c r="CD63" s="260">
        <v>640</v>
      </c>
      <c r="CE63" s="260">
        <v>640</v>
      </c>
      <c r="CF63" s="272"/>
      <c r="CG63" s="260"/>
      <c r="CH63" s="260"/>
      <c r="CI63" s="260"/>
      <c r="CJ63" s="260"/>
      <c r="CK63" s="260"/>
      <c r="CL63" s="260"/>
      <c r="CM63" s="260"/>
      <c r="CN63" s="260">
        <v>40</v>
      </c>
      <c r="CO63" s="260">
        <v>40</v>
      </c>
      <c r="CP63" s="260">
        <v>80</v>
      </c>
      <c r="CQ63" s="260">
        <v>80</v>
      </c>
      <c r="CR63" s="260">
        <v>20</v>
      </c>
      <c r="CS63" s="270">
        <v>20</v>
      </c>
      <c r="CT63" s="319">
        <v>161</v>
      </c>
      <c r="CU63" s="249">
        <f>Table2821115[[#This Row],[D28 - BR/18]]/Table2821115[[#This Row],[D0 - BR/18]]</f>
        <v>1</v>
      </c>
      <c r="CV63" s="248">
        <f>Table2821115[[#This Row],[D28 - KS/17]]/Table2821115[[#This Row],[D0 - KS/17]]</f>
        <v>4</v>
      </c>
      <c r="CW63" s="248">
        <f>Table2821115[[#This Row],[D28 - Phu/13]]/Table2821115[[#This Row],[D0 - Phu/13]]</f>
        <v>1</v>
      </c>
      <c r="CX63" s="248">
        <f>Table2821115[[#This Row],[D28 - CO/17]]/Table2821115[[#This Row],[D0 - CO/17]]</f>
        <v>1</v>
      </c>
      <c r="CY63" s="248">
        <f>LOG(Table2821115[[#This Row],[BR/18 Fold]],2)</f>
        <v>0</v>
      </c>
      <c r="CZ63" s="248">
        <f>LOG(Table2821115[[#This Row],[KS/17 Fold]],2)</f>
        <v>2</v>
      </c>
      <c r="DA63" s="248">
        <f>LOG(Table2821115[[#This Row],[Phu/13 Fold]],2)</f>
        <v>0</v>
      </c>
      <c r="DB63" s="248">
        <f>LOG(Table2821115[[#This Row],[CO/17 Fold]],2)</f>
        <v>0</v>
      </c>
      <c r="DC63" s="248">
        <f>SUM(Table2821115[[#This Row],[BR/18 Log2]:[CO/17 Log2]])</f>
        <v>2</v>
      </c>
    </row>
    <row r="64" spans="1:107" ht="24" customHeight="1">
      <c r="A64" s="330">
        <v>162</v>
      </c>
      <c r="B64" s="210">
        <v>16022</v>
      </c>
      <c r="C64" s="210">
        <v>43762</v>
      </c>
      <c r="D64" s="209">
        <v>75</v>
      </c>
      <c r="E64" s="3" t="s">
        <v>61</v>
      </c>
      <c r="F64" s="143" t="s">
        <v>116</v>
      </c>
      <c r="G64" s="142">
        <v>24.724766487345089</v>
      </c>
      <c r="H64" s="5" t="s">
        <v>64</v>
      </c>
      <c r="I64" s="281" t="s">
        <v>60</v>
      </c>
      <c r="J64" s="260">
        <v>5</v>
      </c>
      <c r="K64" s="260">
        <v>5</v>
      </c>
      <c r="L64" s="260"/>
      <c r="M64" s="260"/>
      <c r="N64" s="260"/>
      <c r="O64" s="260"/>
      <c r="P64" s="260"/>
      <c r="Q64" s="260"/>
      <c r="R64" s="260"/>
      <c r="S64" s="260"/>
      <c r="T64" s="260"/>
      <c r="U64" s="260"/>
      <c r="V64" s="260">
        <v>5</v>
      </c>
      <c r="W64" s="260">
        <v>5</v>
      </c>
      <c r="X64" s="260">
        <v>40</v>
      </c>
      <c r="Y64" s="260">
        <v>80</v>
      </c>
      <c r="Z64" s="260">
        <v>5</v>
      </c>
      <c r="AA64" s="260">
        <v>160</v>
      </c>
      <c r="AB64" s="260">
        <v>5</v>
      </c>
      <c r="AC64" s="260">
        <v>40</v>
      </c>
      <c r="AD64" s="260"/>
      <c r="AE64" s="260"/>
      <c r="AF64" s="260"/>
      <c r="AG64" s="260"/>
      <c r="AH64" s="208">
        <v>162</v>
      </c>
      <c r="AI64" s="272">
        <v>40</v>
      </c>
      <c r="AJ64" s="271">
        <v>80</v>
      </c>
      <c r="AK64" s="260"/>
      <c r="AL64" s="260"/>
      <c r="AM64" s="260"/>
      <c r="AN64" s="260"/>
      <c r="AO64" s="260"/>
      <c r="AP64" s="260"/>
      <c r="AQ64" s="260"/>
      <c r="AR64" s="260"/>
      <c r="AS64" s="260"/>
      <c r="AT64" s="260"/>
      <c r="AU64" s="260">
        <v>40</v>
      </c>
      <c r="AV64" s="271">
        <v>80</v>
      </c>
      <c r="AW64" s="260">
        <v>40</v>
      </c>
      <c r="AX64" s="271">
        <v>80</v>
      </c>
      <c r="AY64" s="260">
        <v>10</v>
      </c>
      <c r="AZ64" s="271">
        <v>40</v>
      </c>
      <c r="BA64" s="276">
        <v>20</v>
      </c>
      <c r="BB64" s="276">
        <v>40</v>
      </c>
      <c r="BC64" s="276"/>
      <c r="BD64" s="276"/>
      <c r="BE64" s="276">
        <v>10</v>
      </c>
      <c r="BF64" s="276">
        <v>40</v>
      </c>
      <c r="BG64" s="260">
        <v>80</v>
      </c>
      <c r="BH64" s="271">
        <v>160</v>
      </c>
      <c r="BI64" s="276"/>
      <c r="BJ64" s="276"/>
      <c r="BK64" s="276"/>
      <c r="BL64" s="275"/>
      <c r="BM64" s="329">
        <v>162</v>
      </c>
      <c r="BN64" s="272">
        <v>10</v>
      </c>
      <c r="BO64" s="270">
        <v>40</v>
      </c>
      <c r="BP64" s="272"/>
      <c r="BQ64" s="260"/>
      <c r="BR64" s="260"/>
      <c r="BS64" s="260"/>
      <c r="BT64" s="260"/>
      <c r="BU64" s="260"/>
      <c r="BV64" s="260">
        <v>10</v>
      </c>
      <c r="BW64" s="260">
        <v>10</v>
      </c>
      <c r="BX64" s="260"/>
      <c r="BY64" s="260"/>
      <c r="BZ64" s="260"/>
      <c r="CA64" s="260"/>
      <c r="CB64" s="260"/>
      <c r="CC64" s="260"/>
      <c r="CD64" s="260">
        <v>10</v>
      </c>
      <c r="CE64" s="260">
        <v>10</v>
      </c>
      <c r="CF64" s="272"/>
      <c r="CG64" s="260"/>
      <c r="CH64" s="260"/>
      <c r="CI64" s="260"/>
      <c r="CJ64" s="260"/>
      <c r="CK64" s="260"/>
      <c r="CL64" s="260"/>
      <c r="CM64" s="260"/>
      <c r="CN64" s="260">
        <v>5</v>
      </c>
      <c r="CO64" s="260">
        <v>20</v>
      </c>
      <c r="CP64" s="260">
        <v>10</v>
      </c>
      <c r="CQ64" s="260">
        <v>40</v>
      </c>
      <c r="CR64" s="260">
        <v>5</v>
      </c>
      <c r="CS64" s="270">
        <v>20</v>
      </c>
      <c r="CT64" s="328">
        <v>162</v>
      </c>
      <c r="CU64" s="249">
        <f>Table2821115[[#This Row],[D28 - BR/18]]/Table2821115[[#This Row],[D0 - BR/18]]</f>
        <v>8</v>
      </c>
      <c r="CV64" s="248">
        <f>Table2821115[[#This Row],[D28 - KS/17]]/Table2821115[[#This Row],[D0 - KS/17]]</f>
        <v>4</v>
      </c>
      <c r="CW64" s="248">
        <f>Table2821115[[#This Row],[D28 - Phu/13]]/Table2821115[[#This Row],[D0 - Phu/13]]</f>
        <v>1</v>
      </c>
      <c r="CX64" s="248">
        <f>Table2821115[[#This Row],[D28 - CO/17]]/Table2821115[[#This Row],[D0 - CO/17]]</f>
        <v>4</v>
      </c>
      <c r="CY64" s="248">
        <f>LOG(Table2821115[[#This Row],[BR/18 Fold]],2)</f>
        <v>3</v>
      </c>
      <c r="CZ64" s="248">
        <f>LOG(Table2821115[[#This Row],[KS/17 Fold]],2)</f>
        <v>2</v>
      </c>
      <c r="DA64" s="248">
        <f>LOG(Table2821115[[#This Row],[Phu/13 Fold]],2)</f>
        <v>0</v>
      </c>
      <c r="DB64" s="248">
        <f>LOG(Table2821115[[#This Row],[CO/17 Fold]],2)</f>
        <v>2</v>
      </c>
      <c r="DC64" s="248">
        <f>SUM(Table2821115[[#This Row],[BR/18 Log2]:[CO/17 Log2]])</f>
        <v>7</v>
      </c>
    </row>
    <row r="65" spans="1:107" ht="24" customHeight="1">
      <c r="A65" s="318">
        <v>166</v>
      </c>
      <c r="B65" s="180">
        <v>23242</v>
      </c>
      <c r="C65" s="180">
        <v>43741</v>
      </c>
      <c r="D65" s="179">
        <v>56</v>
      </c>
      <c r="E65" s="4" t="s">
        <v>58</v>
      </c>
      <c r="F65" s="143" t="s">
        <v>116</v>
      </c>
      <c r="G65" s="142">
        <v>30.778021975148093</v>
      </c>
      <c r="H65" s="11" t="s">
        <v>59</v>
      </c>
      <c r="I65" s="281" t="s">
        <v>60</v>
      </c>
      <c r="J65" s="260">
        <v>5</v>
      </c>
      <c r="K65" s="260">
        <v>20</v>
      </c>
      <c r="L65" s="260"/>
      <c r="M65" s="260"/>
      <c r="N65" s="260"/>
      <c r="O65" s="260"/>
      <c r="P65" s="260"/>
      <c r="Q65" s="260"/>
      <c r="R65" s="260"/>
      <c r="S65" s="260"/>
      <c r="T65" s="260"/>
      <c r="U65" s="260"/>
      <c r="V65" s="260">
        <v>5</v>
      </c>
      <c r="W65" s="260">
        <v>5</v>
      </c>
      <c r="X65" s="260">
        <v>20</v>
      </c>
      <c r="Y65" s="260">
        <v>80</v>
      </c>
      <c r="Z65" s="260">
        <v>40</v>
      </c>
      <c r="AA65" s="260">
        <v>80</v>
      </c>
      <c r="AB65" s="260">
        <v>20</v>
      </c>
      <c r="AC65" s="260">
        <v>40</v>
      </c>
      <c r="AD65" s="260"/>
      <c r="AE65" s="260"/>
      <c r="AF65" s="260"/>
      <c r="AG65" s="260"/>
      <c r="AH65" s="195">
        <v>166</v>
      </c>
      <c r="AI65" s="272">
        <v>40</v>
      </c>
      <c r="AJ65" s="271">
        <v>40</v>
      </c>
      <c r="AK65" s="260"/>
      <c r="AL65" s="260"/>
      <c r="AM65" s="260"/>
      <c r="AN65" s="260"/>
      <c r="AO65" s="260"/>
      <c r="AP65" s="260"/>
      <c r="AQ65" s="260"/>
      <c r="AR65" s="260"/>
      <c r="AS65" s="260"/>
      <c r="AT65" s="260"/>
      <c r="AU65" s="260">
        <v>80</v>
      </c>
      <c r="AV65" s="271">
        <v>80</v>
      </c>
      <c r="AW65" s="260">
        <v>40</v>
      </c>
      <c r="AX65" s="271">
        <v>80</v>
      </c>
      <c r="AY65" s="260">
        <v>40</v>
      </c>
      <c r="AZ65" s="271">
        <v>40</v>
      </c>
      <c r="BA65" s="276">
        <v>20</v>
      </c>
      <c r="BB65" s="276">
        <v>40</v>
      </c>
      <c r="BC65" s="276"/>
      <c r="BD65" s="276"/>
      <c r="BE65" s="276">
        <v>10</v>
      </c>
      <c r="BF65" s="276">
        <v>20</v>
      </c>
      <c r="BG65" s="260">
        <v>40</v>
      </c>
      <c r="BH65" s="271">
        <v>80</v>
      </c>
      <c r="BI65" s="276"/>
      <c r="BJ65" s="276"/>
      <c r="BK65" s="276"/>
      <c r="BL65" s="275"/>
      <c r="BM65" s="316">
        <v>166</v>
      </c>
      <c r="BN65" s="272">
        <v>160</v>
      </c>
      <c r="BO65" s="270">
        <v>160</v>
      </c>
      <c r="BP65" s="272"/>
      <c r="BQ65" s="260"/>
      <c r="BR65" s="260"/>
      <c r="BS65" s="260"/>
      <c r="BT65" s="260"/>
      <c r="BU65" s="260"/>
      <c r="BV65" s="260">
        <v>80</v>
      </c>
      <c r="BW65" s="260">
        <v>80</v>
      </c>
      <c r="BX65" s="260"/>
      <c r="BY65" s="260"/>
      <c r="BZ65" s="260"/>
      <c r="CA65" s="260"/>
      <c r="CB65" s="260"/>
      <c r="CC65" s="260"/>
      <c r="CD65" s="260">
        <v>160</v>
      </c>
      <c r="CE65" s="260">
        <v>160</v>
      </c>
      <c r="CF65" s="272"/>
      <c r="CG65" s="260"/>
      <c r="CH65" s="260"/>
      <c r="CI65" s="260"/>
      <c r="CJ65" s="260"/>
      <c r="CK65" s="260"/>
      <c r="CL65" s="260"/>
      <c r="CM65" s="260"/>
      <c r="CN65" s="260">
        <v>40</v>
      </c>
      <c r="CO65" s="260">
        <v>80</v>
      </c>
      <c r="CP65" s="260">
        <v>80</v>
      </c>
      <c r="CQ65" s="260">
        <v>80</v>
      </c>
      <c r="CR65" s="260">
        <v>40</v>
      </c>
      <c r="CS65" s="270">
        <v>80</v>
      </c>
      <c r="CT65" s="315">
        <v>166</v>
      </c>
      <c r="CU65" s="249">
        <f>Table2821115[[#This Row],[D28 - BR/18]]/Table2821115[[#This Row],[D0 - BR/18]]</f>
        <v>2</v>
      </c>
      <c r="CV65" s="248">
        <f>Table2821115[[#This Row],[D28 - KS/17]]/Table2821115[[#This Row],[D0 - KS/17]]</f>
        <v>2</v>
      </c>
      <c r="CW65" s="248">
        <f>Table2821115[[#This Row],[D28 - Phu/13]]/Table2821115[[#This Row],[D0 - Phu/13]]</f>
        <v>1</v>
      </c>
      <c r="CX65" s="248">
        <f>Table2821115[[#This Row],[D28 - CO/17]]/Table2821115[[#This Row],[D0 - CO/17]]</f>
        <v>1</v>
      </c>
      <c r="CY65" s="248">
        <f>LOG(Table2821115[[#This Row],[BR/18 Fold]],2)</f>
        <v>1</v>
      </c>
      <c r="CZ65" s="248">
        <f>LOG(Table2821115[[#This Row],[KS/17 Fold]],2)</f>
        <v>1</v>
      </c>
      <c r="DA65" s="248">
        <f>LOG(Table2821115[[#This Row],[Phu/13 Fold]],2)</f>
        <v>0</v>
      </c>
      <c r="DB65" s="248">
        <f>LOG(Table2821115[[#This Row],[CO/17 Fold]],2)</f>
        <v>0</v>
      </c>
      <c r="DC65" s="248">
        <f>SUM(Table2821115[[#This Row],[BR/18 Log2]:[CO/17 Log2]])</f>
        <v>2</v>
      </c>
    </row>
    <row r="66" spans="1:107" ht="24" customHeight="1">
      <c r="A66" s="330">
        <v>169</v>
      </c>
      <c r="B66" s="210">
        <v>15907</v>
      </c>
      <c r="C66" s="210">
        <v>43734</v>
      </c>
      <c r="D66" s="209">
        <v>76</v>
      </c>
      <c r="E66" s="4" t="s">
        <v>58</v>
      </c>
      <c r="F66" s="143" t="s">
        <v>116</v>
      </c>
      <c r="G66" s="142">
        <v>24.423979720383993</v>
      </c>
      <c r="H66" s="5" t="s">
        <v>64</v>
      </c>
      <c r="I66" s="281" t="s">
        <v>60</v>
      </c>
      <c r="J66" s="260">
        <v>5</v>
      </c>
      <c r="K66" s="260">
        <v>5</v>
      </c>
      <c r="L66" s="260"/>
      <c r="M66" s="260"/>
      <c r="N66" s="260"/>
      <c r="O66" s="260"/>
      <c r="P66" s="260"/>
      <c r="Q66" s="260"/>
      <c r="R66" s="260"/>
      <c r="S66" s="260"/>
      <c r="T66" s="260"/>
      <c r="U66" s="260"/>
      <c r="V66" s="260">
        <v>5</v>
      </c>
      <c r="W66" s="260">
        <v>5</v>
      </c>
      <c r="X66" s="260">
        <v>10</v>
      </c>
      <c r="Y66" s="260">
        <v>10</v>
      </c>
      <c r="Z66" s="260">
        <v>10</v>
      </c>
      <c r="AA66" s="260">
        <v>20</v>
      </c>
      <c r="AB66" s="260">
        <v>10</v>
      </c>
      <c r="AC66" s="260">
        <v>10</v>
      </c>
      <c r="AD66" s="260"/>
      <c r="AE66" s="260"/>
      <c r="AF66" s="260"/>
      <c r="AG66" s="260"/>
      <c r="AH66" s="208">
        <v>169</v>
      </c>
      <c r="AI66" s="272">
        <v>10</v>
      </c>
      <c r="AJ66" s="271">
        <v>10</v>
      </c>
      <c r="AK66" s="260"/>
      <c r="AL66" s="260"/>
      <c r="AM66" s="260"/>
      <c r="AN66" s="260"/>
      <c r="AO66" s="260"/>
      <c r="AP66" s="260"/>
      <c r="AQ66" s="260"/>
      <c r="AR66" s="260"/>
      <c r="AS66" s="260"/>
      <c r="AT66" s="260"/>
      <c r="AU66" s="260">
        <v>40</v>
      </c>
      <c r="AV66" s="271">
        <v>40</v>
      </c>
      <c r="AW66" s="260">
        <v>40</v>
      </c>
      <c r="AX66" s="271">
        <v>80</v>
      </c>
      <c r="AY66" s="260">
        <v>20</v>
      </c>
      <c r="AZ66" s="271">
        <v>40</v>
      </c>
      <c r="BA66" s="276">
        <v>20</v>
      </c>
      <c r="BB66" s="276">
        <v>40</v>
      </c>
      <c r="BC66" s="276"/>
      <c r="BD66" s="276"/>
      <c r="BE66" s="276">
        <v>5</v>
      </c>
      <c r="BF66" s="276">
        <v>40</v>
      </c>
      <c r="BG66" s="260">
        <v>20</v>
      </c>
      <c r="BH66" s="271">
        <v>80</v>
      </c>
      <c r="BI66" s="276"/>
      <c r="BJ66" s="276"/>
      <c r="BK66" s="276"/>
      <c r="BL66" s="275"/>
      <c r="BM66" s="329">
        <v>169</v>
      </c>
      <c r="BN66" s="272">
        <v>10</v>
      </c>
      <c r="BO66" s="270">
        <v>10</v>
      </c>
      <c r="BP66" s="272"/>
      <c r="BQ66" s="260"/>
      <c r="BR66" s="260"/>
      <c r="BS66" s="260"/>
      <c r="BT66" s="260"/>
      <c r="BU66" s="260"/>
      <c r="BV66" s="260">
        <v>10</v>
      </c>
      <c r="BW66" s="260">
        <v>10</v>
      </c>
      <c r="BX66" s="260"/>
      <c r="BY66" s="260"/>
      <c r="BZ66" s="260"/>
      <c r="CA66" s="260"/>
      <c r="CB66" s="260"/>
      <c r="CC66" s="260"/>
      <c r="CD66" s="260">
        <v>20</v>
      </c>
      <c r="CE66" s="260">
        <v>10</v>
      </c>
      <c r="CF66" s="272"/>
      <c r="CG66" s="260"/>
      <c r="CH66" s="260"/>
      <c r="CI66" s="260"/>
      <c r="CJ66" s="260"/>
      <c r="CK66" s="260"/>
      <c r="CL66" s="260"/>
      <c r="CM66" s="260"/>
      <c r="CN66" s="260">
        <v>20</v>
      </c>
      <c r="CO66" s="260">
        <v>10</v>
      </c>
      <c r="CP66" s="260">
        <v>10</v>
      </c>
      <c r="CQ66" s="260">
        <v>20</v>
      </c>
      <c r="CR66" s="260">
        <v>10</v>
      </c>
      <c r="CS66" s="270">
        <v>20</v>
      </c>
      <c r="CT66" s="328">
        <v>169</v>
      </c>
      <c r="CU66" s="249">
        <f>Table2821115[[#This Row],[D28 - BR/18]]/Table2821115[[#This Row],[D0 - BR/18]]</f>
        <v>1</v>
      </c>
      <c r="CV66" s="248">
        <f>Table2821115[[#This Row],[D28 - KS/17]]/Table2821115[[#This Row],[D0 - KS/17]]</f>
        <v>8</v>
      </c>
      <c r="CW66" s="248">
        <f>Table2821115[[#This Row],[D28 - Phu/13]]/Table2821115[[#This Row],[D0 - Phu/13]]</f>
        <v>0.5</v>
      </c>
      <c r="CX66" s="248">
        <f>Table2821115[[#This Row],[D28 - CO/17]]/Table2821115[[#This Row],[D0 - CO/17]]</f>
        <v>2</v>
      </c>
      <c r="CY66" s="248">
        <f>LOG(Table2821115[[#This Row],[BR/18 Fold]],2)</f>
        <v>0</v>
      </c>
      <c r="CZ66" s="248">
        <f>LOG(Table2821115[[#This Row],[KS/17 Fold]],2)</f>
        <v>3</v>
      </c>
      <c r="DA66" s="248">
        <f>LOG(Table2821115[[#This Row],[Phu/13 Fold]],2)</f>
        <v>-1</v>
      </c>
      <c r="DB66" s="248">
        <f>LOG(Table2821115[[#This Row],[CO/17 Fold]],2)</f>
        <v>1</v>
      </c>
      <c r="DC66" s="248">
        <f>SUM(Table2821115[[#This Row],[BR/18 Log2]:[CO/17 Log2]])</f>
        <v>3</v>
      </c>
    </row>
    <row r="67" spans="1:107" ht="24" customHeight="1">
      <c r="A67" s="330">
        <v>170</v>
      </c>
      <c r="B67" s="210">
        <v>18281</v>
      </c>
      <c r="C67" s="210">
        <v>43734</v>
      </c>
      <c r="D67" s="209">
        <v>69</v>
      </c>
      <c r="E67" s="3" t="s">
        <v>61</v>
      </c>
      <c r="F67" s="143" t="s">
        <v>116</v>
      </c>
      <c r="G67" s="142">
        <v>32.551338110391249</v>
      </c>
      <c r="H67" s="5" t="s">
        <v>64</v>
      </c>
      <c r="I67" s="281" t="s">
        <v>60</v>
      </c>
      <c r="J67" s="260">
        <v>5</v>
      </c>
      <c r="K67" s="260">
        <v>20</v>
      </c>
      <c r="L67" s="260"/>
      <c r="M67" s="260"/>
      <c r="N67" s="260"/>
      <c r="O67" s="260"/>
      <c r="P67" s="260"/>
      <c r="Q67" s="260"/>
      <c r="R67" s="260"/>
      <c r="S67" s="260"/>
      <c r="T67" s="260"/>
      <c r="U67" s="260"/>
      <c r="V67" s="260">
        <v>5</v>
      </c>
      <c r="W67" s="260">
        <v>5</v>
      </c>
      <c r="X67" s="260">
        <v>5</v>
      </c>
      <c r="Y67" s="260">
        <v>20</v>
      </c>
      <c r="Z67" s="260">
        <v>5</v>
      </c>
      <c r="AA67" s="260">
        <v>20</v>
      </c>
      <c r="AB67" s="260">
        <v>5</v>
      </c>
      <c r="AC67" s="260">
        <v>20</v>
      </c>
      <c r="AD67" s="260"/>
      <c r="AE67" s="260"/>
      <c r="AF67" s="260"/>
      <c r="AG67" s="260"/>
      <c r="AH67" s="208">
        <v>170</v>
      </c>
      <c r="AI67" s="272">
        <v>20</v>
      </c>
      <c r="AJ67" s="271">
        <v>40</v>
      </c>
      <c r="AK67" s="260"/>
      <c r="AL67" s="260"/>
      <c r="AM67" s="260"/>
      <c r="AN67" s="260"/>
      <c r="AO67" s="260"/>
      <c r="AP67" s="260"/>
      <c r="AQ67" s="260"/>
      <c r="AR67" s="260"/>
      <c r="AS67" s="260"/>
      <c r="AT67" s="260"/>
      <c r="AU67" s="260">
        <v>20</v>
      </c>
      <c r="AV67" s="271">
        <v>160</v>
      </c>
      <c r="AW67" s="260">
        <v>10</v>
      </c>
      <c r="AX67" s="271">
        <v>160</v>
      </c>
      <c r="AY67" s="260">
        <v>10</v>
      </c>
      <c r="AZ67" s="271">
        <v>160</v>
      </c>
      <c r="BA67" s="276">
        <v>10</v>
      </c>
      <c r="BB67" s="276">
        <v>160</v>
      </c>
      <c r="BC67" s="276"/>
      <c r="BD67" s="276"/>
      <c r="BE67" s="276">
        <v>5</v>
      </c>
      <c r="BF67" s="276">
        <v>80</v>
      </c>
      <c r="BG67" s="260">
        <v>10</v>
      </c>
      <c r="BH67" s="271">
        <v>160</v>
      </c>
      <c r="BI67" s="276"/>
      <c r="BJ67" s="276"/>
      <c r="BK67" s="276"/>
      <c r="BL67" s="275"/>
      <c r="BM67" s="329">
        <v>170</v>
      </c>
      <c r="BN67" s="272">
        <v>20</v>
      </c>
      <c r="BO67" s="270">
        <v>80</v>
      </c>
      <c r="BP67" s="272"/>
      <c r="BQ67" s="260"/>
      <c r="BR67" s="260"/>
      <c r="BS67" s="260"/>
      <c r="BT67" s="260"/>
      <c r="BU67" s="260"/>
      <c r="BV67" s="260">
        <v>10</v>
      </c>
      <c r="BW67" s="260">
        <v>20</v>
      </c>
      <c r="BX67" s="260"/>
      <c r="BY67" s="260"/>
      <c r="BZ67" s="260"/>
      <c r="CA67" s="260"/>
      <c r="CB67" s="260"/>
      <c r="CC67" s="260"/>
      <c r="CD67" s="260">
        <v>10</v>
      </c>
      <c r="CE67" s="260">
        <v>20</v>
      </c>
      <c r="CF67" s="272"/>
      <c r="CG67" s="260"/>
      <c r="CH67" s="260"/>
      <c r="CI67" s="260"/>
      <c r="CJ67" s="260"/>
      <c r="CK67" s="260"/>
      <c r="CL67" s="260"/>
      <c r="CM67" s="260"/>
      <c r="CN67" s="260">
        <v>40</v>
      </c>
      <c r="CO67" s="260">
        <v>160</v>
      </c>
      <c r="CP67" s="260">
        <v>5</v>
      </c>
      <c r="CQ67" s="260">
        <v>10</v>
      </c>
      <c r="CR67" s="260">
        <v>5</v>
      </c>
      <c r="CS67" s="270">
        <v>10</v>
      </c>
      <c r="CT67" s="328">
        <v>170</v>
      </c>
      <c r="CU67" s="249">
        <f>Table2821115[[#This Row],[D28 - BR/18]]/Table2821115[[#This Row],[D0 - BR/18]]</f>
        <v>4</v>
      </c>
      <c r="CV67" s="248">
        <f>Table2821115[[#This Row],[D28 - KS/17]]/Table2821115[[#This Row],[D0 - KS/17]]</f>
        <v>16</v>
      </c>
      <c r="CW67" s="248">
        <f>Table2821115[[#This Row],[D28 - Phu/13]]/Table2821115[[#This Row],[D0 - Phu/13]]</f>
        <v>2</v>
      </c>
      <c r="CX67" s="248">
        <f>Table2821115[[#This Row],[D28 - CO/17]]/Table2821115[[#This Row],[D0 - CO/17]]</f>
        <v>2</v>
      </c>
      <c r="CY67" s="248">
        <f>LOG(Table2821115[[#This Row],[BR/18 Fold]],2)</f>
        <v>2</v>
      </c>
      <c r="CZ67" s="248">
        <f>LOG(Table2821115[[#This Row],[KS/17 Fold]],2)</f>
        <v>4</v>
      </c>
      <c r="DA67" s="248">
        <f>LOG(Table2821115[[#This Row],[Phu/13 Fold]],2)</f>
        <v>1</v>
      </c>
      <c r="DB67" s="248">
        <f>LOG(Table2821115[[#This Row],[CO/17 Fold]],2)</f>
        <v>1</v>
      </c>
      <c r="DC67" s="248">
        <f>SUM(Table2821115[[#This Row],[BR/18 Log2]:[CO/17 Log2]])</f>
        <v>8</v>
      </c>
    </row>
    <row r="68" spans="1:107" ht="24" customHeight="1">
      <c r="A68" s="330">
        <v>171</v>
      </c>
      <c r="B68" s="210">
        <v>14078</v>
      </c>
      <c r="C68" s="210">
        <v>43732</v>
      </c>
      <c r="D68" s="209">
        <v>81</v>
      </c>
      <c r="E68" s="3" t="s">
        <v>61</v>
      </c>
      <c r="F68" s="143" t="s">
        <v>120</v>
      </c>
      <c r="G68" s="142">
        <v>26.953124999999996</v>
      </c>
      <c r="H68" s="5" t="s">
        <v>64</v>
      </c>
      <c r="I68" s="281" t="s">
        <v>60</v>
      </c>
      <c r="J68" s="260">
        <v>5</v>
      </c>
      <c r="K68" s="260">
        <v>5</v>
      </c>
      <c r="L68" s="260"/>
      <c r="M68" s="260"/>
      <c r="N68" s="260"/>
      <c r="O68" s="260"/>
      <c r="P68" s="260"/>
      <c r="Q68" s="260"/>
      <c r="R68" s="260"/>
      <c r="S68" s="260"/>
      <c r="T68" s="260"/>
      <c r="U68" s="260"/>
      <c r="V68" s="260">
        <v>5</v>
      </c>
      <c r="W68" s="260">
        <v>5</v>
      </c>
      <c r="X68" s="260">
        <v>10</v>
      </c>
      <c r="Y68" s="260">
        <v>10</v>
      </c>
      <c r="Z68" s="260">
        <v>10</v>
      </c>
      <c r="AA68" s="260">
        <v>20</v>
      </c>
      <c r="AB68" s="260">
        <v>10</v>
      </c>
      <c r="AC68" s="260">
        <v>10</v>
      </c>
      <c r="AD68" s="260"/>
      <c r="AE68" s="260"/>
      <c r="AF68" s="260"/>
      <c r="AG68" s="260"/>
      <c r="AH68" s="208">
        <v>171</v>
      </c>
      <c r="AI68" s="272">
        <v>20</v>
      </c>
      <c r="AJ68" s="271">
        <v>20</v>
      </c>
      <c r="AK68" s="260"/>
      <c r="AL68" s="260"/>
      <c r="AM68" s="260"/>
      <c r="AN68" s="260"/>
      <c r="AO68" s="260"/>
      <c r="AP68" s="260"/>
      <c r="AQ68" s="260"/>
      <c r="AR68" s="260"/>
      <c r="AS68" s="260"/>
      <c r="AT68" s="260"/>
      <c r="AU68" s="260">
        <v>20</v>
      </c>
      <c r="AV68" s="271">
        <v>20</v>
      </c>
      <c r="AW68" s="260">
        <v>10</v>
      </c>
      <c r="AX68" s="271">
        <v>10</v>
      </c>
      <c r="AY68" s="260">
        <v>10</v>
      </c>
      <c r="AZ68" s="271">
        <v>10</v>
      </c>
      <c r="BA68" s="276">
        <v>10</v>
      </c>
      <c r="BB68" s="276">
        <v>10</v>
      </c>
      <c r="BC68" s="276"/>
      <c r="BD68" s="276"/>
      <c r="BE68" s="276">
        <v>10</v>
      </c>
      <c r="BF68" s="276">
        <v>80</v>
      </c>
      <c r="BG68" s="260">
        <v>20</v>
      </c>
      <c r="BH68" s="271">
        <v>20</v>
      </c>
      <c r="BI68" s="276"/>
      <c r="BJ68" s="276"/>
      <c r="BK68" s="276"/>
      <c r="BL68" s="275"/>
      <c r="BM68" s="329">
        <v>171</v>
      </c>
      <c r="BN68" s="272">
        <v>320</v>
      </c>
      <c r="BO68" s="270">
        <v>320</v>
      </c>
      <c r="BP68" s="272"/>
      <c r="BQ68" s="260"/>
      <c r="BR68" s="260"/>
      <c r="BS68" s="260"/>
      <c r="BT68" s="260"/>
      <c r="BU68" s="260"/>
      <c r="BV68" s="260">
        <v>20</v>
      </c>
      <c r="BW68" s="260">
        <v>20</v>
      </c>
      <c r="BX68" s="260"/>
      <c r="BY68" s="260"/>
      <c r="BZ68" s="260"/>
      <c r="CA68" s="260"/>
      <c r="CB68" s="260"/>
      <c r="CC68" s="260"/>
      <c r="CD68" s="260">
        <v>40</v>
      </c>
      <c r="CE68" s="260">
        <v>40</v>
      </c>
      <c r="CF68" s="272"/>
      <c r="CG68" s="260"/>
      <c r="CH68" s="260"/>
      <c r="CI68" s="260"/>
      <c r="CJ68" s="260"/>
      <c r="CK68" s="260"/>
      <c r="CL68" s="260"/>
      <c r="CM68" s="260"/>
      <c r="CN68" s="260">
        <v>40</v>
      </c>
      <c r="CO68" s="260">
        <v>40</v>
      </c>
      <c r="CP68" s="260">
        <v>80</v>
      </c>
      <c r="CQ68" s="260">
        <v>80</v>
      </c>
      <c r="CR68" s="260">
        <v>80</v>
      </c>
      <c r="CS68" s="270">
        <v>80</v>
      </c>
      <c r="CT68" s="328">
        <v>171</v>
      </c>
      <c r="CU68" s="249">
        <f>Table2821115[[#This Row],[D28 - BR/18]]/Table2821115[[#This Row],[D0 - BR/18]]</f>
        <v>1</v>
      </c>
      <c r="CV68" s="248">
        <f>Table2821115[[#This Row],[D28 - KS/17]]/Table2821115[[#This Row],[D0 - KS/17]]</f>
        <v>8</v>
      </c>
      <c r="CW68" s="248">
        <f>Table2821115[[#This Row],[D28 - Phu/13]]/Table2821115[[#This Row],[D0 - Phu/13]]</f>
        <v>1</v>
      </c>
      <c r="CX68" s="248">
        <f>Table2821115[[#This Row],[D28 - CO/17]]/Table2821115[[#This Row],[D0 - CO/17]]</f>
        <v>1</v>
      </c>
      <c r="CY68" s="248">
        <f>LOG(Table2821115[[#This Row],[BR/18 Fold]],2)</f>
        <v>0</v>
      </c>
      <c r="CZ68" s="248">
        <f>LOG(Table2821115[[#This Row],[KS/17 Fold]],2)</f>
        <v>3</v>
      </c>
      <c r="DA68" s="248">
        <f>LOG(Table2821115[[#This Row],[Phu/13 Fold]],2)</f>
        <v>0</v>
      </c>
      <c r="DB68" s="248">
        <f>LOG(Table2821115[[#This Row],[CO/17 Fold]],2)</f>
        <v>0</v>
      </c>
      <c r="DC68" s="248">
        <f>SUM(Table2821115[[#This Row],[BR/18 Log2]:[CO/17 Log2]])</f>
        <v>3</v>
      </c>
    </row>
    <row r="69" spans="1:107" ht="24" customHeight="1">
      <c r="A69" s="318">
        <v>175</v>
      </c>
      <c r="B69" s="180">
        <v>23488</v>
      </c>
      <c r="C69" s="180">
        <v>43740</v>
      </c>
      <c r="D69" s="179">
        <v>55</v>
      </c>
      <c r="E69" s="4" t="s">
        <v>58</v>
      </c>
      <c r="F69" s="143" t="s">
        <v>117</v>
      </c>
      <c r="G69" s="142">
        <v>30.433564204215319</v>
      </c>
      <c r="H69" s="11" t="s">
        <v>59</v>
      </c>
      <c r="I69" s="281" t="s">
        <v>60</v>
      </c>
      <c r="J69" s="260">
        <v>80</v>
      </c>
      <c r="K69" s="260">
        <v>160</v>
      </c>
      <c r="L69" s="260"/>
      <c r="M69" s="260"/>
      <c r="N69" s="260"/>
      <c r="O69" s="260"/>
      <c r="P69" s="260"/>
      <c r="Q69" s="260"/>
      <c r="R69" s="260"/>
      <c r="S69" s="260"/>
      <c r="T69" s="260"/>
      <c r="U69" s="260"/>
      <c r="V69" s="260">
        <v>5</v>
      </c>
      <c r="W69" s="260">
        <v>5</v>
      </c>
      <c r="X69" s="260">
        <v>80</v>
      </c>
      <c r="Y69" s="260">
        <v>160</v>
      </c>
      <c r="Z69" s="260">
        <v>80</v>
      </c>
      <c r="AA69" s="260">
        <v>160</v>
      </c>
      <c r="AB69" s="260">
        <v>80</v>
      </c>
      <c r="AC69" s="260">
        <v>80</v>
      </c>
      <c r="AD69" s="260"/>
      <c r="AE69" s="260"/>
      <c r="AF69" s="260"/>
      <c r="AG69" s="260"/>
      <c r="AH69" s="195">
        <v>175</v>
      </c>
      <c r="AI69" s="272">
        <v>20</v>
      </c>
      <c r="AJ69" s="271">
        <v>20</v>
      </c>
      <c r="AK69" s="260"/>
      <c r="AL69" s="260"/>
      <c r="AM69" s="260"/>
      <c r="AN69" s="260"/>
      <c r="AO69" s="260"/>
      <c r="AP69" s="260"/>
      <c r="AQ69" s="260"/>
      <c r="AR69" s="260"/>
      <c r="AS69" s="260"/>
      <c r="AT69" s="260"/>
      <c r="AU69" s="260">
        <v>40</v>
      </c>
      <c r="AV69" s="271">
        <v>80</v>
      </c>
      <c r="AW69" s="260">
        <v>20</v>
      </c>
      <c r="AX69" s="271">
        <v>80</v>
      </c>
      <c r="AY69" s="260">
        <v>10</v>
      </c>
      <c r="AZ69" s="271">
        <v>20</v>
      </c>
      <c r="BA69" s="276">
        <v>10</v>
      </c>
      <c r="BB69" s="276">
        <v>20</v>
      </c>
      <c r="BC69" s="276"/>
      <c r="BD69" s="276"/>
      <c r="BE69" s="276">
        <v>5</v>
      </c>
      <c r="BF69" s="276">
        <v>40</v>
      </c>
      <c r="BG69" s="260">
        <v>20</v>
      </c>
      <c r="BH69" s="271">
        <v>80</v>
      </c>
      <c r="BI69" s="276"/>
      <c r="BJ69" s="276"/>
      <c r="BK69" s="276"/>
      <c r="BL69" s="275"/>
      <c r="BM69" s="316">
        <v>175</v>
      </c>
      <c r="BN69" s="272">
        <v>40</v>
      </c>
      <c r="BO69" s="270">
        <v>80</v>
      </c>
      <c r="BP69" s="272"/>
      <c r="BQ69" s="260"/>
      <c r="BR69" s="260"/>
      <c r="BS69" s="260"/>
      <c r="BT69" s="260"/>
      <c r="BU69" s="260"/>
      <c r="BV69" s="260">
        <v>10</v>
      </c>
      <c r="BW69" s="260">
        <v>10</v>
      </c>
      <c r="BX69" s="260"/>
      <c r="BY69" s="260"/>
      <c r="BZ69" s="260"/>
      <c r="CA69" s="260"/>
      <c r="CB69" s="260"/>
      <c r="CC69" s="260"/>
      <c r="CD69" s="260">
        <v>10</v>
      </c>
      <c r="CE69" s="260">
        <v>40</v>
      </c>
      <c r="CF69" s="272"/>
      <c r="CG69" s="260"/>
      <c r="CH69" s="260"/>
      <c r="CI69" s="260"/>
      <c r="CJ69" s="260"/>
      <c r="CK69" s="260"/>
      <c r="CL69" s="260"/>
      <c r="CM69" s="260"/>
      <c r="CN69" s="260">
        <v>40</v>
      </c>
      <c r="CO69" s="260">
        <v>80</v>
      </c>
      <c r="CP69" s="260">
        <v>40</v>
      </c>
      <c r="CQ69" s="260">
        <v>80</v>
      </c>
      <c r="CR69" s="260">
        <v>40</v>
      </c>
      <c r="CS69" s="270">
        <v>80</v>
      </c>
      <c r="CT69" s="315">
        <v>175</v>
      </c>
      <c r="CU69" s="249">
        <f>Table2821115[[#This Row],[D28 - BR/18]]/Table2821115[[#This Row],[D0 - BR/18]]</f>
        <v>1</v>
      </c>
      <c r="CV69" s="248">
        <f>Table2821115[[#This Row],[D28 - KS/17]]/Table2821115[[#This Row],[D0 - KS/17]]</f>
        <v>8</v>
      </c>
      <c r="CW69" s="248">
        <f>Table2821115[[#This Row],[D28 - Phu/13]]/Table2821115[[#This Row],[D0 - Phu/13]]</f>
        <v>4</v>
      </c>
      <c r="CX69" s="248">
        <f>Table2821115[[#This Row],[D28 - CO/17]]/Table2821115[[#This Row],[D0 - CO/17]]</f>
        <v>2</v>
      </c>
      <c r="CY69" s="248">
        <f>LOG(Table2821115[[#This Row],[BR/18 Fold]],2)</f>
        <v>0</v>
      </c>
      <c r="CZ69" s="248">
        <f>LOG(Table2821115[[#This Row],[KS/17 Fold]],2)</f>
        <v>3</v>
      </c>
      <c r="DA69" s="248">
        <f>LOG(Table2821115[[#This Row],[Phu/13 Fold]],2)</f>
        <v>2</v>
      </c>
      <c r="DB69" s="248">
        <f>LOG(Table2821115[[#This Row],[CO/17 Fold]],2)</f>
        <v>1</v>
      </c>
      <c r="DC69" s="248">
        <f>SUM(Table2821115[[#This Row],[BR/18 Log2]:[CO/17 Log2]])</f>
        <v>6</v>
      </c>
    </row>
    <row r="70" spans="1:107" ht="24" customHeight="1">
      <c r="A70" s="330">
        <v>177</v>
      </c>
      <c r="B70" s="210">
        <v>17736</v>
      </c>
      <c r="C70" s="210">
        <v>43733</v>
      </c>
      <c r="D70" s="209">
        <v>71</v>
      </c>
      <c r="E70" s="4" t="s">
        <v>58</v>
      </c>
      <c r="F70" s="143" t="s">
        <v>116</v>
      </c>
      <c r="G70" s="142">
        <v>23.031835777349784</v>
      </c>
      <c r="H70" s="5" t="s">
        <v>64</v>
      </c>
      <c r="I70" s="281" t="s">
        <v>60</v>
      </c>
      <c r="J70" s="260">
        <v>5</v>
      </c>
      <c r="K70" s="260">
        <v>5</v>
      </c>
      <c r="L70" s="260"/>
      <c r="M70" s="260"/>
      <c r="N70" s="260"/>
      <c r="O70" s="260"/>
      <c r="P70" s="260"/>
      <c r="Q70" s="260"/>
      <c r="R70" s="260"/>
      <c r="S70" s="260"/>
      <c r="T70" s="260"/>
      <c r="U70" s="260"/>
      <c r="V70" s="260">
        <v>5</v>
      </c>
      <c r="W70" s="260">
        <v>5</v>
      </c>
      <c r="X70" s="260">
        <v>20</v>
      </c>
      <c r="Y70" s="260">
        <v>40</v>
      </c>
      <c r="Z70" s="260">
        <v>40</v>
      </c>
      <c r="AA70" s="260">
        <v>80</v>
      </c>
      <c r="AB70" s="260">
        <v>20</v>
      </c>
      <c r="AC70" s="260">
        <v>40</v>
      </c>
      <c r="AD70" s="260"/>
      <c r="AE70" s="260"/>
      <c r="AF70" s="260"/>
      <c r="AG70" s="260"/>
      <c r="AH70" s="208">
        <v>177</v>
      </c>
      <c r="AI70" s="272">
        <v>5</v>
      </c>
      <c r="AJ70" s="271">
        <v>10</v>
      </c>
      <c r="AK70" s="260"/>
      <c r="AL70" s="260"/>
      <c r="AM70" s="260"/>
      <c r="AN70" s="260"/>
      <c r="AO70" s="260"/>
      <c r="AP70" s="260"/>
      <c r="AQ70" s="260"/>
      <c r="AR70" s="260"/>
      <c r="AS70" s="260"/>
      <c r="AT70" s="260"/>
      <c r="AU70" s="260">
        <v>160</v>
      </c>
      <c r="AV70" s="271">
        <v>160</v>
      </c>
      <c r="AW70" s="260">
        <v>80</v>
      </c>
      <c r="AX70" s="271">
        <v>160</v>
      </c>
      <c r="AY70" s="260">
        <v>160</v>
      </c>
      <c r="AZ70" s="271">
        <v>320</v>
      </c>
      <c r="BA70" s="276">
        <v>80</v>
      </c>
      <c r="BB70" s="276">
        <v>160</v>
      </c>
      <c r="BC70" s="276"/>
      <c r="BD70" s="276"/>
      <c r="BE70" s="276">
        <v>5</v>
      </c>
      <c r="BF70" s="276">
        <v>20</v>
      </c>
      <c r="BG70" s="260">
        <v>80</v>
      </c>
      <c r="BH70" s="271">
        <v>160</v>
      </c>
      <c r="BI70" s="276"/>
      <c r="BJ70" s="276"/>
      <c r="BK70" s="276"/>
      <c r="BL70" s="275"/>
      <c r="BM70" s="329">
        <v>177</v>
      </c>
      <c r="BN70" s="272">
        <v>80</v>
      </c>
      <c r="BO70" s="270">
        <v>80</v>
      </c>
      <c r="BP70" s="272"/>
      <c r="BQ70" s="260"/>
      <c r="BR70" s="260"/>
      <c r="BS70" s="260"/>
      <c r="BT70" s="260"/>
      <c r="BU70" s="260"/>
      <c r="BV70" s="260">
        <v>5</v>
      </c>
      <c r="BW70" s="260">
        <v>5</v>
      </c>
      <c r="BX70" s="260"/>
      <c r="BY70" s="260"/>
      <c r="BZ70" s="260"/>
      <c r="CA70" s="260"/>
      <c r="CB70" s="260"/>
      <c r="CC70" s="260"/>
      <c r="CD70" s="260">
        <v>5</v>
      </c>
      <c r="CE70" s="260">
        <v>10</v>
      </c>
      <c r="CF70" s="272"/>
      <c r="CG70" s="260"/>
      <c r="CH70" s="260"/>
      <c r="CI70" s="260"/>
      <c r="CJ70" s="260"/>
      <c r="CK70" s="260"/>
      <c r="CL70" s="260"/>
      <c r="CM70" s="260"/>
      <c r="CN70" s="260">
        <v>40</v>
      </c>
      <c r="CO70" s="260">
        <v>80</v>
      </c>
      <c r="CP70" s="260">
        <v>20</v>
      </c>
      <c r="CQ70" s="260">
        <v>40</v>
      </c>
      <c r="CR70" s="260">
        <v>20</v>
      </c>
      <c r="CS70" s="270">
        <v>40</v>
      </c>
      <c r="CT70" s="328">
        <v>177</v>
      </c>
      <c r="CU70" s="249">
        <f>Table2821115[[#This Row],[D28 - BR/18]]/Table2821115[[#This Row],[D0 - BR/18]]</f>
        <v>2</v>
      </c>
      <c r="CV70" s="248">
        <f>Table2821115[[#This Row],[D28 - KS/17]]/Table2821115[[#This Row],[D0 - KS/17]]</f>
        <v>4</v>
      </c>
      <c r="CW70" s="248">
        <f>Table2821115[[#This Row],[D28 - Phu/13]]/Table2821115[[#This Row],[D0 - Phu/13]]</f>
        <v>2</v>
      </c>
      <c r="CX70" s="248">
        <f>Table2821115[[#This Row],[D28 - CO/17]]/Table2821115[[#This Row],[D0 - CO/17]]</f>
        <v>2</v>
      </c>
      <c r="CY70" s="248">
        <f>LOG(Table2821115[[#This Row],[BR/18 Fold]],2)</f>
        <v>1</v>
      </c>
      <c r="CZ70" s="248">
        <f>LOG(Table2821115[[#This Row],[KS/17 Fold]],2)</f>
        <v>2</v>
      </c>
      <c r="DA70" s="248">
        <f>LOG(Table2821115[[#This Row],[Phu/13 Fold]],2)</f>
        <v>1</v>
      </c>
      <c r="DB70" s="248">
        <f>LOG(Table2821115[[#This Row],[CO/17 Fold]],2)</f>
        <v>1</v>
      </c>
      <c r="DC70" s="248">
        <f>SUM(Table2821115[[#This Row],[BR/18 Log2]:[CO/17 Log2]])</f>
        <v>5</v>
      </c>
    </row>
    <row r="71" spans="1:107" ht="24" customHeight="1">
      <c r="A71" s="327">
        <v>179</v>
      </c>
      <c r="B71" s="205">
        <v>19896</v>
      </c>
      <c r="C71" s="205">
        <v>43746</v>
      </c>
      <c r="D71" s="204">
        <v>65</v>
      </c>
      <c r="E71" s="3" t="s">
        <v>61</v>
      </c>
      <c r="F71" s="143" t="s">
        <v>116</v>
      </c>
      <c r="G71" s="142">
        <v>39.619178813318001</v>
      </c>
      <c r="H71" s="11" t="s">
        <v>59</v>
      </c>
      <c r="I71" s="281" t="s">
        <v>60</v>
      </c>
      <c r="J71" s="260">
        <v>5</v>
      </c>
      <c r="K71" s="260">
        <v>5</v>
      </c>
      <c r="L71" s="260"/>
      <c r="M71" s="260"/>
      <c r="N71" s="260"/>
      <c r="O71" s="260"/>
      <c r="P71" s="260"/>
      <c r="Q71" s="260"/>
      <c r="R71" s="260"/>
      <c r="S71" s="260"/>
      <c r="T71" s="260"/>
      <c r="U71" s="260"/>
      <c r="V71" s="260">
        <v>5</v>
      </c>
      <c r="W71" s="260">
        <v>640</v>
      </c>
      <c r="X71" s="260">
        <v>40</v>
      </c>
      <c r="Y71" s="260">
        <v>80</v>
      </c>
      <c r="Z71" s="260">
        <v>40</v>
      </c>
      <c r="AA71" s="260">
        <v>80</v>
      </c>
      <c r="AB71" s="260">
        <v>40</v>
      </c>
      <c r="AC71" s="260">
        <v>80</v>
      </c>
      <c r="AD71" s="260"/>
      <c r="AE71" s="260"/>
      <c r="AF71" s="260"/>
      <c r="AG71" s="260"/>
      <c r="AH71" s="203">
        <v>179</v>
      </c>
      <c r="AI71" s="272">
        <v>10</v>
      </c>
      <c r="AJ71" s="271">
        <v>10</v>
      </c>
      <c r="AK71" s="260"/>
      <c r="AL71" s="260"/>
      <c r="AM71" s="260"/>
      <c r="AN71" s="260"/>
      <c r="AO71" s="260"/>
      <c r="AP71" s="260"/>
      <c r="AQ71" s="260"/>
      <c r="AR71" s="260"/>
      <c r="AS71" s="260"/>
      <c r="AT71" s="260"/>
      <c r="AU71" s="260">
        <v>40</v>
      </c>
      <c r="AV71" s="271">
        <v>40</v>
      </c>
      <c r="AW71" s="260">
        <v>10</v>
      </c>
      <c r="AX71" s="271">
        <v>40</v>
      </c>
      <c r="AY71" s="260">
        <v>10</v>
      </c>
      <c r="AZ71" s="271">
        <v>20</v>
      </c>
      <c r="BA71" s="276">
        <v>10</v>
      </c>
      <c r="BB71" s="276">
        <v>20</v>
      </c>
      <c r="BC71" s="276"/>
      <c r="BD71" s="276"/>
      <c r="BE71" s="276">
        <v>5</v>
      </c>
      <c r="BF71" s="276">
        <v>640</v>
      </c>
      <c r="BG71" s="260">
        <v>20</v>
      </c>
      <c r="BH71" s="271">
        <v>40</v>
      </c>
      <c r="BI71" s="276"/>
      <c r="BJ71" s="276"/>
      <c r="BK71" s="276"/>
      <c r="BL71" s="275"/>
      <c r="BM71" s="326">
        <v>179</v>
      </c>
      <c r="BN71" s="272">
        <v>80</v>
      </c>
      <c r="BO71" s="270">
        <v>160</v>
      </c>
      <c r="BP71" s="272"/>
      <c r="BQ71" s="260"/>
      <c r="BR71" s="260"/>
      <c r="BS71" s="260"/>
      <c r="BT71" s="260"/>
      <c r="BU71" s="260"/>
      <c r="BV71" s="260">
        <v>80</v>
      </c>
      <c r="BW71" s="260">
        <v>160</v>
      </c>
      <c r="BX71" s="260"/>
      <c r="BY71" s="260"/>
      <c r="BZ71" s="260"/>
      <c r="CA71" s="260"/>
      <c r="CB71" s="260"/>
      <c r="CC71" s="260"/>
      <c r="CD71" s="260">
        <v>160</v>
      </c>
      <c r="CE71" s="260">
        <v>320</v>
      </c>
      <c r="CF71" s="272"/>
      <c r="CG71" s="260"/>
      <c r="CH71" s="260"/>
      <c r="CI71" s="260"/>
      <c r="CJ71" s="260"/>
      <c r="CK71" s="260"/>
      <c r="CL71" s="260"/>
      <c r="CM71" s="260"/>
      <c r="CN71" s="260">
        <v>40</v>
      </c>
      <c r="CO71" s="260">
        <v>40</v>
      </c>
      <c r="CP71" s="260">
        <v>40</v>
      </c>
      <c r="CQ71" s="260">
        <v>80</v>
      </c>
      <c r="CR71" s="260">
        <v>20</v>
      </c>
      <c r="CS71" s="270">
        <v>40</v>
      </c>
      <c r="CT71" s="325">
        <v>179</v>
      </c>
      <c r="CU71" s="249">
        <f>Table2821115[[#This Row],[D28 - BR/18]]/Table2821115[[#This Row],[D0 - BR/18]]</f>
        <v>2</v>
      </c>
      <c r="CV71" s="248">
        <f>Table2821115[[#This Row],[D28 - KS/17]]/Table2821115[[#This Row],[D0 - KS/17]]</f>
        <v>128</v>
      </c>
      <c r="CW71" s="248">
        <f>Table2821115[[#This Row],[D28 - Phu/13]]/Table2821115[[#This Row],[D0 - Phu/13]]</f>
        <v>2</v>
      </c>
      <c r="CX71" s="248">
        <f>Table2821115[[#This Row],[D28 - CO/17]]/Table2821115[[#This Row],[D0 - CO/17]]</f>
        <v>2</v>
      </c>
      <c r="CY71" s="248">
        <f>LOG(Table2821115[[#This Row],[BR/18 Fold]],2)</f>
        <v>1</v>
      </c>
      <c r="CZ71" s="248">
        <f>LOG(Table2821115[[#This Row],[KS/17 Fold]],2)</f>
        <v>7</v>
      </c>
      <c r="DA71" s="248">
        <f>LOG(Table2821115[[#This Row],[Phu/13 Fold]],2)</f>
        <v>1</v>
      </c>
      <c r="DB71" s="248">
        <f>LOG(Table2821115[[#This Row],[CO/17 Fold]],2)</f>
        <v>1</v>
      </c>
      <c r="DC71" s="248">
        <f>SUM(Table2821115[[#This Row],[BR/18 Log2]:[CO/17 Log2]])</f>
        <v>10</v>
      </c>
    </row>
    <row r="72" spans="1:107" ht="24" customHeight="1">
      <c r="A72" s="324">
        <v>181</v>
      </c>
      <c r="B72" s="190">
        <v>26567</v>
      </c>
      <c r="C72" s="190">
        <v>43773</v>
      </c>
      <c r="D72" s="189">
        <v>47</v>
      </c>
      <c r="E72" s="3" t="s">
        <v>61</v>
      </c>
      <c r="F72" s="143" t="s">
        <v>116</v>
      </c>
      <c r="G72" s="142">
        <v>59.87970594787258</v>
      </c>
      <c r="H72" s="11" t="s">
        <v>59</v>
      </c>
      <c r="I72" s="281" t="s">
        <v>60</v>
      </c>
      <c r="J72" s="260">
        <v>5</v>
      </c>
      <c r="K72" s="260">
        <v>20</v>
      </c>
      <c r="L72" s="260"/>
      <c r="M72" s="260"/>
      <c r="N72" s="260"/>
      <c r="O72" s="260"/>
      <c r="P72" s="260"/>
      <c r="Q72" s="260"/>
      <c r="R72" s="260"/>
      <c r="S72" s="260"/>
      <c r="T72" s="260"/>
      <c r="U72" s="260"/>
      <c r="V72" s="260">
        <v>5</v>
      </c>
      <c r="W72" s="260">
        <v>5</v>
      </c>
      <c r="X72" s="260">
        <v>20</v>
      </c>
      <c r="Y72" s="260">
        <v>80</v>
      </c>
      <c r="Z72" s="260">
        <v>40</v>
      </c>
      <c r="AA72" s="260">
        <v>160</v>
      </c>
      <c r="AB72" s="260">
        <v>20</v>
      </c>
      <c r="AC72" s="260">
        <v>80</v>
      </c>
      <c r="AD72" s="260"/>
      <c r="AE72" s="260"/>
      <c r="AF72" s="260"/>
      <c r="AG72" s="260"/>
      <c r="AH72" s="198">
        <v>181</v>
      </c>
      <c r="AI72" s="272">
        <v>40</v>
      </c>
      <c r="AJ72" s="271">
        <v>160</v>
      </c>
      <c r="AK72" s="260"/>
      <c r="AL72" s="260"/>
      <c r="AM72" s="260"/>
      <c r="AN72" s="260"/>
      <c r="AO72" s="260"/>
      <c r="AP72" s="260"/>
      <c r="AQ72" s="260"/>
      <c r="AR72" s="260"/>
      <c r="AS72" s="260"/>
      <c r="AT72" s="260"/>
      <c r="AU72" s="260">
        <v>80</v>
      </c>
      <c r="AV72" s="271">
        <v>160</v>
      </c>
      <c r="AW72" s="260">
        <v>80</v>
      </c>
      <c r="AX72" s="271">
        <v>320</v>
      </c>
      <c r="AY72" s="260">
        <v>40</v>
      </c>
      <c r="AZ72" s="271">
        <v>160</v>
      </c>
      <c r="BA72" s="276">
        <v>40</v>
      </c>
      <c r="BB72" s="276">
        <v>160</v>
      </c>
      <c r="BC72" s="276"/>
      <c r="BD72" s="276"/>
      <c r="BE72" s="276">
        <v>20</v>
      </c>
      <c r="BF72" s="276">
        <v>80</v>
      </c>
      <c r="BG72" s="260">
        <v>80</v>
      </c>
      <c r="BH72" s="271">
        <v>160</v>
      </c>
      <c r="BI72" s="276"/>
      <c r="BJ72" s="276"/>
      <c r="BK72" s="276"/>
      <c r="BL72" s="275"/>
      <c r="BM72" s="323">
        <v>181</v>
      </c>
      <c r="BN72" s="272">
        <v>40</v>
      </c>
      <c r="BO72" s="270">
        <v>80</v>
      </c>
      <c r="BP72" s="272"/>
      <c r="BQ72" s="260"/>
      <c r="BR72" s="260"/>
      <c r="BS72" s="260"/>
      <c r="BT72" s="260"/>
      <c r="BU72" s="260"/>
      <c r="BV72" s="260">
        <v>5</v>
      </c>
      <c r="BW72" s="260">
        <v>80</v>
      </c>
      <c r="BX72" s="260"/>
      <c r="BY72" s="260"/>
      <c r="BZ72" s="260"/>
      <c r="CA72" s="260"/>
      <c r="CB72" s="260"/>
      <c r="CC72" s="260"/>
      <c r="CD72" s="260">
        <v>40</v>
      </c>
      <c r="CE72" s="260">
        <v>160</v>
      </c>
      <c r="CF72" s="272"/>
      <c r="CG72" s="260"/>
      <c r="CH72" s="260"/>
      <c r="CI72" s="260"/>
      <c r="CJ72" s="260"/>
      <c r="CK72" s="260"/>
      <c r="CL72" s="260"/>
      <c r="CM72" s="260"/>
      <c r="CN72" s="260">
        <v>320</v>
      </c>
      <c r="CO72" s="260">
        <v>640</v>
      </c>
      <c r="CP72" s="260">
        <v>640</v>
      </c>
      <c r="CQ72" s="260">
        <v>640</v>
      </c>
      <c r="CR72" s="260">
        <v>640</v>
      </c>
      <c r="CS72" s="270">
        <v>640</v>
      </c>
      <c r="CT72" s="322">
        <v>181</v>
      </c>
      <c r="CU72" s="249">
        <f>Table2821115[[#This Row],[D28 - BR/18]]/Table2821115[[#This Row],[D0 - BR/18]]</f>
        <v>4</v>
      </c>
      <c r="CV72" s="248">
        <f>Table2821115[[#This Row],[D28 - KS/17]]/Table2821115[[#This Row],[D0 - KS/17]]</f>
        <v>4</v>
      </c>
      <c r="CW72" s="248">
        <f>Table2821115[[#This Row],[D28 - Phu/13]]/Table2821115[[#This Row],[D0 - Phu/13]]</f>
        <v>4</v>
      </c>
      <c r="CX72" s="248">
        <f>Table2821115[[#This Row],[D28 - CO/17]]/Table2821115[[#This Row],[D0 - CO/17]]</f>
        <v>1</v>
      </c>
      <c r="CY72" s="248">
        <f>LOG(Table2821115[[#This Row],[BR/18 Fold]],2)</f>
        <v>2</v>
      </c>
      <c r="CZ72" s="248">
        <f>LOG(Table2821115[[#This Row],[KS/17 Fold]],2)</f>
        <v>2</v>
      </c>
      <c r="DA72" s="248">
        <f>LOG(Table2821115[[#This Row],[Phu/13 Fold]],2)</f>
        <v>2</v>
      </c>
      <c r="DB72" s="248">
        <f>LOG(Table2821115[[#This Row],[CO/17 Fold]],2)</f>
        <v>0</v>
      </c>
      <c r="DC72" s="248">
        <f>SUM(Table2821115[[#This Row],[BR/18 Log2]:[CO/17 Log2]])</f>
        <v>6</v>
      </c>
    </row>
    <row r="73" spans="1:107" ht="24" customHeight="1">
      <c r="A73" s="330">
        <v>184</v>
      </c>
      <c r="B73" s="210">
        <v>18672</v>
      </c>
      <c r="C73" s="210">
        <v>43739</v>
      </c>
      <c r="D73" s="209">
        <v>68</v>
      </c>
      <c r="E73" s="4" t="s">
        <v>58</v>
      </c>
      <c r="F73" s="143" t="s">
        <v>116</v>
      </c>
      <c r="G73" s="142">
        <v>29.265873015873019</v>
      </c>
      <c r="H73" s="5" t="s">
        <v>64</v>
      </c>
      <c r="I73" s="281" t="s">
        <v>60</v>
      </c>
      <c r="J73" s="260">
        <v>5</v>
      </c>
      <c r="K73" s="260">
        <v>5</v>
      </c>
      <c r="L73" s="260"/>
      <c r="M73" s="260"/>
      <c r="N73" s="260"/>
      <c r="O73" s="260"/>
      <c r="P73" s="260"/>
      <c r="Q73" s="260"/>
      <c r="R73" s="260"/>
      <c r="S73" s="260"/>
      <c r="T73" s="260"/>
      <c r="U73" s="260"/>
      <c r="V73" s="260">
        <v>5</v>
      </c>
      <c r="W73" s="260">
        <v>5</v>
      </c>
      <c r="X73" s="260">
        <v>5</v>
      </c>
      <c r="Y73" s="260">
        <v>10</v>
      </c>
      <c r="Z73" s="260">
        <v>10</v>
      </c>
      <c r="AA73" s="260">
        <v>20</v>
      </c>
      <c r="AB73" s="260">
        <v>10</v>
      </c>
      <c r="AC73" s="260">
        <v>20</v>
      </c>
      <c r="AD73" s="260"/>
      <c r="AE73" s="260"/>
      <c r="AF73" s="260"/>
      <c r="AG73" s="260"/>
      <c r="AH73" s="208">
        <v>184</v>
      </c>
      <c r="AI73" s="272">
        <v>5</v>
      </c>
      <c r="AJ73" s="271">
        <v>5</v>
      </c>
      <c r="AK73" s="260"/>
      <c r="AL73" s="260"/>
      <c r="AM73" s="260"/>
      <c r="AN73" s="260"/>
      <c r="AO73" s="260"/>
      <c r="AP73" s="260"/>
      <c r="AQ73" s="260"/>
      <c r="AR73" s="260"/>
      <c r="AS73" s="260"/>
      <c r="AT73" s="260"/>
      <c r="AU73" s="260">
        <v>5</v>
      </c>
      <c r="AV73" s="271">
        <v>5</v>
      </c>
      <c r="AW73" s="260">
        <v>10</v>
      </c>
      <c r="AX73" s="271">
        <v>20</v>
      </c>
      <c r="AY73" s="260">
        <v>5</v>
      </c>
      <c r="AZ73" s="271">
        <v>5</v>
      </c>
      <c r="BA73" s="276">
        <v>5</v>
      </c>
      <c r="BB73" s="276">
        <v>5</v>
      </c>
      <c r="BC73" s="276"/>
      <c r="BD73" s="276"/>
      <c r="BE73" s="276">
        <v>5</v>
      </c>
      <c r="BF73" s="276">
        <v>5</v>
      </c>
      <c r="BG73" s="260">
        <v>5</v>
      </c>
      <c r="BH73" s="271">
        <v>5</v>
      </c>
      <c r="BI73" s="276"/>
      <c r="BJ73" s="276"/>
      <c r="BK73" s="276"/>
      <c r="BL73" s="275"/>
      <c r="BM73" s="329">
        <v>184</v>
      </c>
      <c r="BN73" s="272">
        <v>40</v>
      </c>
      <c r="BO73" s="270">
        <v>80</v>
      </c>
      <c r="BP73" s="272"/>
      <c r="BQ73" s="260"/>
      <c r="BR73" s="260"/>
      <c r="BS73" s="260"/>
      <c r="BT73" s="260"/>
      <c r="BU73" s="260"/>
      <c r="BV73" s="260">
        <v>5</v>
      </c>
      <c r="BW73" s="260">
        <v>5</v>
      </c>
      <c r="BX73" s="260"/>
      <c r="BY73" s="260"/>
      <c r="BZ73" s="260"/>
      <c r="CA73" s="260"/>
      <c r="CB73" s="260"/>
      <c r="CC73" s="260"/>
      <c r="CD73" s="260">
        <v>20</v>
      </c>
      <c r="CE73" s="260">
        <v>20</v>
      </c>
      <c r="CF73" s="272"/>
      <c r="CG73" s="260"/>
      <c r="CH73" s="260"/>
      <c r="CI73" s="260"/>
      <c r="CJ73" s="260"/>
      <c r="CK73" s="260"/>
      <c r="CL73" s="260"/>
      <c r="CM73" s="260"/>
      <c r="CN73" s="260">
        <v>10</v>
      </c>
      <c r="CO73" s="260">
        <v>40</v>
      </c>
      <c r="CP73" s="260">
        <v>20</v>
      </c>
      <c r="CQ73" s="260">
        <v>40</v>
      </c>
      <c r="CR73" s="260">
        <v>20</v>
      </c>
      <c r="CS73" s="270">
        <v>40</v>
      </c>
      <c r="CT73" s="328">
        <v>184</v>
      </c>
      <c r="CU73" s="249">
        <f>Table2821115[[#This Row],[D28 - BR/18]]/Table2821115[[#This Row],[D0 - BR/18]]</f>
        <v>2</v>
      </c>
      <c r="CV73" s="248">
        <f>Table2821115[[#This Row],[D28 - KS/17]]/Table2821115[[#This Row],[D0 - KS/17]]</f>
        <v>1</v>
      </c>
      <c r="CW73" s="248">
        <f>Table2821115[[#This Row],[D28 - Phu/13]]/Table2821115[[#This Row],[D0 - Phu/13]]</f>
        <v>1</v>
      </c>
      <c r="CX73" s="248">
        <f>Table2821115[[#This Row],[D28 - CO/17]]/Table2821115[[#This Row],[D0 - CO/17]]</f>
        <v>2</v>
      </c>
      <c r="CY73" s="248">
        <f>LOG(Table2821115[[#This Row],[BR/18 Fold]],2)</f>
        <v>1</v>
      </c>
      <c r="CZ73" s="248">
        <f>LOG(Table2821115[[#This Row],[KS/17 Fold]],2)</f>
        <v>0</v>
      </c>
      <c r="DA73" s="248">
        <f>LOG(Table2821115[[#This Row],[Phu/13 Fold]],2)</f>
        <v>0</v>
      </c>
      <c r="DB73" s="248">
        <f>LOG(Table2821115[[#This Row],[CO/17 Fold]],2)</f>
        <v>1</v>
      </c>
      <c r="DC73" s="248">
        <f>SUM(Table2821115[[#This Row],[BR/18 Log2]:[CO/17 Log2]])</f>
        <v>2</v>
      </c>
    </row>
    <row r="74" spans="1:107" ht="24" customHeight="1">
      <c r="A74" s="330">
        <v>185</v>
      </c>
      <c r="B74" s="210">
        <v>18381</v>
      </c>
      <c r="C74" s="210">
        <v>43755</v>
      </c>
      <c r="D74" s="209">
        <v>69</v>
      </c>
      <c r="E74" s="3" t="s">
        <v>61</v>
      </c>
      <c r="F74" s="143" t="s">
        <v>116</v>
      </c>
      <c r="G74" s="142">
        <v>32.253760437725475</v>
      </c>
      <c r="H74" s="5" t="s">
        <v>64</v>
      </c>
      <c r="I74" s="281" t="s">
        <v>60</v>
      </c>
      <c r="J74" s="260">
        <v>20</v>
      </c>
      <c r="K74" s="260">
        <v>20</v>
      </c>
      <c r="L74" s="260"/>
      <c r="M74" s="260"/>
      <c r="N74" s="260"/>
      <c r="O74" s="260"/>
      <c r="P74" s="260"/>
      <c r="Q74" s="260"/>
      <c r="R74" s="260"/>
      <c r="S74" s="260"/>
      <c r="T74" s="260"/>
      <c r="U74" s="260"/>
      <c r="V74" s="260">
        <v>5</v>
      </c>
      <c r="W74" s="260">
        <v>5</v>
      </c>
      <c r="X74" s="260">
        <v>10</v>
      </c>
      <c r="Y74" s="260">
        <v>80</v>
      </c>
      <c r="Z74" s="260">
        <v>10</v>
      </c>
      <c r="AA74" s="260">
        <v>80</v>
      </c>
      <c r="AB74" s="260">
        <v>10</v>
      </c>
      <c r="AC74" s="260">
        <v>40</v>
      </c>
      <c r="AD74" s="260"/>
      <c r="AE74" s="260"/>
      <c r="AF74" s="260"/>
      <c r="AG74" s="260"/>
      <c r="AH74" s="208">
        <v>185</v>
      </c>
      <c r="AI74" s="272">
        <v>10</v>
      </c>
      <c r="AJ74" s="271">
        <v>20</v>
      </c>
      <c r="AK74" s="260"/>
      <c r="AL74" s="260"/>
      <c r="AM74" s="260"/>
      <c r="AN74" s="260"/>
      <c r="AO74" s="260"/>
      <c r="AP74" s="260"/>
      <c r="AQ74" s="260"/>
      <c r="AR74" s="260"/>
      <c r="AS74" s="260"/>
      <c r="AT74" s="260"/>
      <c r="AU74" s="260">
        <v>10</v>
      </c>
      <c r="AV74" s="271">
        <v>160</v>
      </c>
      <c r="AW74" s="260">
        <v>20</v>
      </c>
      <c r="AX74" s="271">
        <v>160</v>
      </c>
      <c r="AY74" s="260">
        <v>5</v>
      </c>
      <c r="AZ74" s="271">
        <v>80</v>
      </c>
      <c r="BA74" s="276">
        <v>5</v>
      </c>
      <c r="BB74" s="276">
        <v>80</v>
      </c>
      <c r="BC74" s="276"/>
      <c r="BD74" s="276"/>
      <c r="BE74" s="276">
        <v>5</v>
      </c>
      <c r="BF74" s="276">
        <v>160</v>
      </c>
      <c r="BG74" s="260">
        <v>10</v>
      </c>
      <c r="BH74" s="271">
        <v>80</v>
      </c>
      <c r="BI74" s="276"/>
      <c r="BJ74" s="276"/>
      <c r="BK74" s="276"/>
      <c r="BL74" s="275"/>
      <c r="BM74" s="329">
        <v>185</v>
      </c>
      <c r="BN74" s="272">
        <v>10</v>
      </c>
      <c r="BO74" s="270">
        <v>20</v>
      </c>
      <c r="BP74" s="272"/>
      <c r="BQ74" s="260"/>
      <c r="BR74" s="260"/>
      <c r="BS74" s="260"/>
      <c r="BT74" s="260"/>
      <c r="BU74" s="260"/>
      <c r="BV74" s="260">
        <v>5</v>
      </c>
      <c r="BW74" s="260">
        <v>20</v>
      </c>
      <c r="BX74" s="260"/>
      <c r="BY74" s="260"/>
      <c r="BZ74" s="260"/>
      <c r="CA74" s="260"/>
      <c r="CB74" s="260"/>
      <c r="CC74" s="260"/>
      <c r="CD74" s="260">
        <v>20</v>
      </c>
      <c r="CE74" s="260">
        <v>40</v>
      </c>
      <c r="CF74" s="272"/>
      <c r="CG74" s="260"/>
      <c r="CH74" s="260"/>
      <c r="CI74" s="260"/>
      <c r="CJ74" s="260"/>
      <c r="CK74" s="260"/>
      <c r="CL74" s="260"/>
      <c r="CM74" s="260"/>
      <c r="CN74" s="260">
        <v>5</v>
      </c>
      <c r="CO74" s="260">
        <v>40</v>
      </c>
      <c r="CP74" s="260">
        <v>10</v>
      </c>
      <c r="CQ74" s="260">
        <v>80</v>
      </c>
      <c r="CR74" s="260">
        <v>10</v>
      </c>
      <c r="CS74" s="270">
        <v>80</v>
      </c>
      <c r="CT74" s="328">
        <v>185</v>
      </c>
      <c r="CU74" s="249">
        <f>Table2821115[[#This Row],[D28 - BR/18]]/Table2821115[[#This Row],[D0 - BR/18]]</f>
        <v>4</v>
      </c>
      <c r="CV74" s="248">
        <f>Table2821115[[#This Row],[D28 - KS/17]]/Table2821115[[#This Row],[D0 - KS/17]]</f>
        <v>32</v>
      </c>
      <c r="CW74" s="248">
        <f>Table2821115[[#This Row],[D28 - Phu/13]]/Table2821115[[#This Row],[D0 - Phu/13]]</f>
        <v>2</v>
      </c>
      <c r="CX74" s="248">
        <f>Table2821115[[#This Row],[D28 - CO/17]]/Table2821115[[#This Row],[D0 - CO/17]]</f>
        <v>8</v>
      </c>
      <c r="CY74" s="248">
        <f>LOG(Table2821115[[#This Row],[BR/18 Fold]],2)</f>
        <v>2</v>
      </c>
      <c r="CZ74" s="248">
        <f>LOG(Table2821115[[#This Row],[KS/17 Fold]],2)</f>
        <v>5</v>
      </c>
      <c r="DA74" s="248">
        <f>LOG(Table2821115[[#This Row],[Phu/13 Fold]],2)</f>
        <v>1</v>
      </c>
      <c r="DB74" s="248">
        <f>LOG(Table2821115[[#This Row],[CO/17 Fold]],2)</f>
        <v>3</v>
      </c>
      <c r="DC74" s="248">
        <f>SUM(Table2821115[[#This Row],[BR/18 Log2]:[CO/17 Log2]])</f>
        <v>11</v>
      </c>
    </row>
    <row r="75" spans="1:107" ht="24" customHeight="1">
      <c r="A75" s="327">
        <v>188</v>
      </c>
      <c r="B75" s="205">
        <v>17960</v>
      </c>
      <c r="C75" s="205">
        <v>43739</v>
      </c>
      <c r="D75" s="204">
        <v>70</v>
      </c>
      <c r="E75" s="3" t="s">
        <v>61</v>
      </c>
      <c r="F75" s="143" t="s">
        <v>116</v>
      </c>
      <c r="G75" s="142">
        <v>22.822214286307503</v>
      </c>
      <c r="H75" s="11" t="s">
        <v>59</v>
      </c>
      <c r="I75" s="281" t="s">
        <v>60</v>
      </c>
      <c r="J75" s="260">
        <v>5</v>
      </c>
      <c r="K75" s="260">
        <v>5</v>
      </c>
      <c r="L75" s="260"/>
      <c r="M75" s="260"/>
      <c r="N75" s="260"/>
      <c r="O75" s="260"/>
      <c r="P75" s="260"/>
      <c r="Q75" s="260"/>
      <c r="R75" s="260"/>
      <c r="S75" s="260"/>
      <c r="T75" s="260"/>
      <c r="U75" s="260"/>
      <c r="V75" s="260">
        <v>5</v>
      </c>
      <c r="W75" s="260">
        <v>5</v>
      </c>
      <c r="X75" s="260">
        <v>20</v>
      </c>
      <c r="Y75" s="260">
        <v>40</v>
      </c>
      <c r="Z75" s="260">
        <v>20</v>
      </c>
      <c r="AA75" s="260">
        <v>40</v>
      </c>
      <c r="AB75" s="260">
        <v>10</v>
      </c>
      <c r="AC75" s="260">
        <v>20</v>
      </c>
      <c r="AD75" s="260"/>
      <c r="AE75" s="260"/>
      <c r="AF75" s="260"/>
      <c r="AG75" s="260"/>
      <c r="AH75" s="203">
        <v>188</v>
      </c>
      <c r="AI75" s="272">
        <v>5</v>
      </c>
      <c r="AJ75" s="271">
        <v>20</v>
      </c>
      <c r="AK75" s="260"/>
      <c r="AL75" s="260"/>
      <c r="AM75" s="260"/>
      <c r="AN75" s="260"/>
      <c r="AO75" s="260"/>
      <c r="AP75" s="260"/>
      <c r="AQ75" s="260"/>
      <c r="AR75" s="260"/>
      <c r="AS75" s="260"/>
      <c r="AT75" s="260"/>
      <c r="AU75" s="260">
        <v>40</v>
      </c>
      <c r="AV75" s="271">
        <v>160</v>
      </c>
      <c r="AW75" s="260">
        <v>40</v>
      </c>
      <c r="AX75" s="271">
        <v>320</v>
      </c>
      <c r="AY75" s="260">
        <v>10</v>
      </c>
      <c r="AZ75" s="271">
        <v>40</v>
      </c>
      <c r="BA75" s="276">
        <v>10</v>
      </c>
      <c r="BB75" s="276">
        <v>80</v>
      </c>
      <c r="BC75" s="276"/>
      <c r="BD75" s="276"/>
      <c r="BE75" s="276">
        <v>5</v>
      </c>
      <c r="BF75" s="276">
        <v>40</v>
      </c>
      <c r="BG75" s="260">
        <v>20</v>
      </c>
      <c r="BH75" s="271">
        <v>160</v>
      </c>
      <c r="BI75" s="276"/>
      <c r="BJ75" s="276"/>
      <c r="BK75" s="276"/>
      <c r="BL75" s="275"/>
      <c r="BM75" s="326">
        <v>188</v>
      </c>
      <c r="BN75" s="272">
        <v>80</v>
      </c>
      <c r="BO75" s="270">
        <v>320</v>
      </c>
      <c r="BP75" s="272"/>
      <c r="BQ75" s="260"/>
      <c r="BR75" s="260"/>
      <c r="BS75" s="260"/>
      <c r="BT75" s="260"/>
      <c r="BU75" s="260"/>
      <c r="BV75" s="260">
        <v>10</v>
      </c>
      <c r="BW75" s="260">
        <v>160</v>
      </c>
      <c r="BX75" s="260"/>
      <c r="BY75" s="260"/>
      <c r="BZ75" s="260"/>
      <c r="CA75" s="260"/>
      <c r="CB75" s="260"/>
      <c r="CC75" s="260"/>
      <c r="CD75" s="260">
        <v>80</v>
      </c>
      <c r="CE75" s="260">
        <v>80</v>
      </c>
      <c r="CF75" s="272"/>
      <c r="CG75" s="260"/>
      <c r="CH75" s="260"/>
      <c r="CI75" s="260"/>
      <c r="CJ75" s="260"/>
      <c r="CK75" s="260"/>
      <c r="CL75" s="260"/>
      <c r="CM75" s="260"/>
      <c r="CN75" s="260">
        <v>20</v>
      </c>
      <c r="CO75" s="260">
        <v>40</v>
      </c>
      <c r="CP75" s="260">
        <v>40</v>
      </c>
      <c r="CQ75" s="260">
        <v>80</v>
      </c>
      <c r="CR75" s="260">
        <v>20</v>
      </c>
      <c r="CS75" s="270">
        <v>40</v>
      </c>
      <c r="CT75" s="325">
        <v>188</v>
      </c>
      <c r="CU75" s="249">
        <f>Table2821115[[#This Row],[D28 - BR/18]]/Table2821115[[#This Row],[D0 - BR/18]]</f>
        <v>2</v>
      </c>
      <c r="CV75" s="248">
        <f>Table2821115[[#This Row],[D28 - KS/17]]/Table2821115[[#This Row],[D0 - KS/17]]</f>
        <v>8</v>
      </c>
      <c r="CW75" s="248">
        <f>Table2821115[[#This Row],[D28 - Phu/13]]/Table2821115[[#This Row],[D0 - Phu/13]]</f>
        <v>1</v>
      </c>
      <c r="CX75" s="248">
        <f>Table2821115[[#This Row],[D28 - CO/17]]/Table2821115[[#This Row],[D0 - CO/17]]</f>
        <v>2</v>
      </c>
      <c r="CY75" s="248">
        <f>LOG(Table2821115[[#This Row],[BR/18 Fold]],2)</f>
        <v>1</v>
      </c>
      <c r="CZ75" s="248">
        <f>LOG(Table2821115[[#This Row],[KS/17 Fold]],2)</f>
        <v>3</v>
      </c>
      <c r="DA75" s="248">
        <f>LOG(Table2821115[[#This Row],[Phu/13 Fold]],2)</f>
        <v>0</v>
      </c>
      <c r="DB75" s="248">
        <f>LOG(Table2821115[[#This Row],[CO/17 Fold]],2)</f>
        <v>1</v>
      </c>
      <c r="DC75" s="248">
        <f>SUM(Table2821115[[#This Row],[BR/18 Log2]:[CO/17 Log2]])</f>
        <v>5</v>
      </c>
    </row>
    <row r="76" spans="1:107" ht="24" customHeight="1">
      <c r="A76" s="318">
        <v>190</v>
      </c>
      <c r="B76" s="180">
        <v>21674</v>
      </c>
      <c r="C76" s="180">
        <v>43745</v>
      </c>
      <c r="D76" s="179">
        <v>60</v>
      </c>
      <c r="E76" s="4" t="s">
        <v>58</v>
      </c>
      <c r="F76" s="143" t="s">
        <v>116</v>
      </c>
      <c r="G76" s="142">
        <v>27.806142635423328</v>
      </c>
      <c r="H76" s="11" t="s">
        <v>59</v>
      </c>
      <c r="I76" s="281" t="s">
        <v>60</v>
      </c>
      <c r="J76" s="260">
        <v>5</v>
      </c>
      <c r="K76" s="260">
        <v>5</v>
      </c>
      <c r="L76" s="260"/>
      <c r="M76" s="260"/>
      <c r="N76" s="260"/>
      <c r="O76" s="260"/>
      <c r="P76" s="260"/>
      <c r="Q76" s="260"/>
      <c r="R76" s="260"/>
      <c r="S76" s="260"/>
      <c r="T76" s="260"/>
      <c r="U76" s="260"/>
      <c r="V76" s="260">
        <v>5</v>
      </c>
      <c r="W76" s="260">
        <v>5</v>
      </c>
      <c r="X76" s="260">
        <v>40</v>
      </c>
      <c r="Y76" s="260">
        <v>80</v>
      </c>
      <c r="Z76" s="260">
        <v>80</v>
      </c>
      <c r="AA76" s="260">
        <v>80</v>
      </c>
      <c r="AB76" s="260">
        <v>40</v>
      </c>
      <c r="AC76" s="260">
        <v>40</v>
      </c>
      <c r="AD76" s="260"/>
      <c r="AE76" s="260"/>
      <c r="AF76" s="260"/>
      <c r="AG76" s="260"/>
      <c r="AH76" s="195">
        <v>190</v>
      </c>
      <c r="AI76" s="272">
        <v>80</v>
      </c>
      <c r="AJ76" s="271">
        <v>80</v>
      </c>
      <c r="AK76" s="260"/>
      <c r="AL76" s="260"/>
      <c r="AM76" s="260"/>
      <c r="AN76" s="260"/>
      <c r="AO76" s="260"/>
      <c r="AP76" s="260"/>
      <c r="AQ76" s="260"/>
      <c r="AR76" s="260"/>
      <c r="AS76" s="260"/>
      <c r="AT76" s="260"/>
      <c r="AU76" s="260">
        <v>160</v>
      </c>
      <c r="AV76" s="271">
        <v>160</v>
      </c>
      <c r="AW76" s="260">
        <v>20</v>
      </c>
      <c r="AX76" s="271">
        <v>80</v>
      </c>
      <c r="AY76" s="260">
        <v>5</v>
      </c>
      <c r="AZ76" s="271">
        <v>5</v>
      </c>
      <c r="BA76" s="276">
        <v>5</v>
      </c>
      <c r="BB76" s="276">
        <v>20</v>
      </c>
      <c r="BC76" s="276"/>
      <c r="BD76" s="276"/>
      <c r="BE76" s="276">
        <v>5</v>
      </c>
      <c r="BF76" s="276">
        <v>20</v>
      </c>
      <c r="BG76" s="260">
        <v>40</v>
      </c>
      <c r="BH76" s="271">
        <v>80</v>
      </c>
      <c r="BI76" s="276"/>
      <c r="BJ76" s="276"/>
      <c r="BK76" s="276"/>
      <c r="BL76" s="275"/>
      <c r="BM76" s="316">
        <v>190</v>
      </c>
      <c r="BN76" s="272">
        <v>80</v>
      </c>
      <c r="BO76" s="270">
        <v>160</v>
      </c>
      <c r="BP76" s="272"/>
      <c r="BQ76" s="260"/>
      <c r="BR76" s="260"/>
      <c r="BS76" s="260"/>
      <c r="BT76" s="260"/>
      <c r="BU76" s="260"/>
      <c r="BV76" s="260">
        <v>320</v>
      </c>
      <c r="BW76" s="260">
        <v>640</v>
      </c>
      <c r="BX76" s="260"/>
      <c r="BY76" s="260"/>
      <c r="BZ76" s="260"/>
      <c r="CA76" s="260"/>
      <c r="CB76" s="260"/>
      <c r="CC76" s="260"/>
      <c r="CD76" s="260">
        <v>320</v>
      </c>
      <c r="CE76" s="260">
        <v>320</v>
      </c>
      <c r="CF76" s="272"/>
      <c r="CG76" s="260"/>
      <c r="CH76" s="260"/>
      <c r="CI76" s="260"/>
      <c r="CJ76" s="260"/>
      <c r="CK76" s="260"/>
      <c r="CL76" s="260"/>
      <c r="CM76" s="260"/>
      <c r="CN76" s="260">
        <v>80</v>
      </c>
      <c r="CO76" s="260">
        <v>80</v>
      </c>
      <c r="CP76" s="260">
        <v>160</v>
      </c>
      <c r="CQ76" s="260">
        <v>160</v>
      </c>
      <c r="CR76" s="260">
        <v>80</v>
      </c>
      <c r="CS76" s="270">
        <v>80</v>
      </c>
      <c r="CT76" s="315">
        <v>190</v>
      </c>
      <c r="CU76" s="249">
        <f>Table2821115[[#This Row],[D28 - BR/18]]/Table2821115[[#This Row],[D0 - BR/18]]</f>
        <v>1</v>
      </c>
      <c r="CV76" s="248">
        <f>Table2821115[[#This Row],[D28 - KS/17]]/Table2821115[[#This Row],[D0 - KS/17]]</f>
        <v>4</v>
      </c>
      <c r="CW76" s="248">
        <f>Table2821115[[#This Row],[D28 - Phu/13]]/Table2821115[[#This Row],[D0 - Phu/13]]</f>
        <v>1</v>
      </c>
      <c r="CX76" s="248">
        <f>Table2821115[[#This Row],[D28 - CO/17]]/Table2821115[[#This Row],[D0 - CO/17]]</f>
        <v>1</v>
      </c>
      <c r="CY76" s="248">
        <f>LOG(Table2821115[[#This Row],[BR/18 Fold]],2)</f>
        <v>0</v>
      </c>
      <c r="CZ76" s="248">
        <f>LOG(Table2821115[[#This Row],[KS/17 Fold]],2)</f>
        <v>2</v>
      </c>
      <c r="DA76" s="248">
        <f>LOG(Table2821115[[#This Row],[Phu/13 Fold]],2)</f>
        <v>0</v>
      </c>
      <c r="DB76" s="248">
        <f>LOG(Table2821115[[#This Row],[CO/17 Fold]],2)</f>
        <v>0</v>
      </c>
      <c r="DC76" s="248">
        <f>SUM(Table2821115[[#This Row],[BR/18 Log2]:[CO/17 Log2]])</f>
        <v>2</v>
      </c>
    </row>
    <row r="77" spans="1:107" ht="24" customHeight="1">
      <c r="A77" s="321">
        <v>194</v>
      </c>
      <c r="B77" s="183">
        <v>32367</v>
      </c>
      <c r="C77" s="183">
        <v>43760</v>
      </c>
      <c r="D77" s="182">
        <v>31</v>
      </c>
      <c r="E77" s="4" t="s">
        <v>58</v>
      </c>
      <c r="F77" s="143" t="s">
        <v>116</v>
      </c>
      <c r="G77" s="142">
        <v>27.903579254930605</v>
      </c>
      <c r="H77" s="11" t="s">
        <v>59</v>
      </c>
      <c r="I77" s="281" t="s">
        <v>60</v>
      </c>
      <c r="J77" s="260">
        <v>5</v>
      </c>
      <c r="K77" s="260">
        <v>5</v>
      </c>
      <c r="L77" s="260"/>
      <c r="M77" s="260"/>
      <c r="N77" s="260"/>
      <c r="O77" s="260"/>
      <c r="P77" s="260"/>
      <c r="Q77" s="260"/>
      <c r="R77" s="260"/>
      <c r="S77" s="260"/>
      <c r="T77" s="260"/>
      <c r="U77" s="260"/>
      <c r="V77" s="260">
        <v>5</v>
      </c>
      <c r="W77" s="260">
        <v>5</v>
      </c>
      <c r="X77" s="260">
        <v>5</v>
      </c>
      <c r="Y77" s="260">
        <v>20</v>
      </c>
      <c r="Z77" s="260">
        <v>20</v>
      </c>
      <c r="AA77" s="260">
        <v>40</v>
      </c>
      <c r="AB77" s="260">
        <v>20</v>
      </c>
      <c r="AC77" s="260">
        <v>20</v>
      </c>
      <c r="AD77" s="260"/>
      <c r="AE77" s="260"/>
      <c r="AF77" s="260"/>
      <c r="AG77" s="260"/>
      <c r="AH77" s="32">
        <v>194</v>
      </c>
      <c r="AI77" s="272">
        <v>40</v>
      </c>
      <c r="AJ77" s="271">
        <v>40</v>
      </c>
      <c r="AK77" s="260"/>
      <c r="AL77" s="260"/>
      <c r="AM77" s="260"/>
      <c r="AN77" s="260"/>
      <c r="AO77" s="260"/>
      <c r="AP77" s="260"/>
      <c r="AQ77" s="260"/>
      <c r="AR77" s="260"/>
      <c r="AS77" s="260"/>
      <c r="AT77" s="260"/>
      <c r="AU77" s="260">
        <v>40</v>
      </c>
      <c r="AV77" s="271">
        <v>80</v>
      </c>
      <c r="AW77" s="260">
        <v>20</v>
      </c>
      <c r="AX77" s="271">
        <v>40</v>
      </c>
      <c r="AY77" s="260">
        <v>10</v>
      </c>
      <c r="AZ77" s="271">
        <v>20</v>
      </c>
      <c r="BA77" s="276">
        <v>10</v>
      </c>
      <c r="BB77" s="276">
        <v>20</v>
      </c>
      <c r="BC77" s="276"/>
      <c r="BD77" s="276"/>
      <c r="BE77" s="276">
        <v>5</v>
      </c>
      <c r="BF77" s="276">
        <v>20</v>
      </c>
      <c r="BG77" s="260">
        <v>20</v>
      </c>
      <c r="BH77" s="271">
        <v>40</v>
      </c>
      <c r="BI77" s="276"/>
      <c r="BJ77" s="276"/>
      <c r="BK77" s="276"/>
      <c r="BL77" s="275"/>
      <c r="BM77" s="320">
        <v>194</v>
      </c>
      <c r="BN77" s="272">
        <v>320</v>
      </c>
      <c r="BO77" s="270">
        <v>320</v>
      </c>
      <c r="BP77" s="272"/>
      <c r="BQ77" s="260"/>
      <c r="BR77" s="260"/>
      <c r="BS77" s="260"/>
      <c r="BT77" s="260"/>
      <c r="BU77" s="260"/>
      <c r="BV77" s="260">
        <v>160</v>
      </c>
      <c r="BW77" s="260">
        <v>640</v>
      </c>
      <c r="BX77" s="260"/>
      <c r="BY77" s="260"/>
      <c r="BZ77" s="260"/>
      <c r="CA77" s="260"/>
      <c r="CB77" s="260"/>
      <c r="CC77" s="260"/>
      <c r="CD77" s="260">
        <v>320</v>
      </c>
      <c r="CE77" s="260">
        <v>320</v>
      </c>
      <c r="CF77" s="272"/>
      <c r="CG77" s="260"/>
      <c r="CH77" s="260"/>
      <c r="CI77" s="260"/>
      <c r="CJ77" s="260"/>
      <c r="CK77" s="260"/>
      <c r="CL77" s="260"/>
      <c r="CM77" s="260"/>
      <c r="CN77" s="260">
        <v>40</v>
      </c>
      <c r="CO77" s="260">
        <v>80</v>
      </c>
      <c r="CP77" s="260">
        <v>40</v>
      </c>
      <c r="CQ77" s="260">
        <v>80</v>
      </c>
      <c r="CR77" s="260">
        <v>40</v>
      </c>
      <c r="CS77" s="270">
        <v>40</v>
      </c>
      <c r="CT77" s="319">
        <v>194</v>
      </c>
      <c r="CU77" s="249">
        <f>Table2821115[[#This Row],[D28 - BR/18]]/Table2821115[[#This Row],[D0 - BR/18]]</f>
        <v>1</v>
      </c>
      <c r="CV77" s="248">
        <f>Table2821115[[#This Row],[D28 - KS/17]]/Table2821115[[#This Row],[D0 - KS/17]]</f>
        <v>4</v>
      </c>
      <c r="CW77" s="248">
        <f>Table2821115[[#This Row],[D28 - Phu/13]]/Table2821115[[#This Row],[D0 - Phu/13]]</f>
        <v>1</v>
      </c>
      <c r="CX77" s="248">
        <f>Table2821115[[#This Row],[D28 - CO/17]]/Table2821115[[#This Row],[D0 - CO/17]]</f>
        <v>2</v>
      </c>
      <c r="CY77" s="248">
        <f>LOG(Table2821115[[#This Row],[BR/18 Fold]],2)</f>
        <v>0</v>
      </c>
      <c r="CZ77" s="248">
        <f>LOG(Table2821115[[#This Row],[KS/17 Fold]],2)</f>
        <v>2</v>
      </c>
      <c r="DA77" s="248">
        <f>LOG(Table2821115[[#This Row],[Phu/13 Fold]],2)</f>
        <v>0</v>
      </c>
      <c r="DB77" s="248">
        <f>LOG(Table2821115[[#This Row],[CO/17 Fold]],2)</f>
        <v>1</v>
      </c>
      <c r="DC77" s="248">
        <f>SUM(Table2821115[[#This Row],[BR/18 Log2]:[CO/17 Log2]])</f>
        <v>3</v>
      </c>
    </row>
    <row r="78" spans="1:107" ht="24" customHeight="1">
      <c r="A78" s="330">
        <v>196</v>
      </c>
      <c r="B78" s="210">
        <v>19270</v>
      </c>
      <c r="C78" s="210">
        <v>43748</v>
      </c>
      <c r="D78" s="209">
        <v>67</v>
      </c>
      <c r="E78" s="4" t="s">
        <v>58</v>
      </c>
      <c r="F78" s="143" t="s">
        <v>118</v>
      </c>
      <c r="G78" s="142">
        <v>33.023273363965906</v>
      </c>
      <c r="H78" s="5" t="s">
        <v>64</v>
      </c>
      <c r="I78" s="281" t="s">
        <v>60</v>
      </c>
      <c r="J78" s="260">
        <v>5</v>
      </c>
      <c r="K78" s="260">
        <v>5</v>
      </c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>
        <v>5</v>
      </c>
      <c r="W78" s="260">
        <v>5</v>
      </c>
      <c r="X78" s="260">
        <v>5</v>
      </c>
      <c r="Y78" s="260">
        <v>5</v>
      </c>
      <c r="Z78" s="260">
        <v>5</v>
      </c>
      <c r="AA78" s="260">
        <v>5</v>
      </c>
      <c r="AB78" s="260">
        <v>5</v>
      </c>
      <c r="AC78" s="260">
        <v>5</v>
      </c>
      <c r="AD78" s="260"/>
      <c r="AE78" s="260"/>
      <c r="AF78" s="260"/>
      <c r="AG78" s="260"/>
      <c r="AH78" s="208">
        <v>196</v>
      </c>
      <c r="AI78" s="272">
        <v>40</v>
      </c>
      <c r="AJ78" s="271">
        <v>80</v>
      </c>
      <c r="AK78" s="260"/>
      <c r="AL78" s="260"/>
      <c r="AM78" s="260"/>
      <c r="AN78" s="260"/>
      <c r="AO78" s="260"/>
      <c r="AP78" s="260"/>
      <c r="AQ78" s="260"/>
      <c r="AR78" s="260"/>
      <c r="AS78" s="260"/>
      <c r="AT78" s="260"/>
      <c r="AU78" s="260">
        <v>20</v>
      </c>
      <c r="AV78" s="271">
        <v>40</v>
      </c>
      <c r="AW78" s="260">
        <v>20</v>
      </c>
      <c r="AX78" s="271">
        <v>40</v>
      </c>
      <c r="AY78" s="260">
        <v>10</v>
      </c>
      <c r="AZ78" s="271">
        <v>20</v>
      </c>
      <c r="BA78" s="276">
        <v>10</v>
      </c>
      <c r="BB78" s="276">
        <v>20</v>
      </c>
      <c r="BC78" s="276"/>
      <c r="BD78" s="276"/>
      <c r="BE78" s="276">
        <v>5</v>
      </c>
      <c r="BF78" s="276">
        <v>20</v>
      </c>
      <c r="BG78" s="260">
        <v>20</v>
      </c>
      <c r="BH78" s="271">
        <v>40</v>
      </c>
      <c r="BI78" s="276"/>
      <c r="BJ78" s="276"/>
      <c r="BK78" s="276"/>
      <c r="BL78" s="275"/>
      <c r="BM78" s="329">
        <v>196</v>
      </c>
      <c r="BN78" s="272">
        <v>10</v>
      </c>
      <c r="BO78" s="270">
        <v>10</v>
      </c>
      <c r="BP78" s="272"/>
      <c r="BQ78" s="260"/>
      <c r="BR78" s="260"/>
      <c r="BS78" s="260"/>
      <c r="BT78" s="260"/>
      <c r="BU78" s="260"/>
      <c r="BV78" s="260">
        <v>5</v>
      </c>
      <c r="BW78" s="260">
        <v>10</v>
      </c>
      <c r="BX78" s="260"/>
      <c r="BY78" s="260"/>
      <c r="BZ78" s="260"/>
      <c r="CA78" s="260"/>
      <c r="CB78" s="260"/>
      <c r="CC78" s="260"/>
      <c r="CD78" s="260">
        <v>10</v>
      </c>
      <c r="CE78" s="260">
        <v>20</v>
      </c>
      <c r="CF78" s="272"/>
      <c r="CG78" s="260"/>
      <c r="CH78" s="260"/>
      <c r="CI78" s="260"/>
      <c r="CJ78" s="260"/>
      <c r="CK78" s="260"/>
      <c r="CL78" s="260"/>
      <c r="CM78" s="260"/>
      <c r="CN78" s="260">
        <v>5</v>
      </c>
      <c r="CO78" s="260">
        <v>5</v>
      </c>
      <c r="CP78" s="260">
        <v>5</v>
      </c>
      <c r="CQ78" s="260">
        <v>5</v>
      </c>
      <c r="CR78" s="260">
        <v>10</v>
      </c>
      <c r="CS78" s="270">
        <v>10</v>
      </c>
      <c r="CT78" s="328">
        <v>196</v>
      </c>
      <c r="CU78" s="249">
        <f>Table2821115[[#This Row],[D28 - BR/18]]/Table2821115[[#This Row],[D0 - BR/18]]</f>
        <v>1</v>
      </c>
      <c r="CV78" s="248">
        <f>Table2821115[[#This Row],[D28 - KS/17]]/Table2821115[[#This Row],[D0 - KS/17]]</f>
        <v>4</v>
      </c>
      <c r="CW78" s="248">
        <f>Table2821115[[#This Row],[D28 - Phu/13]]/Table2821115[[#This Row],[D0 - Phu/13]]</f>
        <v>2</v>
      </c>
      <c r="CX78" s="248">
        <f>Table2821115[[#This Row],[D28 - CO/17]]/Table2821115[[#This Row],[D0 - CO/17]]</f>
        <v>1</v>
      </c>
      <c r="CY78" s="248">
        <f>LOG(Table2821115[[#This Row],[BR/18 Fold]],2)</f>
        <v>0</v>
      </c>
      <c r="CZ78" s="248">
        <f>LOG(Table2821115[[#This Row],[KS/17 Fold]],2)</f>
        <v>2</v>
      </c>
      <c r="DA78" s="248">
        <f>LOG(Table2821115[[#This Row],[Phu/13 Fold]],2)</f>
        <v>1</v>
      </c>
      <c r="DB78" s="248">
        <f>LOG(Table2821115[[#This Row],[CO/17 Fold]],2)</f>
        <v>0</v>
      </c>
      <c r="DC78" s="248">
        <f>SUM(Table2821115[[#This Row],[BR/18 Log2]:[CO/17 Log2]])</f>
        <v>3</v>
      </c>
    </row>
    <row r="79" spans="1:107" ht="24" customHeight="1">
      <c r="A79" s="318">
        <v>203</v>
      </c>
      <c r="B79" s="180">
        <v>20206</v>
      </c>
      <c r="C79" s="180">
        <v>43740</v>
      </c>
      <c r="D79" s="179">
        <v>64</v>
      </c>
      <c r="E79" s="4" t="s">
        <v>58</v>
      </c>
      <c r="F79" s="143" t="s">
        <v>63</v>
      </c>
      <c r="G79" s="142">
        <v>23.918654325382697</v>
      </c>
      <c r="H79" s="11" t="s">
        <v>59</v>
      </c>
      <c r="I79" s="281" t="s">
        <v>60</v>
      </c>
      <c r="J79" s="260">
        <v>5</v>
      </c>
      <c r="K79" s="260">
        <v>5</v>
      </c>
      <c r="L79" s="260"/>
      <c r="M79" s="260"/>
      <c r="N79" s="260"/>
      <c r="O79" s="260"/>
      <c r="P79" s="260"/>
      <c r="Q79" s="260"/>
      <c r="R79" s="260"/>
      <c r="S79" s="260"/>
      <c r="T79" s="260"/>
      <c r="U79" s="260"/>
      <c r="V79" s="260">
        <v>5</v>
      </c>
      <c r="W79" s="260">
        <v>5</v>
      </c>
      <c r="X79" s="260">
        <v>10</v>
      </c>
      <c r="Y79" s="260">
        <v>80</v>
      </c>
      <c r="Z79" s="260">
        <v>10</v>
      </c>
      <c r="AA79" s="260">
        <v>80</v>
      </c>
      <c r="AB79" s="260">
        <v>10</v>
      </c>
      <c r="AC79" s="260">
        <v>40</v>
      </c>
      <c r="AD79" s="260"/>
      <c r="AE79" s="260"/>
      <c r="AF79" s="260"/>
      <c r="AG79" s="260"/>
      <c r="AH79" s="195">
        <v>203</v>
      </c>
      <c r="AI79" s="272">
        <v>20</v>
      </c>
      <c r="AJ79" s="271">
        <v>20</v>
      </c>
      <c r="AK79" s="260"/>
      <c r="AL79" s="260"/>
      <c r="AM79" s="260"/>
      <c r="AN79" s="260"/>
      <c r="AO79" s="260"/>
      <c r="AP79" s="260"/>
      <c r="AQ79" s="260"/>
      <c r="AR79" s="260"/>
      <c r="AS79" s="260"/>
      <c r="AT79" s="260"/>
      <c r="AU79" s="260">
        <v>40</v>
      </c>
      <c r="AV79" s="271">
        <v>80</v>
      </c>
      <c r="AW79" s="260">
        <v>40</v>
      </c>
      <c r="AX79" s="271">
        <v>160</v>
      </c>
      <c r="AY79" s="260">
        <v>20</v>
      </c>
      <c r="AZ79" s="271">
        <v>80</v>
      </c>
      <c r="BA79" s="276">
        <v>20</v>
      </c>
      <c r="BB79" s="276">
        <v>80</v>
      </c>
      <c r="BC79" s="276"/>
      <c r="BD79" s="276"/>
      <c r="BE79" s="276">
        <v>20</v>
      </c>
      <c r="BF79" s="276">
        <v>160</v>
      </c>
      <c r="BG79" s="260">
        <v>40</v>
      </c>
      <c r="BH79" s="271">
        <v>80</v>
      </c>
      <c r="BI79" s="276"/>
      <c r="BJ79" s="276"/>
      <c r="BK79" s="276"/>
      <c r="BL79" s="275"/>
      <c r="BM79" s="316">
        <v>203</v>
      </c>
      <c r="BN79" s="272">
        <v>320</v>
      </c>
      <c r="BO79" s="270">
        <v>320</v>
      </c>
      <c r="BP79" s="272"/>
      <c r="BQ79" s="260"/>
      <c r="BR79" s="260"/>
      <c r="BS79" s="260"/>
      <c r="BT79" s="260"/>
      <c r="BU79" s="260"/>
      <c r="BV79" s="260">
        <v>160</v>
      </c>
      <c r="BW79" s="260">
        <v>160</v>
      </c>
      <c r="BX79" s="260"/>
      <c r="BY79" s="260"/>
      <c r="BZ79" s="260"/>
      <c r="CA79" s="260"/>
      <c r="CB79" s="260"/>
      <c r="CC79" s="260"/>
      <c r="CD79" s="260">
        <v>160</v>
      </c>
      <c r="CE79" s="260">
        <v>160</v>
      </c>
      <c r="CF79" s="272"/>
      <c r="CG79" s="260"/>
      <c r="CH79" s="260"/>
      <c r="CI79" s="260"/>
      <c r="CJ79" s="260"/>
      <c r="CK79" s="260"/>
      <c r="CL79" s="260"/>
      <c r="CM79" s="260"/>
      <c r="CN79" s="260">
        <v>40</v>
      </c>
      <c r="CO79" s="260">
        <v>80</v>
      </c>
      <c r="CP79" s="260">
        <v>80</v>
      </c>
      <c r="CQ79" s="260">
        <v>80</v>
      </c>
      <c r="CR79" s="260">
        <v>20</v>
      </c>
      <c r="CS79" s="270">
        <v>40</v>
      </c>
      <c r="CT79" s="315">
        <v>203</v>
      </c>
      <c r="CU79" s="249">
        <f>Table2821115[[#This Row],[D28 - BR/18]]/Table2821115[[#This Row],[D0 - BR/18]]</f>
        <v>4</v>
      </c>
      <c r="CV79" s="248">
        <f>Table2821115[[#This Row],[D28 - KS/17]]/Table2821115[[#This Row],[D0 - KS/17]]</f>
        <v>8</v>
      </c>
      <c r="CW79" s="248">
        <f>Table2821115[[#This Row],[D28 - Phu/13]]/Table2821115[[#This Row],[D0 - Phu/13]]</f>
        <v>1</v>
      </c>
      <c r="CX79" s="248">
        <f>Table2821115[[#This Row],[D28 - CO/17]]/Table2821115[[#This Row],[D0 - CO/17]]</f>
        <v>1</v>
      </c>
      <c r="CY79" s="248">
        <f>LOG(Table2821115[[#This Row],[BR/18 Fold]],2)</f>
        <v>2</v>
      </c>
      <c r="CZ79" s="248">
        <f>LOG(Table2821115[[#This Row],[KS/17 Fold]],2)</f>
        <v>3</v>
      </c>
      <c r="DA79" s="248">
        <f>LOG(Table2821115[[#This Row],[Phu/13 Fold]],2)</f>
        <v>0</v>
      </c>
      <c r="DB79" s="248">
        <f>LOG(Table2821115[[#This Row],[CO/17 Fold]],2)</f>
        <v>0</v>
      </c>
      <c r="DC79" s="248">
        <f>SUM(Table2821115[[#This Row],[BR/18 Log2]:[CO/17 Log2]])</f>
        <v>5</v>
      </c>
    </row>
    <row r="80" spans="1:107" ht="24" customHeight="1">
      <c r="A80" s="324">
        <v>207</v>
      </c>
      <c r="B80" s="190">
        <v>30791</v>
      </c>
      <c r="C80" s="190">
        <v>43777</v>
      </c>
      <c r="D80" s="189">
        <v>35</v>
      </c>
      <c r="E80" s="4" t="s">
        <v>58</v>
      </c>
      <c r="F80" s="143" t="s">
        <v>116</v>
      </c>
      <c r="G80" s="142">
        <v>25.78576142072254</v>
      </c>
      <c r="H80" s="11" t="s">
        <v>59</v>
      </c>
      <c r="I80" s="281" t="s">
        <v>60</v>
      </c>
      <c r="J80" s="260">
        <v>5</v>
      </c>
      <c r="K80" s="260">
        <v>5</v>
      </c>
      <c r="L80" s="260"/>
      <c r="M80" s="260"/>
      <c r="N80" s="260"/>
      <c r="O80" s="260"/>
      <c r="P80" s="260"/>
      <c r="Q80" s="260"/>
      <c r="R80" s="260"/>
      <c r="S80" s="260"/>
      <c r="T80" s="260"/>
      <c r="U80" s="260"/>
      <c r="V80" s="260">
        <v>80</v>
      </c>
      <c r="W80" s="260">
        <v>320</v>
      </c>
      <c r="X80" s="260">
        <v>80</v>
      </c>
      <c r="Y80" s="260">
        <v>160</v>
      </c>
      <c r="Z80" s="260">
        <v>160</v>
      </c>
      <c r="AA80" s="260">
        <v>160</v>
      </c>
      <c r="AB80" s="260">
        <v>80</v>
      </c>
      <c r="AC80" s="260">
        <v>160</v>
      </c>
      <c r="AD80" s="260"/>
      <c r="AE80" s="260"/>
      <c r="AF80" s="260"/>
      <c r="AG80" s="260"/>
      <c r="AH80" s="198">
        <v>207</v>
      </c>
      <c r="AI80" s="272">
        <v>20</v>
      </c>
      <c r="AJ80" s="271">
        <v>20</v>
      </c>
      <c r="AK80" s="260"/>
      <c r="AL80" s="260"/>
      <c r="AM80" s="260"/>
      <c r="AN80" s="260"/>
      <c r="AO80" s="260"/>
      <c r="AP80" s="260"/>
      <c r="AQ80" s="260"/>
      <c r="AR80" s="260"/>
      <c r="AS80" s="260"/>
      <c r="AT80" s="260"/>
      <c r="AU80" s="260">
        <v>20</v>
      </c>
      <c r="AV80" s="271">
        <v>20</v>
      </c>
      <c r="AW80" s="260">
        <v>20</v>
      </c>
      <c r="AX80" s="271">
        <v>40</v>
      </c>
      <c r="AY80" s="260">
        <v>20</v>
      </c>
      <c r="AZ80" s="271">
        <v>20</v>
      </c>
      <c r="BA80" s="276">
        <v>20</v>
      </c>
      <c r="BB80" s="276">
        <v>20</v>
      </c>
      <c r="BC80" s="276"/>
      <c r="BD80" s="276"/>
      <c r="BE80" s="276">
        <v>10</v>
      </c>
      <c r="BF80" s="276">
        <v>160</v>
      </c>
      <c r="BG80" s="260">
        <v>20</v>
      </c>
      <c r="BH80" s="271">
        <v>20</v>
      </c>
      <c r="BI80" s="276"/>
      <c r="BJ80" s="276"/>
      <c r="BK80" s="276"/>
      <c r="BL80" s="275"/>
      <c r="BM80" s="323">
        <v>207</v>
      </c>
      <c r="BN80" s="272">
        <v>640</v>
      </c>
      <c r="BO80" s="270">
        <v>640</v>
      </c>
      <c r="BP80" s="272"/>
      <c r="BQ80" s="260"/>
      <c r="BR80" s="260"/>
      <c r="BS80" s="260"/>
      <c r="BT80" s="260"/>
      <c r="BU80" s="260"/>
      <c r="BV80" s="260">
        <v>160</v>
      </c>
      <c r="BW80" s="260">
        <v>160</v>
      </c>
      <c r="BX80" s="260"/>
      <c r="BY80" s="260"/>
      <c r="BZ80" s="260"/>
      <c r="CA80" s="260"/>
      <c r="CB80" s="260"/>
      <c r="CC80" s="260"/>
      <c r="CD80" s="260">
        <v>320</v>
      </c>
      <c r="CE80" s="260">
        <v>320</v>
      </c>
      <c r="CF80" s="272"/>
      <c r="CG80" s="260"/>
      <c r="CH80" s="260"/>
      <c r="CI80" s="260"/>
      <c r="CJ80" s="260"/>
      <c r="CK80" s="260"/>
      <c r="CL80" s="260"/>
      <c r="CM80" s="260"/>
      <c r="CN80" s="260">
        <v>80</v>
      </c>
      <c r="CO80" s="260">
        <v>80</v>
      </c>
      <c r="CP80" s="260">
        <v>160</v>
      </c>
      <c r="CQ80" s="260">
        <v>160</v>
      </c>
      <c r="CR80" s="260">
        <v>40</v>
      </c>
      <c r="CS80" s="270">
        <v>80</v>
      </c>
      <c r="CT80" s="322">
        <v>207</v>
      </c>
      <c r="CU80" s="249">
        <f>Table2821115[[#This Row],[D28 - BR/18]]/Table2821115[[#This Row],[D0 - BR/18]]</f>
        <v>2</v>
      </c>
      <c r="CV80" s="248">
        <f>Table2821115[[#This Row],[D28 - KS/17]]/Table2821115[[#This Row],[D0 - KS/17]]</f>
        <v>16</v>
      </c>
      <c r="CW80" s="248">
        <f>Table2821115[[#This Row],[D28 - Phu/13]]/Table2821115[[#This Row],[D0 - Phu/13]]</f>
        <v>1</v>
      </c>
      <c r="CX80" s="248">
        <f>Table2821115[[#This Row],[D28 - CO/17]]/Table2821115[[#This Row],[D0 - CO/17]]</f>
        <v>1</v>
      </c>
      <c r="CY80" s="248">
        <f>LOG(Table2821115[[#This Row],[BR/18 Fold]],2)</f>
        <v>1</v>
      </c>
      <c r="CZ80" s="248">
        <f>LOG(Table2821115[[#This Row],[KS/17 Fold]],2)</f>
        <v>4</v>
      </c>
      <c r="DA80" s="248">
        <f>LOG(Table2821115[[#This Row],[Phu/13 Fold]],2)</f>
        <v>0</v>
      </c>
      <c r="DB80" s="248">
        <f>LOG(Table2821115[[#This Row],[CO/17 Fold]],2)</f>
        <v>0</v>
      </c>
      <c r="DC80" s="248">
        <f>SUM(Table2821115[[#This Row],[BR/18 Log2]:[CO/17 Log2]])</f>
        <v>5</v>
      </c>
    </row>
    <row r="81" spans="1:107" ht="24" customHeight="1">
      <c r="A81" s="318">
        <v>208</v>
      </c>
      <c r="B81" s="180">
        <v>21671</v>
      </c>
      <c r="C81" s="180">
        <v>43739</v>
      </c>
      <c r="D81" s="179">
        <v>60</v>
      </c>
      <c r="E81" s="4" t="s">
        <v>58</v>
      </c>
      <c r="F81" s="143" t="s">
        <v>116</v>
      </c>
      <c r="G81" s="142">
        <v>30.223552575177457</v>
      </c>
      <c r="H81" s="11" t="s">
        <v>59</v>
      </c>
      <c r="I81" s="281" t="s">
        <v>60</v>
      </c>
      <c r="J81" s="260">
        <v>5</v>
      </c>
      <c r="K81" s="260">
        <v>5</v>
      </c>
      <c r="L81" s="260"/>
      <c r="M81" s="260"/>
      <c r="N81" s="260"/>
      <c r="O81" s="260"/>
      <c r="P81" s="260"/>
      <c r="Q81" s="260"/>
      <c r="R81" s="260"/>
      <c r="S81" s="260"/>
      <c r="T81" s="260"/>
      <c r="U81" s="260"/>
      <c r="V81" s="260">
        <v>5</v>
      </c>
      <c r="W81" s="260">
        <v>5</v>
      </c>
      <c r="X81" s="260">
        <v>5</v>
      </c>
      <c r="Y81" s="260">
        <v>40</v>
      </c>
      <c r="Z81" s="260">
        <v>5</v>
      </c>
      <c r="AA81" s="260">
        <v>40</v>
      </c>
      <c r="AB81" s="260">
        <v>5</v>
      </c>
      <c r="AC81" s="260">
        <v>20</v>
      </c>
      <c r="AD81" s="260"/>
      <c r="AE81" s="260"/>
      <c r="AF81" s="260"/>
      <c r="AG81" s="260"/>
      <c r="AH81" s="195">
        <v>208</v>
      </c>
      <c r="AI81" s="272">
        <v>5</v>
      </c>
      <c r="AJ81" s="271">
        <v>5</v>
      </c>
      <c r="AK81" s="260"/>
      <c r="AL81" s="260"/>
      <c r="AM81" s="260"/>
      <c r="AN81" s="260"/>
      <c r="AO81" s="260"/>
      <c r="AP81" s="260"/>
      <c r="AQ81" s="260"/>
      <c r="AR81" s="260"/>
      <c r="AS81" s="260"/>
      <c r="AT81" s="260"/>
      <c r="AU81" s="260">
        <v>80</v>
      </c>
      <c r="AV81" s="271">
        <v>160</v>
      </c>
      <c r="AW81" s="260">
        <v>80</v>
      </c>
      <c r="AX81" s="271">
        <v>320</v>
      </c>
      <c r="AY81" s="260">
        <v>5</v>
      </c>
      <c r="AZ81" s="271">
        <v>160</v>
      </c>
      <c r="BA81" s="276">
        <v>40</v>
      </c>
      <c r="BB81" s="276">
        <v>160</v>
      </c>
      <c r="BC81" s="276"/>
      <c r="BD81" s="276"/>
      <c r="BE81" s="276">
        <v>5</v>
      </c>
      <c r="BF81" s="276">
        <v>160</v>
      </c>
      <c r="BG81" s="260">
        <v>80</v>
      </c>
      <c r="BH81" s="271">
        <v>320</v>
      </c>
      <c r="BI81" s="276"/>
      <c r="BJ81" s="276"/>
      <c r="BK81" s="276"/>
      <c r="BL81" s="275"/>
      <c r="BM81" s="316">
        <v>208</v>
      </c>
      <c r="BN81" s="272">
        <v>20</v>
      </c>
      <c r="BO81" s="270">
        <v>20</v>
      </c>
      <c r="BP81" s="272"/>
      <c r="BQ81" s="260"/>
      <c r="BR81" s="260"/>
      <c r="BS81" s="260"/>
      <c r="BT81" s="260"/>
      <c r="BU81" s="260"/>
      <c r="BV81" s="260">
        <v>5</v>
      </c>
      <c r="BW81" s="260">
        <v>5</v>
      </c>
      <c r="BX81" s="260"/>
      <c r="BY81" s="260"/>
      <c r="BZ81" s="260"/>
      <c r="CA81" s="260"/>
      <c r="CB81" s="260"/>
      <c r="CC81" s="260"/>
      <c r="CD81" s="260">
        <v>40</v>
      </c>
      <c r="CE81" s="260">
        <v>80</v>
      </c>
      <c r="CF81" s="272"/>
      <c r="CG81" s="260"/>
      <c r="CH81" s="260"/>
      <c r="CI81" s="260"/>
      <c r="CJ81" s="260"/>
      <c r="CK81" s="260"/>
      <c r="CL81" s="260"/>
      <c r="CM81" s="260"/>
      <c r="CN81" s="260">
        <v>5</v>
      </c>
      <c r="CO81" s="260">
        <v>10</v>
      </c>
      <c r="CP81" s="260">
        <v>5</v>
      </c>
      <c r="CQ81" s="260">
        <v>20</v>
      </c>
      <c r="CR81" s="260">
        <v>10</v>
      </c>
      <c r="CS81" s="270">
        <v>10</v>
      </c>
      <c r="CT81" s="315">
        <v>208</v>
      </c>
      <c r="CU81" s="249">
        <f>Table2821115[[#This Row],[D28 - BR/18]]/Table2821115[[#This Row],[D0 - BR/18]]</f>
        <v>4</v>
      </c>
      <c r="CV81" s="248">
        <f>Table2821115[[#This Row],[D28 - KS/17]]/Table2821115[[#This Row],[D0 - KS/17]]</f>
        <v>32</v>
      </c>
      <c r="CW81" s="248">
        <f>Table2821115[[#This Row],[D28 - Phu/13]]/Table2821115[[#This Row],[D0 - Phu/13]]</f>
        <v>2</v>
      </c>
      <c r="CX81" s="248">
        <f>Table2821115[[#This Row],[D28 - CO/17]]/Table2821115[[#This Row],[D0 - CO/17]]</f>
        <v>4</v>
      </c>
      <c r="CY81" s="248">
        <f>LOG(Table2821115[[#This Row],[BR/18 Fold]],2)</f>
        <v>2</v>
      </c>
      <c r="CZ81" s="248">
        <f>LOG(Table2821115[[#This Row],[KS/17 Fold]],2)</f>
        <v>5</v>
      </c>
      <c r="DA81" s="248">
        <f>LOG(Table2821115[[#This Row],[Phu/13 Fold]],2)</f>
        <v>1</v>
      </c>
      <c r="DB81" s="248">
        <f>LOG(Table2821115[[#This Row],[CO/17 Fold]],2)</f>
        <v>2</v>
      </c>
      <c r="DC81" s="248">
        <f>SUM(Table2821115[[#This Row],[BR/18 Log2]:[CO/17 Log2]])</f>
        <v>10</v>
      </c>
    </row>
    <row r="82" spans="1:107" ht="24" customHeight="1">
      <c r="A82" s="330">
        <v>209</v>
      </c>
      <c r="B82" s="210">
        <v>15035</v>
      </c>
      <c r="C82" s="210">
        <v>43742</v>
      </c>
      <c r="D82" s="209">
        <v>78</v>
      </c>
      <c r="E82" s="3" t="s">
        <v>61</v>
      </c>
      <c r="F82" s="143" t="s">
        <v>116</v>
      </c>
      <c r="G82" s="142">
        <v>25.434120485740277</v>
      </c>
      <c r="H82" s="5" t="s">
        <v>64</v>
      </c>
      <c r="I82" s="281" t="s">
        <v>60</v>
      </c>
      <c r="J82" s="260">
        <v>40</v>
      </c>
      <c r="K82" s="260">
        <v>80</v>
      </c>
      <c r="L82" s="260"/>
      <c r="M82" s="260"/>
      <c r="N82" s="260"/>
      <c r="O82" s="260"/>
      <c r="P82" s="260"/>
      <c r="Q82" s="260"/>
      <c r="R82" s="260"/>
      <c r="S82" s="260"/>
      <c r="T82" s="260"/>
      <c r="U82" s="260"/>
      <c r="V82" s="260">
        <v>5</v>
      </c>
      <c r="W82" s="260">
        <v>5</v>
      </c>
      <c r="X82" s="260">
        <v>40</v>
      </c>
      <c r="Y82" s="260">
        <v>80</v>
      </c>
      <c r="Z82" s="260">
        <v>20</v>
      </c>
      <c r="AA82" s="260">
        <v>80</v>
      </c>
      <c r="AB82" s="260">
        <v>10</v>
      </c>
      <c r="AC82" s="260">
        <v>40</v>
      </c>
      <c r="AD82" s="260"/>
      <c r="AE82" s="260"/>
      <c r="AF82" s="260"/>
      <c r="AG82" s="260"/>
      <c r="AH82" s="208">
        <v>209</v>
      </c>
      <c r="AI82" s="272">
        <v>5</v>
      </c>
      <c r="AJ82" s="271">
        <v>5</v>
      </c>
      <c r="AK82" s="260"/>
      <c r="AL82" s="260"/>
      <c r="AM82" s="260"/>
      <c r="AN82" s="260"/>
      <c r="AO82" s="260"/>
      <c r="AP82" s="260"/>
      <c r="AQ82" s="260"/>
      <c r="AR82" s="260"/>
      <c r="AS82" s="260"/>
      <c r="AT82" s="260"/>
      <c r="AU82" s="260">
        <v>20</v>
      </c>
      <c r="AV82" s="271">
        <v>40</v>
      </c>
      <c r="AW82" s="260">
        <v>10</v>
      </c>
      <c r="AX82" s="271">
        <v>40</v>
      </c>
      <c r="AY82" s="260">
        <v>10</v>
      </c>
      <c r="AZ82" s="271">
        <v>10</v>
      </c>
      <c r="BA82" s="276">
        <v>10</v>
      </c>
      <c r="BB82" s="276">
        <v>10</v>
      </c>
      <c r="BC82" s="276"/>
      <c r="BD82" s="276"/>
      <c r="BE82" s="276">
        <v>5</v>
      </c>
      <c r="BF82" s="276">
        <v>20</v>
      </c>
      <c r="BG82" s="260">
        <v>20</v>
      </c>
      <c r="BH82" s="271">
        <v>40</v>
      </c>
      <c r="BI82" s="276"/>
      <c r="BJ82" s="276"/>
      <c r="BK82" s="276"/>
      <c r="BL82" s="275"/>
      <c r="BM82" s="329">
        <v>209</v>
      </c>
      <c r="BN82" s="272">
        <v>20</v>
      </c>
      <c r="BO82" s="270">
        <v>40</v>
      </c>
      <c r="BP82" s="272"/>
      <c r="BQ82" s="260"/>
      <c r="BR82" s="260"/>
      <c r="BS82" s="260"/>
      <c r="BT82" s="260"/>
      <c r="BU82" s="260"/>
      <c r="BV82" s="260">
        <v>10</v>
      </c>
      <c r="BW82" s="260">
        <v>10</v>
      </c>
      <c r="BX82" s="260"/>
      <c r="BY82" s="260"/>
      <c r="BZ82" s="260"/>
      <c r="CA82" s="260"/>
      <c r="CB82" s="260"/>
      <c r="CC82" s="260"/>
      <c r="CD82" s="260">
        <v>10</v>
      </c>
      <c r="CE82" s="260">
        <v>10</v>
      </c>
      <c r="CF82" s="272"/>
      <c r="CG82" s="260"/>
      <c r="CH82" s="260"/>
      <c r="CI82" s="260"/>
      <c r="CJ82" s="260"/>
      <c r="CK82" s="260"/>
      <c r="CL82" s="260"/>
      <c r="CM82" s="260"/>
      <c r="CN82" s="260">
        <v>5</v>
      </c>
      <c r="CO82" s="260">
        <v>10</v>
      </c>
      <c r="CP82" s="260">
        <v>5</v>
      </c>
      <c r="CQ82" s="260">
        <v>20</v>
      </c>
      <c r="CR82" s="260">
        <v>5</v>
      </c>
      <c r="CS82" s="270">
        <v>10</v>
      </c>
      <c r="CT82" s="328">
        <v>209</v>
      </c>
      <c r="CU82" s="249">
        <f>Table2821115[[#This Row],[D28 - BR/18]]/Table2821115[[#This Row],[D0 - BR/18]]</f>
        <v>4</v>
      </c>
      <c r="CV82" s="248">
        <f>Table2821115[[#This Row],[D28 - KS/17]]/Table2821115[[#This Row],[D0 - KS/17]]</f>
        <v>4</v>
      </c>
      <c r="CW82" s="248">
        <f>Table2821115[[#This Row],[D28 - Phu/13]]/Table2821115[[#This Row],[D0 - Phu/13]]</f>
        <v>1</v>
      </c>
      <c r="CX82" s="248">
        <f>Table2821115[[#This Row],[D28 - CO/17]]/Table2821115[[#This Row],[D0 - CO/17]]</f>
        <v>4</v>
      </c>
      <c r="CY82" s="248">
        <f>LOG(Table2821115[[#This Row],[BR/18 Fold]],2)</f>
        <v>2</v>
      </c>
      <c r="CZ82" s="248">
        <f>LOG(Table2821115[[#This Row],[KS/17 Fold]],2)</f>
        <v>2</v>
      </c>
      <c r="DA82" s="248">
        <f>LOG(Table2821115[[#This Row],[Phu/13 Fold]],2)</f>
        <v>0</v>
      </c>
      <c r="DB82" s="248">
        <f>LOG(Table2821115[[#This Row],[CO/17 Fold]],2)</f>
        <v>2</v>
      </c>
      <c r="DC82" s="248">
        <f>SUM(Table2821115[[#This Row],[BR/18 Log2]:[CO/17 Log2]])</f>
        <v>6</v>
      </c>
    </row>
    <row r="83" spans="1:107" ht="24" customHeight="1">
      <c r="A83" s="321">
        <v>211</v>
      </c>
      <c r="B83" s="183">
        <v>34560</v>
      </c>
      <c r="C83" s="183">
        <v>43806</v>
      </c>
      <c r="D83" s="182">
        <v>25</v>
      </c>
      <c r="E83" s="4" t="s">
        <v>58</v>
      </c>
      <c r="F83" s="143" t="s">
        <v>116</v>
      </c>
      <c r="G83" s="142">
        <v>30.720315634023233</v>
      </c>
      <c r="H83" s="11" t="s">
        <v>59</v>
      </c>
      <c r="I83" s="281" t="s">
        <v>60</v>
      </c>
      <c r="J83" s="260">
        <v>5</v>
      </c>
      <c r="K83" s="260">
        <v>5</v>
      </c>
      <c r="L83" s="260"/>
      <c r="M83" s="260"/>
      <c r="N83" s="260"/>
      <c r="O83" s="260"/>
      <c r="P83" s="260"/>
      <c r="Q83" s="260"/>
      <c r="R83" s="260"/>
      <c r="S83" s="260"/>
      <c r="T83" s="260"/>
      <c r="U83" s="260"/>
      <c r="V83" s="260">
        <v>80</v>
      </c>
      <c r="W83" s="260">
        <v>80</v>
      </c>
      <c r="X83" s="260">
        <v>160</v>
      </c>
      <c r="Y83" s="260">
        <v>160</v>
      </c>
      <c r="Z83" s="260">
        <v>160</v>
      </c>
      <c r="AA83" s="260">
        <v>160</v>
      </c>
      <c r="AB83" s="260">
        <v>80</v>
      </c>
      <c r="AC83" s="260">
        <v>80</v>
      </c>
      <c r="AD83" s="260"/>
      <c r="AE83" s="260"/>
      <c r="AF83" s="260"/>
      <c r="AG83" s="260"/>
      <c r="AH83" s="32">
        <v>211</v>
      </c>
      <c r="AI83" s="272">
        <v>160</v>
      </c>
      <c r="AJ83" s="271">
        <v>160</v>
      </c>
      <c r="AK83" s="260"/>
      <c r="AL83" s="260"/>
      <c r="AM83" s="260"/>
      <c r="AN83" s="260"/>
      <c r="AO83" s="260"/>
      <c r="AP83" s="260"/>
      <c r="AQ83" s="260"/>
      <c r="AR83" s="260"/>
      <c r="AS83" s="260"/>
      <c r="AT83" s="260"/>
      <c r="AU83" s="260">
        <v>80</v>
      </c>
      <c r="AV83" s="271">
        <v>160</v>
      </c>
      <c r="AW83" s="260">
        <v>40</v>
      </c>
      <c r="AX83" s="271">
        <v>80</v>
      </c>
      <c r="AY83" s="260">
        <v>40</v>
      </c>
      <c r="AZ83" s="271">
        <v>80</v>
      </c>
      <c r="BA83" s="276">
        <v>40</v>
      </c>
      <c r="BB83" s="276">
        <v>80</v>
      </c>
      <c r="BC83" s="276"/>
      <c r="BD83" s="276"/>
      <c r="BE83" s="276">
        <v>5</v>
      </c>
      <c r="BF83" s="276">
        <v>20</v>
      </c>
      <c r="BG83" s="260">
        <v>40</v>
      </c>
      <c r="BH83" s="271">
        <v>80</v>
      </c>
      <c r="BI83" s="276"/>
      <c r="BJ83" s="276"/>
      <c r="BK83" s="276"/>
      <c r="BL83" s="275"/>
      <c r="BM83" s="320">
        <v>211</v>
      </c>
      <c r="BN83" s="272">
        <v>320</v>
      </c>
      <c r="BO83" s="270">
        <v>320</v>
      </c>
      <c r="BP83" s="272"/>
      <c r="BQ83" s="260"/>
      <c r="BR83" s="260"/>
      <c r="BS83" s="260"/>
      <c r="BT83" s="260"/>
      <c r="BU83" s="260"/>
      <c r="BV83" s="260">
        <v>5</v>
      </c>
      <c r="BW83" s="260">
        <v>80</v>
      </c>
      <c r="BX83" s="260"/>
      <c r="BY83" s="260"/>
      <c r="BZ83" s="260"/>
      <c r="CA83" s="260"/>
      <c r="CB83" s="260"/>
      <c r="CC83" s="260"/>
      <c r="CD83" s="260">
        <v>80</v>
      </c>
      <c r="CE83" s="260">
        <v>80</v>
      </c>
      <c r="CF83" s="272"/>
      <c r="CG83" s="260"/>
      <c r="CH83" s="260"/>
      <c r="CI83" s="260"/>
      <c r="CJ83" s="260"/>
      <c r="CK83" s="260"/>
      <c r="CL83" s="260"/>
      <c r="CM83" s="260"/>
      <c r="CN83" s="260">
        <v>20</v>
      </c>
      <c r="CO83" s="260">
        <v>40</v>
      </c>
      <c r="CP83" s="260">
        <v>20</v>
      </c>
      <c r="CQ83" s="260">
        <v>40</v>
      </c>
      <c r="CR83" s="260">
        <v>5</v>
      </c>
      <c r="CS83" s="270">
        <v>5</v>
      </c>
      <c r="CT83" s="319">
        <v>211</v>
      </c>
      <c r="CU83" s="249">
        <f>Table2821115[[#This Row],[D28 - BR/18]]/Table2821115[[#This Row],[D0 - BR/18]]</f>
        <v>1</v>
      </c>
      <c r="CV83" s="248">
        <f>Table2821115[[#This Row],[D28 - KS/17]]/Table2821115[[#This Row],[D0 - KS/17]]</f>
        <v>4</v>
      </c>
      <c r="CW83" s="248">
        <f>Table2821115[[#This Row],[D28 - Phu/13]]/Table2821115[[#This Row],[D0 - Phu/13]]</f>
        <v>1</v>
      </c>
      <c r="CX83" s="248">
        <f>Table2821115[[#This Row],[D28 - CO/17]]/Table2821115[[#This Row],[D0 - CO/17]]</f>
        <v>2</v>
      </c>
      <c r="CY83" s="248">
        <f>LOG(Table2821115[[#This Row],[BR/18 Fold]],2)</f>
        <v>0</v>
      </c>
      <c r="CZ83" s="248">
        <f>LOG(Table2821115[[#This Row],[KS/17 Fold]],2)</f>
        <v>2</v>
      </c>
      <c r="DA83" s="248">
        <f>LOG(Table2821115[[#This Row],[Phu/13 Fold]],2)</f>
        <v>0</v>
      </c>
      <c r="DB83" s="248">
        <f>LOG(Table2821115[[#This Row],[CO/17 Fold]],2)</f>
        <v>1</v>
      </c>
      <c r="DC83" s="248">
        <f>SUM(Table2821115[[#This Row],[BR/18 Log2]:[CO/17 Log2]])</f>
        <v>3</v>
      </c>
    </row>
    <row r="84" spans="1:107" ht="24" customHeight="1">
      <c r="A84" s="321">
        <v>213</v>
      </c>
      <c r="B84" s="183">
        <v>31305</v>
      </c>
      <c r="C84" s="183">
        <v>43781</v>
      </c>
      <c r="D84" s="182">
        <v>34</v>
      </c>
      <c r="E84" s="4" t="s">
        <v>58</v>
      </c>
      <c r="F84" s="143" t="s">
        <v>116</v>
      </c>
      <c r="G84" s="142">
        <v>33.040766317665408</v>
      </c>
      <c r="H84" s="11" t="s">
        <v>59</v>
      </c>
      <c r="I84" s="281" t="s">
        <v>60</v>
      </c>
      <c r="J84" s="260">
        <v>5</v>
      </c>
      <c r="K84" s="260">
        <v>5</v>
      </c>
      <c r="L84" s="260"/>
      <c r="M84" s="260"/>
      <c r="N84" s="260"/>
      <c r="O84" s="260"/>
      <c r="P84" s="260"/>
      <c r="Q84" s="260"/>
      <c r="R84" s="260"/>
      <c r="S84" s="260"/>
      <c r="T84" s="260"/>
      <c r="U84" s="260"/>
      <c r="V84" s="260">
        <v>5</v>
      </c>
      <c r="W84" s="260">
        <v>5</v>
      </c>
      <c r="X84" s="260">
        <v>80</v>
      </c>
      <c r="Y84" s="260">
        <v>160</v>
      </c>
      <c r="Z84" s="260">
        <v>160</v>
      </c>
      <c r="AA84" s="260">
        <v>160</v>
      </c>
      <c r="AB84" s="260">
        <v>80</v>
      </c>
      <c r="AC84" s="260">
        <v>160</v>
      </c>
      <c r="AD84" s="260"/>
      <c r="AE84" s="260"/>
      <c r="AF84" s="260"/>
      <c r="AG84" s="260"/>
      <c r="AH84" s="32">
        <v>213</v>
      </c>
      <c r="AI84" s="272">
        <v>20</v>
      </c>
      <c r="AJ84" s="271">
        <v>40</v>
      </c>
      <c r="AK84" s="260"/>
      <c r="AL84" s="260"/>
      <c r="AM84" s="260"/>
      <c r="AN84" s="260"/>
      <c r="AO84" s="260"/>
      <c r="AP84" s="260"/>
      <c r="AQ84" s="260"/>
      <c r="AR84" s="260"/>
      <c r="AS84" s="260"/>
      <c r="AT84" s="260"/>
      <c r="AU84" s="260">
        <v>40</v>
      </c>
      <c r="AV84" s="271">
        <v>80</v>
      </c>
      <c r="AW84" s="260">
        <v>20</v>
      </c>
      <c r="AX84" s="271">
        <v>80</v>
      </c>
      <c r="AY84" s="260">
        <v>40</v>
      </c>
      <c r="AZ84" s="271">
        <v>80</v>
      </c>
      <c r="BA84" s="276">
        <v>40</v>
      </c>
      <c r="BB84" s="276">
        <v>80</v>
      </c>
      <c r="BC84" s="276"/>
      <c r="BD84" s="276"/>
      <c r="BE84" s="276">
        <v>5</v>
      </c>
      <c r="BF84" s="276">
        <v>40</v>
      </c>
      <c r="BG84" s="260">
        <v>40</v>
      </c>
      <c r="BH84" s="271">
        <v>40</v>
      </c>
      <c r="BI84" s="276"/>
      <c r="BJ84" s="276"/>
      <c r="BK84" s="276"/>
      <c r="BL84" s="275"/>
      <c r="BM84" s="320">
        <v>213</v>
      </c>
      <c r="BN84" s="272">
        <v>640</v>
      </c>
      <c r="BO84" s="270">
        <v>640</v>
      </c>
      <c r="BP84" s="272"/>
      <c r="BQ84" s="260"/>
      <c r="BR84" s="260"/>
      <c r="BS84" s="260"/>
      <c r="BT84" s="260"/>
      <c r="BU84" s="260"/>
      <c r="BV84" s="260">
        <v>320</v>
      </c>
      <c r="BW84" s="260">
        <v>320</v>
      </c>
      <c r="BX84" s="260"/>
      <c r="BY84" s="260"/>
      <c r="BZ84" s="260"/>
      <c r="CA84" s="260"/>
      <c r="CB84" s="260"/>
      <c r="CC84" s="260"/>
      <c r="CD84" s="260">
        <v>320</v>
      </c>
      <c r="CE84" s="260">
        <v>320</v>
      </c>
      <c r="CF84" s="272"/>
      <c r="CG84" s="260"/>
      <c r="CH84" s="260"/>
      <c r="CI84" s="260"/>
      <c r="CJ84" s="260"/>
      <c r="CK84" s="260"/>
      <c r="CL84" s="260"/>
      <c r="CM84" s="260"/>
      <c r="CN84" s="260">
        <v>40</v>
      </c>
      <c r="CO84" s="260">
        <v>80</v>
      </c>
      <c r="CP84" s="260">
        <v>20</v>
      </c>
      <c r="CQ84" s="260">
        <v>80</v>
      </c>
      <c r="CR84" s="260">
        <v>10</v>
      </c>
      <c r="CS84" s="270">
        <v>40</v>
      </c>
      <c r="CT84" s="319">
        <v>213</v>
      </c>
      <c r="CU84" s="249">
        <f>Table2821115[[#This Row],[D28 - BR/18]]/Table2821115[[#This Row],[D0 - BR/18]]</f>
        <v>2</v>
      </c>
      <c r="CV84" s="248">
        <f>Table2821115[[#This Row],[D28 - KS/17]]/Table2821115[[#This Row],[D0 - KS/17]]</f>
        <v>8</v>
      </c>
      <c r="CW84" s="248">
        <f>Table2821115[[#This Row],[D28 - Phu/13]]/Table2821115[[#This Row],[D0 - Phu/13]]</f>
        <v>1</v>
      </c>
      <c r="CX84" s="248">
        <f>Table2821115[[#This Row],[D28 - CO/17]]/Table2821115[[#This Row],[D0 - CO/17]]</f>
        <v>4</v>
      </c>
      <c r="CY84" s="248">
        <f>LOG(Table2821115[[#This Row],[BR/18 Fold]],2)</f>
        <v>1</v>
      </c>
      <c r="CZ84" s="248">
        <f>LOG(Table2821115[[#This Row],[KS/17 Fold]],2)</f>
        <v>3</v>
      </c>
      <c r="DA84" s="248">
        <f>LOG(Table2821115[[#This Row],[Phu/13 Fold]],2)</f>
        <v>0</v>
      </c>
      <c r="DB84" s="248">
        <f>LOG(Table2821115[[#This Row],[CO/17 Fold]],2)</f>
        <v>2</v>
      </c>
      <c r="DC84" s="248">
        <f>SUM(Table2821115[[#This Row],[BR/18 Log2]:[CO/17 Log2]])</f>
        <v>6</v>
      </c>
    </row>
    <row r="85" spans="1:107" ht="24" customHeight="1">
      <c r="A85" s="318">
        <v>214</v>
      </c>
      <c r="B85" s="180">
        <v>21188</v>
      </c>
      <c r="C85" s="180">
        <v>43738</v>
      </c>
      <c r="D85" s="179">
        <v>61</v>
      </c>
      <c r="E85" s="3" t="s">
        <v>61</v>
      </c>
      <c r="F85" s="143" t="s">
        <v>116</v>
      </c>
      <c r="G85" s="142">
        <v>22.958376502512319</v>
      </c>
      <c r="H85" s="11" t="s">
        <v>59</v>
      </c>
      <c r="I85" s="281" t="s">
        <v>60</v>
      </c>
      <c r="J85" s="260">
        <v>5</v>
      </c>
      <c r="K85" s="260">
        <v>5</v>
      </c>
      <c r="L85" s="260"/>
      <c r="M85" s="260"/>
      <c r="N85" s="260"/>
      <c r="O85" s="260"/>
      <c r="P85" s="260"/>
      <c r="Q85" s="260"/>
      <c r="R85" s="260"/>
      <c r="S85" s="260"/>
      <c r="T85" s="260"/>
      <c r="U85" s="260"/>
      <c r="V85" s="260">
        <v>5</v>
      </c>
      <c r="W85" s="260">
        <v>5</v>
      </c>
      <c r="X85" s="260">
        <v>10</v>
      </c>
      <c r="Y85" s="260">
        <v>20</v>
      </c>
      <c r="Z85" s="260">
        <v>40</v>
      </c>
      <c r="AA85" s="260">
        <v>80</v>
      </c>
      <c r="AB85" s="260">
        <v>20</v>
      </c>
      <c r="AC85" s="260">
        <v>40</v>
      </c>
      <c r="AD85" s="260"/>
      <c r="AE85" s="260"/>
      <c r="AF85" s="260"/>
      <c r="AG85" s="260"/>
      <c r="AH85" s="195">
        <v>214</v>
      </c>
      <c r="AI85" s="272">
        <v>20</v>
      </c>
      <c r="AJ85" s="271">
        <v>20</v>
      </c>
      <c r="AK85" s="260"/>
      <c r="AL85" s="260"/>
      <c r="AM85" s="260"/>
      <c r="AN85" s="260"/>
      <c r="AO85" s="260"/>
      <c r="AP85" s="260"/>
      <c r="AQ85" s="260"/>
      <c r="AR85" s="260"/>
      <c r="AS85" s="260"/>
      <c r="AT85" s="260"/>
      <c r="AU85" s="260">
        <v>20</v>
      </c>
      <c r="AV85" s="271">
        <v>40</v>
      </c>
      <c r="AW85" s="260">
        <v>10</v>
      </c>
      <c r="AX85" s="271">
        <v>20</v>
      </c>
      <c r="AY85" s="260">
        <v>10</v>
      </c>
      <c r="AZ85" s="271">
        <v>20</v>
      </c>
      <c r="BA85" s="276">
        <v>10</v>
      </c>
      <c r="BB85" s="276">
        <v>10</v>
      </c>
      <c r="BC85" s="276"/>
      <c r="BD85" s="276"/>
      <c r="BE85" s="276">
        <v>5</v>
      </c>
      <c r="BF85" s="276">
        <v>5</v>
      </c>
      <c r="BG85" s="260">
        <v>10</v>
      </c>
      <c r="BH85" s="271">
        <v>10</v>
      </c>
      <c r="BI85" s="276"/>
      <c r="BJ85" s="276"/>
      <c r="BK85" s="276"/>
      <c r="BL85" s="275"/>
      <c r="BM85" s="316">
        <v>214</v>
      </c>
      <c r="BN85" s="272">
        <v>320</v>
      </c>
      <c r="BO85" s="270">
        <v>640</v>
      </c>
      <c r="BP85" s="272"/>
      <c r="BQ85" s="260"/>
      <c r="BR85" s="260"/>
      <c r="BS85" s="260"/>
      <c r="BT85" s="260"/>
      <c r="BU85" s="260"/>
      <c r="BV85" s="260">
        <v>160</v>
      </c>
      <c r="BW85" s="260">
        <v>320</v>
      </c>
      <c r="BX85" s="260"/>
      <c r="BY85" s="260"/>
      <c r="BZ85" s="260"/>
      <c r="CA85" s="260"/>
      <c r="CB85" s="260"/>
      <c r="CC85" s="260"/>
      <c r="CD85" s="260">
        <v>640</v>
      </c>
      <c r="CE85" s="260">
        <v>640</v>
      </c>
      <c r="CF85" s="272"/>
      <c r="CG85" s="260"/>
      <c r="CH85" s="260"/>
      <c r="CI85" s="260"/>
      <c r="CJ85" s="260"/>
      <c r="CK85" s="260"/>
      <c r="CL85" s="260"/>
      <c r="CM85" s="260"/>
      <c r="CN85" s="260">
        <v>40</v>
      </c>
      <c r="CO85" s="260">
        <v>80</v>
      </c>
      <c r="CP85" s="260">
        <v>160</v>
      </c>
      <c r="CQ85" s="260">
        <v>160</v>
      </c>
      <c r="CR85" s="260">
        <v>40</v>
      </c>
      <c r="CS85" s="270">
        <v>40</v>
      </c>
      <c r="CT85" s="315">
        <v>214</v>
      </c>
      <c r="CU85" s="249">
        <f>Table2821115[[#This Row],[D28 - BR/18]]/Table2821115[[#This Row],[D0 - BR/18]]</f>
        <v>2</v>
      </c>
      <c r="CV85" s="248">
        <f>Table2821115[[#This Row],[D28 - KS/17]]/Table2821115[[#This Row],[D0 - KS/17]]</f>
        <v>1</v>
      </c>
      <c r="CW85" s="248">
        <f>Table2821115[[#This Row],[D28 - Phu/13]]/Table2821115[[#This Row],[D0 - Phu/13]]</f>
        <v>1</v>
      </c>
      <c r="CX85" s="248">
        <f>Table2821115[[#This Row],[D28 - CO/17]]/Table2821115[[#This Row],[D0 - CO/17]]</f>
        <v>1</v>
      </c>
      <c r="CY85" s="248">
        <f>LOG(Table2821115[[#This Row],[BR/18 Fold]],2)</f>
        <v>1</v>
      </c>
      <c r="CZ85" s="248">
        <f>LOG(Table2821115[[#This Row],[KS/17 Fold]],2)</f>
        <v>0</v>
      </c>
      <c r="DA85" s="248">
        <f>LOG(Table2821115[[#This Row],[Phu/13 Fold]],2)</f>
        <v>0</v>
      </c>
      <c r="DB85" s="248">
        <f>LOG(Table2821115[[#This Row],[CO/17 Fold]],2)</f>
        <v>0</v>
      </c>
      <c r="DC85" s="248">
        <f>SUM(Table2821115[[#This Row],[BR/18 Log2]:[CO/17 Log2]])</f>
        <v>1</v>
      </c>
    </row>
    <row r="86" spans="1:107" ht="24" customHeight="1">
      <c r="A86" s="324">
        <v>215</v>
      </c>
      <c r="B86" s="190">
        <v>29668</v>
      </c>
      <c r="C86" s="190">
        <v>43773</v>
      </c>
      <c r="D86" s="189">
        <v>38</v>
      </c>
      <c r="E86" s="3" t="s">
        <v>61</v>
      </c>
      <c r="F86" s="143" t="s">
        <v>116</v>
      </c>
      <c r="G86" s="142">
        <v>24.420354153003352</v>
      </c>
      <c r="H86" s="11" t="s">
        <v>59</v>
      </c>
      <c r="I86" s="281" t="s">
        <v>60</v>
      </c>
      <c r="J86" s="260">
        <v>5</v>
      </c>
      <c r="K86" s="260">
        <v>5</v>
      </c>
      <c r="L86" s="260"/>
      <c r="M86" s="260"/>
      <c r="N86" s="260"/>
      <c r="O86" s="260"/>
      <c r="P86" s="260"/>
      <c r="Q86" s="260"/>
      <c r="R86" s="260"/>
      <c r="S86" s="260"/>
      <c r="T86" s="260"/>
      <c r="U86" s="260"/>
      <c r="V86" s="260">
        <v>5</v>
      </c>
      <c r="W86" s="260">
        <v>5</v>
      </c>
      <c r="X86" s="260">
        <v>10</v>
      </c>
      <c r="Y86" s="260">
        <v>20</v>
      </c>
      <c r="Z86" s="260">
        <v>20</v>
      </c>
      <c r="AA86" s="260">
        <v>20</v>
      </c>
      <c r="AB86" s="260">
        <v>10</v>
      </c>
      <c r="AC86" s="260">
        <v>10</v>
      </c>
      <c r="AD86" s="260"/>
      <c r="AE86" s="260"/>
      <c r="AF86" s="260"/>
      <c r="AG86" s="260"/>
      <c r="AH86" s="198">
        <v>215</v>
      </c>
      <c r="AI86" s="272">
        <v>20</v>
      </c>
      <c r="AJ86" s="271">
        <v>20</v>
      </c>
      <c r="AK86" s="260"/>
      <c r="AL86" s="260"/>
      <c r="AM86" s="260"/>
      <c r="AN86" s="260"/>
      <c r="AO86" s="260"/>
      <c r="AP86" s="260"/>
      <c r="AQ86" s="260"/>
      <c r="AR86" s="260"/>
      <c r="AS86" s="260"/>
      <c r="AT86" s="260"/>
      <c r="AU86" s="260">
        <v>160</v>
      </c>
      <c r="AV86" s="271">
        <v>160</v>
      </c>
      <c r="AW86" s="260">
        <v>80</v>
      </c>
      <c r="AX86" s="271">
        <v>160</v>
      </c>
      <c r="AY86" s="260">
        <v>80</v>
      </c>
      <c r="AZ86" s="271">
        <v>160</v>
      </c>
      <c r="BA86" s="276">
        <v>80</v>
      </c>
      <c r="BB86" s="276">
        <v>160</v>
      </c>
      <c r="BC86" s="276"/>
      <c r="BD86" s="276"/>
      <c r="BE86" s="276">
        <v>40</v>
      </c>
      <c r="BF86" s="276">
        <v>80</v>
      </c>
      <c r="BG86" s="260">
        <v>80</v>
      </c>
      <c r="BH86" s="271">
        <v>160</v>
      </c>
      <c r="BI86" s="276"/>
      <c r="BJ86" s="276"/>
      <c r="BK86" s="276"/>
      <c r="BL86" s="275"/>
      <c r="BM86" s="323">
        <v>215</v>
      </c>
      <c r="BN86" s="272">
        <v>40</v>
      </c>
      <c r="BO86" s="270">
        <v>80</v>
      </c>
      <c r="BP86" s="272"/>
      <c r="BQ86" s="260"/>
      <c r="BR86" s="260"/>
      <c r="BS86" s="260"/>
      <c r="BT86" s="260"/>
      <c r="BU86" s="260"/>
      <c r="BV86" s="260">
        <v>10</v>
      </c>
      <c r="BW86" s="260">
        <v>40</v>
      </c>
      <c r="BX86" s="260"/>
      <c r="BY86" s="260"/>
      <c r="BZ86" s="260"/>
      <c r="CA86" s="260"/>
      <c r="CB86" s="260"/>
      <c r="CC86" s="260"/>
      <c r="CD86" s="260">
        <v>20</v>
      </c>
      <c r="CE86" s="260">
        <v>40</v>
      </c>
      <c r="CF86" s="272"/>
      <c r="CG86" s="260"/>
      <c r="CH86" s="260"/>
      <c r="CI86" s="260"/>
      <c r="CJ86" s="260"/>
      <c r="CK86" s="260"/>
      <c r="CL86" s="260"/>
      <c r="CM86" s="260"/>
      <c r="CN86" s="260">
        <v>20</v>
      </c>
      <c r="CO86" s="260">
        <v>40</v>
      </c>
      <c r="CP86" s="260">
        <v>40</v>
      </c>
      <c r="CQ86" s="260">
        <v>40</v>
      </c>
      <c r="CR86" s="260">
        <v>20</v>
      </c>
      <c r="CS86" s="270">
        <v>40</v>
      </c>
      <c r="CT86" s="322">
        <v>215</v>
      </c>
      <c r="CU86" s="249">
        <f>Table2821115[[#This Row],[D28 - BR/18]]/Table2821115[[#This Row],[D0 - BR/18]]</f>
        <v>1</v>
      </c>
      <c r="CV86" s="248">
        <f>Table2821115[[#This Row],[D28 - KS/17]]/Table2821115[[#This Row],[D0 - KS/17]]</f>
        <v>2</v>
      </c>
      <c r="CW86" s="248">
        <f>Table2821115[[#This Row],[D28 - Phu/13]]/Table2821115[[#This Row],[D0 - Phu/13]]</f>
        <v>2</v>
      </c>
      <c r="CX86" s="248">
        <f>Table2821115[[#This Row],[D28 - CO/17]]/Table2821115[[#This Row],[D0 - CO/17]]</f>
        <v>1</v>
      </c>
      <c r="CY86" s="248">
        <f>LOG(Table2821115[[#This Row],[BR/18 Fold]],2)</f>
        <v>0</v>
      </c>
      <c r="CZ86" s="248">
        <f>LOG(Table2821115[[#This Row],[KS/17 Fold]],2)</f>
        <v>1</v>
      </c>
      <c r="DA86" s="248">
        <f>LOG(Table2821115[[#This Row],[Phu/13 Fold]],2)</f>
        <v>1</v>
      </c>
      <c r="DB86" s="248">
        <f>LOG(Table2821115[[#This Row],[CO/17 Fold]],2)</f>
        <v>0</v>
      </c>
      <c r="DC86" s="248">
        <f>SUM(Table2821115[[#This Row],[BR/18 Log2]:[CO/17 Log2]])</f>
        <v>2</v>
      </c>
    </row>
    <row r="87" spans="1:107" ht="24" customHeight="1">
      <c r="A87" s="318">
        <v>217</v>
      </c>
      <c r="B87" s="180">
        <v>24173</v>
      </c>
      <c r="C87" s="180">
        <v>43810</v>
      </c>
      <c r="D87" s="179">
        <v>53</v>
      </c>
      <c r="E87" s="3" t="s">
        <v>61</v>
      </c>
      <c r="F87" s="143" t="s">
        <v>118</v>
      </c>
      <c r="G87" s="142">
        <v>31.99265381083563</v>
      </c>
      <c r="H87" s="11" t="s">
        <v>59</v>
      </c>
      <c r="I87" s="281" t="s">
        <v>60</v>
      </c>
      <c r="J87" s="260">
        <v>5</v>
      </c>
      <c r="K87" s="260">
        <v>5</v>
      </c>
      <c r="L87" s="260"/>
      <c r="M87" s="260"/>
      <c r="N87" s="260"/>
      <c r="O87" s="260"/>
      <c r="P87" s="260"/>
      <c r="Q87" s="260"/>
      <c r="R87" s="260"/>
      <c r="S87" s="260"/>
      <c r="T87" s="260"/>
      <c r="U87" s="260"/>
      <c r="V87" s="260">
        <v>5</v>
      </c>
      <c r="W87" s="260">
        <v>20</v>
      </c>
      <c r="X87" s="260">
        <v>5</v>
      </c>
      <c r="Y87" s="260">
        <v>80</v>
      </c>
      <c r="Z87" s="260">
        <v>40</v>
      </c>
      <c r="AA87" s="260">
        <v>80</v>
      </c>
      <c r="AB87" s="260">
        <v>20</v>
      </c>
      <c r="AC87" s="260">
        <v>40</v>
      </c>
      <c r="AD87" s="260"/>
      <c r="AE87" s="260"/>
      <c r="AF87" s="260"/>
      <c r="AG87" s="260"/>
      <c r="AH87" s="195">
        <v>217</v>
      </c>
      <c r="AI87" s="272">
        <v>5</v>
      </c>
      <c r="AJ87" s="271">
        <v>5</v>
      </c>
      <c r="AK87" s="260"/>
      <c r="AL87" s="260"/>
      <c r="AM87" s="260"/>
      <c r="AN87" s="260"/>
      <c r="AO87" s="260"/>
      <c r="AP87" s="260"/>
      <c r="AQ87" s="260"/>
      <c r="AR87" s="260"/>
      <c r="AS87" s="260"/>
      <c r="AT87" s="260"/>
      <c r="AU87" s="260">
        <v>40</v>
      </c>
      <c r="AV87" s="271">
        <v>80</v>
      </c>
      <c r="AW87" s="260">
        <v>40</v>
      </c>
      <c r="AX87" s="271">
        <v>160</v>
      </c>
      <c r="AY87" s="260">
        <v>5</v>
      </c>
      <c r="AZ87" s="271">
        <v>80</v>
      </c>
      <c r="BA87" s="276">
        <v>20</v>
      </c>
      <c r="BB87" s="276">
        <v>80</v>
      </c>
      <c r="BC87" s="276"/>
      <c r="BD87" s="276"/>
      <c r="BE87" s="276">
        <v>10</v>
      </c>
      <c r="BF87" s="276">
        <v>80</v>
      </c>
      <c r="BG87" s="260">
        <v>20</v>
      </c>
      <c r="BH87" s="271">
        <v>80</v>
      </c>
      <c r="BI87" s="276"/>
      <c r="BJ87" s="276"/>
      <c r="BK87" s="276"/>
      <c r="BL87" s="275"/>
      <c r="BM87" s="316">
        <v>217</v>
      </c>
      <c r="BN87" s="272">
        <v>40</v>
      </c>
      <c r="BO87" s="270">
        <v>40</v>
      </c>
      <c r="BP87" s="272"/>
      <c r="BQ87" s="260"/>
      <c r="BR87" s="260"/>
      <c r="BS87" s="260"/>
      <c r="BT87" s="260"/>
      <c r="BU87" s="260"/>
      <c r="BV87" s="260">
        <v>5</v>
      </c>
      <c r="BW87" s="260">
        <v>5</v>
      </c>
      <c r="BX87" s="260"/>
      <c r="BY87" s="260"/>
      <c r="BZ87" s="260"/>
      <c r="CA87" s="260"/>
      <c r="CB87" s="260"/>
      <c r="CC87" s="260"/>
      <c r="CD87" s="260">
        <v>20</v>
      </c>
      <c r="CE87" s="260">
        <v>40</v>
      </c>
      <c r="CF87" s="272"/>
      <c r="CG87" s="260"/>
      <c r="CH87" s="260"/>
      <c r="CI87" s="260"/>
      <c r="CJ87" s="260"/>
      <c r="CK87" s="260"/>
      <c r="CL87" s="260"/>
      <c r="CM87" s="260"/>
      <c r="CN87" s="260">
        <v>5</v>
      </c>
      <c r="CO87" s="260">
        <v>20</v>
      </c>
      <c r="CP87" s="260">
        <v>40</v>
      </c>
      <c r="CQ87" s="260">
        <v>40</v>
      </c>
      <c r="CR87" s="260">
        <v>40</v>
      </c>
      <c r="CS87" s="270">
        <v>40</v>
      </c>
      <c r="CT87" s="315">
        <v>217</v>
      </c>
      <c r="CU87" s="249">
        <f>Table2821115[[#This Row],[D28 - BR/18]]/Table2821115[[#This Row],[D0 - BR/18]]</f>
        <v>2</v>
      </c>
      <c r="CV87" s="248">
        <f>Table2821115[[#This Row],[D28 - KS/17]]/Table2821115[[#This Row],[D0 - KS/17]]</f>
        <v>8</v>
      </c>
      <c r="CW87" s="248">
        <f>Table2821115[[#This Row],[D28 - Phu/13]]/Table2821115[[#This Row],[D0 - Phu/13]]</f>
        <v>2</v>
      </c>
      <c r="CX87" s="248">
        <f>Table2821115[[#This Row],[D28 - CO/17]]/Table2821115[[#This Row],[D0 - CO/17]]</f>
        <v>1</v>
      </c>
      <c r="CY87" s="248">
        <f>LOG(Table2821115[[#This Row],[BR/18 Fold]],2)</f>
        <v>1</v>
      </c>
      <c r="CZ87" s="248">
        <f>LOG(Table2821115[[#This Row],[KS/17 Fold]],2)</f>
        <v>3</v>
      </c>
      <c r="DA87" s="248">
        <f>LOG(Table2821115[[#This Row],[Phu/13 Fold]],2)</f>
        <v>1</v>
      </c>
      <c r="DB87" s="248">
        <f>LOG(Table2821115[[#This Row],[CO/17 Fold]],2)</f>
        <v>0</v>
      </c>
      <c r="DC87" s="248">
        <f>SUM(Table2821115[[#This Row],[BR/18 Log2]:[CO/17 Log2]])</f>
        <v>5</v>
      </c>
    </row>
    <row r="88" spans="1:107" ht="24" customHeight="1">
      <c r="A88" s="324">
        <v>219</v>
      </c>
      <c r="B88" s="190">
        <v>29035</v>
      </c>
      <c r="C88" s="190">
        <v>43776</v>
      </c>
      <c r="D88" s="189">
        <v>40</v>
      </c>
      <c r="E88" s="4" t="s">
        <v>58</v>
      </c>
      <c r="F88" s="143" t="s">
        <v>116</v>
      </c>
      <c r="G88" s="142">
        <v>31.710600907029484</v>
      </c>
      <c r="H88" s="11" t="s">
        <v>59</v>
      </c>
      <c r="I88" s="281" t="s">
        <v>60</v>
      </c>
      <c r="J88" s="260">
        <v>5</v>
      </c>
      <c r="K88" s="260">
        <v>5</v>
      </c>
      <c r="L88" s="260"/>
      <c r="M88" s="260"/>
      <c r="N88" s="260"/>
      <c r="O88" s="260"/>
      <c r="P88" s="260"/>
      <c r="Q88" s="260"/>
      <c r="R88" s="260"/>
      <c r="S88" s="260"/>
      <c r="T88" s="260"/>
      <c r="U88" s="260"/>
      <c r="V88" s="260">
        <v>5</v>
      </c>
      <c r="W88" s="260">
        <v>5</v>
      </c>
      <c r="X88" s="260">
        <v>40</v>
      </c>
      <c r="Y88" s="260">
        <v>80</v>
      </c>
      <c r="Z88" s="260">
        <v>80</v>
      </c>
      <c r="AA88" s="260">
        <v>80</v>
      </c>
      <c r="AB88" s="260">
        <v>40</v>
      </c>
      <c r="AC88" s="260">
        <v>40</v>
      </c>
      <c r="AD88" s="260"/>
      <c r="AE88" s="260"/>
      <c r="AF88" s="260"/>
      <c r="AG88" s="260"/>
      <c r="AH88" s="198">
        <v>219</v>
      </c>
      <c r="AI88" s="272">
        <v>20</v>
      </c>
      <c r="AJ88" s="271">
        <v>20</v>
      </c>
      <c r="AK88" s="260"/>
      <c r="AL88" s="260"/>
      <c r="AM88" s="260"/>
      <c r="AN88" s="260"/>
      <c r="AO88" s="260"/>
      <c r="AP88" s="260"/>
      <c r="AQ88" s="260"/>
      <c r="AR88" s="260"/>
      <c r="AS88" s="260"/>
      <c r="AT88" s="260"/>
      <c r="AU88" s="260">
        <v>20</v>
      </c>
      <c r="AV88" s="271">
        <v>80</v>
      </c>
      <c r="AW88" s="260">
        <v>20</v>
      </c>
      <c r="AX88" s="271">
        <v>80</v>
      </c>
      <c r="AY88" s="260">
        <v>5</v>
      </c>
      <c r="AZ88" s="271">
        <v>5</v>
      </c>
      <c r="BA88" s="276">
        <v>5</v>
      </c>
      <c r="BB88" s="276">
        <v>10</v>
      </c>
      <c r="BC88" s="276"/>
      <c r="BD88" s="276"/>
      <c r="BE88" s="276">
        <v>10</v>
      </c>
      <c r="BF88" s="276">
        <v>40</v>
      </c>
      <c r="BG88" s="260">
        <v>20</v>
      </c>
      <c r="BH88" s="271">
        <v>40</v>
      </c>
      <c r="BI88" s="276"/>
      <c r="BJ88" s="276"/>
      <c r="BK88" s="276"/>
      <c r="BL88" s="275"/>
      <c r="BM88" s="323">
        <v>219</v>
      </c>
      <c r="BN88" s="272">
        <v>80</v>
      </c>
      <c r="BO88" s="270">
        <v>160</v>
      </c>
      <c r="BP88" s="272"/>
      <c r="BQ88" s="260"/>
      <c r="BR88" s="260"/>
      <c r="BS88" s="260"/>
      <c r="BT88" s="260"/>
      <c r="BU88" s="260"/>
      <c r="BV88" s="260">
        <v>5</v>
      </c>
      <c r="BW88" s="260">
        <v>160</v>
      </c>
      <c r="BX88" s="260"/>
      <c r="BY88" s="260"/>
      <c r="BZ88" s="260"/>
      <c r="CA88" s="260"/>
      <c r="CB88" s="260"/>
      <c r="CC88" s="260"/>
      <c r="CD88" s="260">
        <v>160</v>
      </c>
      <c r="CE88" s="260">
        <v>160</v>
      </c>
      <c r="CF88" s="272"/>
      <c r="CG88" s="260"/>
      <c r="CH88" s="260"/>
      <c r="CI88" s="260"/>
      <c r="CJ88" s="260"/>
      <c r="CK88" s="260"/>
      <c r="CL88" s="260"/>
      <c r="CM88" s="260"/>
      <c r="CN88" s="260">
        <v>160</v>
      </c>
      <c r="CO88" s="260">
        <v>160</v>
      </c>
      <c r="CP88" s="260">
        <v>320</v>
      </c>
      <c r="CQ88" s="260">
        <v>320</v>
      </c>
      <c r="CR88" s="260">
        <v>160</v>
      </c>
      <c r="CS88" s="270">
        <v>160</v>
      </c>
      <c r="CT88" s="322">
        <v>219</v>
      </c>
      <c r="CU88" s="249">
        <f>Table2821115[[#This Row],[D28 - BR/18]]/Table2821115[[#This Row],[D0 - BR/18]]</f>
        <v>1</v>
      </c>
      <c r="CV88" s="248">
        <f>Table2821115[[#This Row],[D28 - KS/17]]/Table2821115[[#This Row],[D0 - KS/17]]</f>
        <v>4</v>
      </c>
      <c r="CW88" s="248">
        <f>Table2821115[[#This Row],[D28 - Phu/13]]/Table2821115[[#This Row],[D0 - Phu/13]]</f>
        <v>1</v>
      </c>
      <c r="CX88" s="248">
        <f>Table2821115[[#This Row],[D28 - CO/17]]/Table2821115[[#This Row],[D0 - CO/17]]</f>
        <v>1</v>
      </c>
      <c r="CY88" s="248">
        <f>LOG(Table2821115[[#This Row],[BR/18 Fold]],2)</f>
        <v>0</v>
      </c>
      <c r="CZ88" s="248">
        <f>LOG(Table2821115[[#This Row],[KS/17 Fold]],2)</f>
        <v>2</v>
      </c>
      <c r="DA88" s="248">
        <f>LOG(Table2821115[[#This Row],[Phu/13 Fold]],2)</f>
        <v>0</v>
      </c>
      <c r="DB88" s="248">
        <f>LOG(Table2821115[[#This Row],[CO/17 Fold]],2)</f>
        <v>0</v>
      </c>
      <c r="DC88" s="248">
        <f>SUM(Table2821115[[#This Row],[BR/18 Log2]:[CO/17 Log2]])</f>
        <v>2</v>
      </c>
    </row>
    <row r="89" spans="1:107" ht="24" customHeight="1">
      <c r="A89" s="324">
        <v>220</v>
      </c>
      <c r="B89" s="190">
        <v>27562</v>
      </c>
      <c r="C89" s="190">
        <v>43787</v>
      </c>
      <c r="D89" s="189">
        <v>44</v>
      </c>
      <c r="E89" s="3" t="s">
        <v>61</v>
      </c>
      <c r="F89" s="143" t="s">
        <v>116</v>
      </c>
      <c r="G89" s="142">
        <v>45.712575634299398</v>
      </c>
      <c r="H89" s="11" t="s">
        <v>59</v>
      </c>
      <c r="I89" s="281" t="s">
        <v>60</v>
      </c>
      <c r="J89" s="260">
        <v>5</v>
      </c>
      <c r="K89" s="260">
        <v>5</v>
      </c>
      <c r="L89" s="260"/>
      <c r="M89" s="260"/>
      <c r="N89" s="260"/>
      <c r="O89" s="260"/>
      <c r="P89" s="260"/>
      <c r="Q89" s="260"/>
      <c r="R89" s="260"/>
      <c r="S89" s="260"/>
      <c r="T89" s="260"/>
      <c r="U89" s="260"/>
      <c r="V89" s="260">
        <v>5</v>
      </c>
      <c r="W89" s="260">
        <v>5</v>
      </c>
      <c r="X89" s="260">
        <v>80</v>
      </c>
      <c r="Y89" s="260">
        <v>80</v>
      </c>
      <c r="Z89" s="260">
        <v>80</v>
      </c>
      <c r="AA89" s="260">
        <v>80</v>
      </c>
      <c r="AB89" s="260">
        <v>40</v>
      </c>
      <c r="AC89" s="260">
        <v>40</v>
      </c>
      <c r="AD89" s="260"/>
      <c r="AE89" s="260"/>
      <c r="AF89" s="260"/>
      <c r="AG89" s="260"/>
      <c r="AH89" s="198">
        <v>220</v>
      </c>
      <c r="AI89" s="272">
        <v>5</v>
      </c>
      <c r="AJ89" s="271">
        <v>10</v>
      </c>
      <c r="AK89" s="260"/>
      <c r="AL89" s="260"/>
      <c r="AM89" s="260"/>
      <c r="AN89" s="260"/>
      <c r="AO89" s="260"/>
      <c r="AP89" s="260"/>
      <c r="AQ89" s="260"/>
      <c r="AR89" s="260"/>
      <c r="AS89" s="260"/>
      <c r="AT89" s="260"/>
      <c r="AU89" s="260">
        <v>40</v>
      </c>
      <c r="AV89" s="271">
        <v>40</v>
      </c>
      <c r="AW89" s="260">
        <v>20</v>
      </c>
      <c r="AX89" s="271">
        <v>40</v>
      </c>
      <c r="AY89" s="260">
        <v>20</v>
      </c>
      <c r="AZ89" s="271">
        <v>20</v>
      </c>
      <c r="BA89" s="276">
        <v>10</v>
      </c>
      <c r="BB89" s="276">
        <v>20</v>
      </c>
      <c r="BC89" s="276"/>
      <c r="BD89" s="276"/>
      <c r="BE89" s="276">
        <v>20</v>
      </c>
      <c r="BF89" s="276">
        <v>20</v>
      </c>
      <c r="BG89" s="260">
        <v>20</v>
      </c>
      <c r="BH89" s="271">
        <v>20</v>
      </c>
      <c r="BI89" s="276"/>
      <c r="BJ89" s="276"/>
      <c r="BK89" s="276"/>
      <c r="BL89" s="275"/>
      <c r="BM89" s="323">
        <v>220</v>
      </c>
      <c r="BN89" s="272">
        <v>5</v>
      </c>
      <c r="BO89" s="270">
        <v>20</v>
      </c>
      <c r="BP89" s="272"/>
      <c r="BQ89" s="260"/>
      <c r="BR89" s="260"/>
      <c r="BS89" s="260"/>
      <c r="BT89" s="260"/>
      <c r="BU89" s="260"/>
      <c r="BV89" s="260">
        <v>10</v>
      </c>
      <c r="BW89" s="260">
        <v>40</v>
      </c>
      <c r="BX89" s="260"/>
      <c r="BY89" s="260"/>
      <c r="BZ89" s="260"/>
      <c r="CA89" s="260"/>
      <c r="CB89" s="260"/>
      <c r="CC89" s="260"/>
      <c r="CD89" s="260">
        <v>20</v>
      </c>
      <c r="CE89" s="260">
        <v>40</v>
      </c>
      <c r="CF89" s="272"/>
      <c r="CG89" s="260"/>
      <c r="CH89" s="260"/>
      <c r="CI89" s="260"/>
      <c r="CJ89" s="260"/>
      <c r="CK89" s="260"/>
      <c r="CL89" s="260"/>
      <c r="CM89" s="260"/>
      <c r="CN89" s="260">
        <v>20</v>
      </c>
      <c r="CO89" s="260">
        <v>40</v>
      </c>
      <c r="CP89" s="260">
        <v>10</v>
      </c>
      <c r="CQ89" s="260">
        <v>40</v>
      </c>
      <c r="CR89" s="260">
        <v>10</v>
      </c>
      <c r="CS89" s="270">
        <v>20</v>
      </c>
      <c r="CT89" s="322">
        <v>220</v>
      </c>
      <c r="CU89" s="249">
        <f>Table2821115[[#This Row],[D28 - BR/18]]/Table2821115[[#This Row],[D0 - BR/18]]</f>
        <v>1</v>
      </c>
      <c r="CV89" s="248">
        <f>Table2821115[[#This Row],[D28 - KS/17]]/Table2821115[[#This Row],[D0 - KS/17]]</f>
        <v>1</v>
      </c>
      <c r="CW89" s="248">
        <f>Table2821115[[#This Row],[D28 - Phu/13]]/Table2821115[[#This Row],[D0 - Phu/13]]</f>
        <v>2</v>
      </c>
      <c r="CX89" s="248">
        <f>Table2821115[[#This Row],[D28 - CO/17]]/Table2821115[[#This Row],[D0 - CO/17]]</f>
        <v>4</v>
      </c>
      <c r="CY89" s="248">
        <f>LOG(Table2821115[[#This Row],[BR/18 Fold]],2)</f>
        <v>0</v>
      </c>
      <c r="CZ89" s="248">
        <f>LOG(Table2821115[[#This Row],[KS/17 Fold]],2)</f>
        <v>0</v>
      </c>
      <c r="DA89" s="248">
        <f>LOG(Table2821115[[#This Row],[Phu/13 Fold]],2)</f>
        <v>1</v>
      </c>
      <c r="DB89" s="248">
        <f>LOG(Table2821115[[#This Row],[CO/17 Fold]],2)</f>
        <v>2</v>
      </c>
      <c r="DC89" s="248">
        <f>SUM(Table2821115[[#This Row],[BR/18 Log2]:[CO/17 Log2]])</f>
        <v>3</v>
      </c>
    </row>
    <row r="90" spans="1:107" ht="24" customHeight="1">
      <c r="A90" s="321">
        <v>221</v>
      </c>
      <c r="B90" s="183">
        <v>33371</v>
      </c>
      <c r="C90" s="183">
        <v>43802</v>
      </c>
      <c r="D90" s="182">
        <v>28</v>
      </c>
      <c r="E90" s="3" t="s">
        <v>61</v>
      </c>
      <c r="F90" s="143" t="s">
        <v>116</v>
      </c>
      <c r="G90" s="142">
        <v>22.06563591700737</v>
      </c>
      <c r="H90" s="11" t="s">
        <v>59</v>
      </c>
      <c r="I90" s="281" t="s">
        <v>60</v>
      </c>
      <c r="J90" s="260">
        <v>5</v>
      </c>
      <c r="K90" s="260">
        <v>5</v>
      </c>
      <c r="L90" s="260"/>
      <c r="M90" s="260"/>
      <c r="N90" s="260"/>
      <c r="O90" s="260"/>
      <c r="P90" s="260"/>
      <c r="Q90" s="260"/>
      <c r="R90" s="260"/>
      <c r="S90" s="260"/>
      <c r="T90" s="260"/>
      <c r="U90" s="260"/>
      <c r="V90" s="260">
        <v>5</v>
      </c>
      <c r="W90" s="260">
        <v>10</v>
      </c>
      <c r="X90" s="260">
        <v>80</v>
      </c>
      <c r="Y90" s="260">
        <v>80</v>
      </c>
      <c r="Z90" s="260">
        <v>80</v>
      </c>
      <c r="AA90" s="260">
        <v>160</v>
      </c>
      <c r="AB90" s="260">
        <v>40</v>
      </c>
      <c r="AC90" s="260">
        <v>80</v>
      </c>
      <c r="AD90" s="260"/>
      <c r="AE90" s="260"/>
      <c r="AF90" s="260"/>
      <c r="AG90" s="260"/>
      <c r="AH90" s="32">
        <v>221</v>
      </c>
      <c r="AI90" s="272">
        <v>80</v>
      </c>
      <c r="AJ90" s="271">
        <v>160</v>
      </c>
      <c r="AK90" s="260"/>
      <c r="AL90" s="260"/>
      <c r="AM90" s="260"/>
      <c r="AN90" s="260"/>
      <c r="AO90" s="260"/>
      <c r="AP90" s="260"/>
      <c r="AQ90" s="260"/>
      <c r="AR90" s="260"/>
      <c r="AS90" s="260"/>
      <c r="AT90" s="260"/>
      <c r="AU90" s="260">
        <v>80</v>
      </c>
      <c r="AV90" s="271">
        <v>320</v>
      </c>
      <c r="AW90" s="260">
        <v>40</v>
      </c>
      <c r="AX90" s="271">
        <v>320</v>
      </c>
      <c r="AY90" s="260">
        <v>40</v>
      </c>
      <c r="AZ90" s="271">
        <v>160</v>
      </c>
      <c r="BA90" s="276">
        <v>40</v>
      </c>
      <c r="BB90" s="276">
        <v>160</v>
      </c>
      <c r="BC90" s="276"/>
      <c r="BD90" s="276"/>
      <c r="BE90" s="276">
        <v>20</v>
      </c>
      <c r="BF90" s="276">
        <v>160</v>
      </c>
      <c r="BG90" s="260">
        <v>80</v>
      </c>
      <c r="BH90" s="271">
        <v>160</v>
      </c>
      <c r="BI90" s="276"/>
      <c r="BJ90" s="276"/>
      <c r="BK90" s="276"/>
      <c r="BL90" s="275"/>
      <c r="BM90" s="320">
        <v>221</v>
      </c>
      <c r="BN90" s="272">
        <v>80</v>
      </c>
      <c r="BO90" s="270">
        <v>80</v>
      </c>
      <c r="BP90" s="272"/>
      <c r="BQ90" s="260"/>
      <c r="BR90" s="260"/>
      <c r="BS90" s="260"/>
      <c r="BT90" s="260"/>
      <c r="BU90" s="260"/>
      <c r="BV90" s="260">
        <v>5</v>
      </c>
      <c r="BW90" s="260">
        <v>80</v>
      </c>
      <c r="BX90" s="260"/>
      <c r="BY90" s="260"/>
      <c r="BZ90" s="260"/>
      <c r="CA90" s="260"/>
      <c r="CB90" s="260"/>
      <c r="CC90" s="260"/>
      <c r="CD90" s="260">
        <v>160</v>
      </c>
      <c r="CE90" s="260">
        <v>160</v>
      </c>
      <c r="CF90" s="272"/>
      <c r="CG90" s="260"/>
      <c r="CH90" s="260"/>
      <c r="CI90" s="260"/>
      <c r="CJ90" s="260"/>
      <c r="CK90" s="260"/>
      <c r="CL90" s="260"/>
      <c r="CM90" s="260"/>
      <c r="CN90" s="260">
        <v>80</v>
      </c>
      <c r="CO90" s="260">
        <v>80</v>
      </c>
      <c r="CP90" s="260">
        <v>40</v>
      </c>
      <c r="CQ90" s="260">
        <v>80</v>
      </c>
      <c r="CR90" s="260">
        <v>40</v>
      </c>
      <c r="CS90" s="270">
        <v>80</v>
      </c>
      <c r="CT90" s="319">
        <v>221</v>
      </c>
      <c r="CU90" s="249">
        <f>Table2821115[[#This Row],[D28 - BR/18]]/Table2821115[[#This Row],[D0 - BR/18]]</f>
        <v>2</v>
      </c>
      <c r="CV90" s="248">
        <f>Table2821115[[#This Row],[D28 - KS/17]]/Table2821115[[#This Row],[D0 - KS/17]]</f>
        <v>8</v>
      </c>
      <c r="CW90" s="248">
        <f>Table2821115[[#This Row],[D28 - Phu/13]]/Table2821115[[#This Row],[D0 - Phu/13]]</f>
        <v>1</v>
      </c>
      <c r="CX90" s="248">
        <f>Table2821115[[#This Row],[D28 - CO/17]]/Table2821115[[#This Row],[D0 - CO/17]]</f>
        <v>2</v>
      </c>
      <c r="CY90" s="248">
        <f>LOG(Table2821115[[#This Row],[BR/18 Fold]],2)</f>
        <v>1</v>
      </c>
      <c r="CZ90" s="248">
        <f>LOG(Table2821115[[#This Row],[KS/17 Fold]],2)</f>
        <v>3</v>
      </c>
      <c r="DA90" s="248">
        <f>LOG(Table2821115[[#This Row],[Phu/13 Fold]],2)</f>
        <v>0</v>
      </c>
      <c r="DB90" s="248">
        <f>LOG(Table2821115[[#This Row],[CO/17 Fold]],2)</f>
        <v>1</v>
      </c>
      <c r="DC90" s="248">
        <f>SUM(Table2821115[[#This Row],[BR/18 Log2]:[CO/17 Log2]])</f>
        <v>5</v>
      </c>
    </row>
    <row r="91" spans="1:107" ht="24" customHeight="1">
      <c r="A91" s="321">
        <v>222</v>
      </c>
      <c r="B91" s="183">
        <v>32325</v>
      </c>
      <c r="C91" s="183">
        <v>43805</v>
      </c>
      <c r="D91" s="182">
        <v>31</v>
      </c>
      <c r="E91" s="4" t="s">
        <v>58</v>
      </c>
      <c r="F91" s="143" t="s">
        <v>116</v>
      </c>
      <c r="G91" s="142">
        <v>27.584900896351471</v>
      </c>
      <c r="H91" s="11" t="s">
        <v>59</v>
      </c>
      <c r="I91" s="281" t="s">
        <v>60</v>
      </c>
      <c r="J91" s="260">
        <v>5</v>
      </c>
      <c r="K91" s="260">
        <v>5</v>
      </c>
      <c r="L91" s="260"/>
      <c r="M91" s="260"/>
      <c r="N91" s="260"/>
      <c r="O91" s="260"/>
      <c r="P91" s="260"/>
      <c r="Q91" s="260"/>
      <c r="R91" s="260"/>
      <c r="S91" s="260"/>
      <c r="T91" s="260"/>
      <c r="U91" s="260"/>
      <c r="V91" s="260">
        <v>5</v>
      </c>
      <c r="W91" s="260">
        <v>5</v>
      </c>
      <c r="X91" s="260">
        <v>160</v>
      </c>
      <c r="Y91" s="260">
        <v>320</v>
      </c>
      <c r="Z91" s="260">
        <v>320</v>
      </c>
      <c r="AA91" s="260">
        <v>320</v>
      </c>
      <c r="AB91" s="260">
        <v>160</v>
      </c>
      <c r="AC91" s="260">
        <v>160</v>
      </c>
      <c r="AD91" s="260"/>
      <c r="AE91" s="260"/>
      <c r="AF91" s="260"/>
      <c r="AG91" s="260"/>
      <c r="AH91" s="32">
        <v>222</v>
      </c>
      <c r="AI91" s="272">
        <v>20</v>
      </c>
      <c r="AJ91" s="271">
        <v>40</v>
      </c>
      <c r="AK91" s="260"/>
      <c r="AL91" s="260"/>
      <c r="AM91" s="260"/>
      <c r="AN91" s="260"/>
      <c r="AO91" s="260"/>
      <c r="AP91" s="260"/>
      <c r="AQ91" s="260"/>
      <c r="AR91" s="260"/>
      <c r="AS91" s="260"/>
      <c r="AT91" s="260"/>
      <c r="AU91" s="260">
        <v>40</v>
      </c>
      <c r="AV91" s="271">
        <v>80</v>
      </c>
      <c r="AW91" s="260">
        <v>20</v>
      </c>
      <c r="AX91" s="271">
        <v>80</v>
      </c>
      <c r="AY91" s="260">
        <v>20</v>
      </c>
      <c r="AZ91" s="271">
        <v>40</v>
      </c>
      <c r="BA91" s="276">
        <v>20</v>
      </c>
      <c r="BB91" s="276">
        <v>40</v>
      </c>
      <c r="BC91" s="276"/>
      <c r="BD91" s="276"/>
      <c r="BE91" s="276">
        <v>5</v>
      </c>
      <c r="BF91" s="276">
        <v>20</v>
      </c>
      <c r="BG91" s="260">
        <v>20</v>
      </c>
      <c r="BH91" s="271">
        <v>40</v>
      </c>
      <c r="BI91" s="276"/>
      <c r="BJ91" s="276"/>
      <c r="BK91" s="276"/>
      <c r="BL91" s="275"/>
      <c r="BM91" s="320">
        <v>222</v>
      </c>
      <c r="BN91" s="272">
        <v>40</v>
      </c>
      <c r="BO91" s="270">
        <v>80</v>
      </c>
      <c r="BP91" s="272"/>
      <c r="BQ91" s="260"/>
      <c r="BR91" s="260"/>
      <c r="BS91" s="260"/>
      <c r="BT91" s="260"/>
      <c r="BU91" s="260"/>
      <c r="BV91" s="260">
        <v>160</v>
      </c>
      <c r="BW91" s="260">
        <v>160</v>
      </c>
      <c r="BX91" s="260"/>
      <c r="BY91" s="260"/>
      <c r="BZ91" s="260"/>
      <c r="CA91" s="260"/>
      <c r="CB91" s="260"/>
      <c r="CC91" s="260"/>
      <c r="CD91" s="260">
        <v>160</v>
      </c>
      <c r="CE91" s="260">
        <v>320</v>
      </c>
      <c r="CF91" s="272"/>
      <c r="CG91" s="260"/>
      <c r="CH91" s="260"/>
      <c r="CI91" s="260"/>
      <c r="CJ91" s="260"/>
      <c r="CK91" s="260"/>
      <c r="CL91" s="260"/>
      <c r="CM91" s="260"/>
      <c r="CN91" s="260">
        <v>80</v>
      </c>
      <c r="CO91" s="260">
        <v>80</v>
      </c>
      <c r="CP91" s="260">
        <v>160</v>
      </c>
      <c r="CQ91" s="260">
        <v>160</v>
      </c>
      <c r="CR91" s="260">
        <v>160</v>
      </c>
      <c r="CS91" s="270">
        <v>160</v>
      </c>
      <c r="CT91" s="319">
        <v>222</v>
      </c>
      <c r="CU91" s="249">
        <f>Table2821115[[#This Row],[D28 - BR/18]]/Table2821115[[#This Row],[D0 - BR/18]]</f>
        <v>1</v>
      </c>
      <c r="CV91" s="248">
        <f>Table2821115[[#This Row],[D28 - KS/17]]/Table2821115[[#This Row],[D0 - KS/17]]</f>
        <v>4</v>
      </c>
      <c r="CW91" s="248">
        <f>Table2821115[[#This Row],[D28 - Phu/13]]/Table2821115[[#This Row],[D0 - Phu/13]]</f>
        <v>2</v>
      </c>
      <c r="CX91" s="248">
        <f>Table2821115[[#This Row],[D28 - CO/17]]/Table2821115[[#This Row],[D0 - CO/17]]</f>
        <v>1</v>
      </c>
      <c r="CY91" s="248">
        <f>LOG(Table2821115[[#This Row],[BR/18 Fold]],2)</f>
        <v>0</v>
      </c>
      <c r="CZ91" s="248">
        <f>LOG(Table2821115[[#This Row],[KS/17 Fold]],2)</f>
        <v>2</v>
      </c>
      <c r="DA91" s="248">
        <f>LOG(Table2821115[[#This Row],[Phu/13 Fold]],2)</f>
        <v>1</v>
      </c>
      <c r="DB91" s="248">
        <f>LOG(Table2821115[[#This Row],[CO/17 Fold]],2)</f>
        <v>0</v>
      </c>
      <c r="DC91" s="248">
        <f>SUM(Table2821115[[#This Row],[BR/18 Log2]:[CO/17 Log2]])</f>
        <v>3</v>
      </c>
    </row>
    <row r="92" spans="1:107" ht="24" customHeight="1">
      <c r="A92" s="318">
        <v>224</v>
      </c>
      <c r="B92" s="180">
        <v>21432</v>
      </c>
      <c r="C92" s="180">
        <v>43757</v>
      </c>
      <c r="D92" s="179">
        <v>61</v>
      </c>
      <c r="E92" s="3" t="s">
        <v>61</v>
      </c>
      <c r="F92" s="143" t="s">
        <v>116</v>
      </c>
      <c r="G92" s="142">
        <v>44.787100025195265</v>
      </c>
      <c r="H92" s="11" t="s">
        <v>59</v>
      </c>
      <c r="I92" s="281" t="s">
        <v>60</v>
      </c>
      <c r="J92" s="260">
        <v>5</v>
      </c>
      <c r="K92" s="260">
        <v>5</v>
      </c>
      <c r="L92" s="260"/>
      <c r="M92" s="260"/>
      <c r="N92" s="260"/>
      <c r="O92" s="260"/>
      <c r="P92" s="260"/>
      <c r="Q92" s="260"/>
      <c r="R92" s="260"/>
      <c r="S92" s="260"/>
      <c r="T92" s="260"/>
      <c r="U92" s="260"/>
      <c r="V92" s="260">
        <v>5</v>
      </c>
      <c r="W92" s="260">
        <v>5</v>
      </c>
      <c r="X92" s="260">
        <v>5</v>
      </c>
      <c r="Y92" s="260">
        <v>10</v>
      </c>
      <c r="Z92" s="260">
        <v>5</v>
      </c>
      <c r="AA92" s="260">
        <v>10</v>
      </c>
      <c r="AB92" s="260">
        <v>5</v>
      </c>
      <c r="AC92" s="260">
        <v>10</v>
      </c>
      <c r="AD92" s="260"/>
      <c r="AE92" s="260"/>
      <c r="AF92" s="260"/>
      <c r="AG92" s="260"/>
      <c r="AH92" s="195">
        <v>224</v>
      </c>
      <c r="AI92" s="272">
        <v>10</v>
      </c>
      <c r="AJ92" s="271">
        <v>10</v>
      </c>
      <c r="AK92" s="260"/>
      <c r="AL92" s="260"/>
      <c r="AM92" s="260"/>
      <c r="AN92" s="260"/>
      <c r="AO92" s="260"/>
      <c r="AP92" s="260"/>
      <c r="AQ92" s="260"/>
      <c r="AR92" s="260"/>
      <c r="AS92" s="260"/>
      <c r="AT92" s="260"/>
      <c r="AU92" s="260">
        <v>40</v>
      </c>
      <c r="AV92" s="271">
        <v>40</v>
      </c>
      <c r="AW92" s="260">
        <v>20</v>
      </c>
      <c r="AX92" s="271">
        <v>20</v>
      </c>
      <c r="AY92" s="260">
        <v>5</v>
      </c>
      <c r="AZ92" s="271">
        <v>20</v>
      </c>
      <c r="BA92" s="276">
        <v>20</v>
      </c>
      <c r="BB92" s="276">
        <v>20</v>
      </c>
      <c r="BC92" s="276"/>
      <c r="BD92" s="276"/>
      <c r="BE92" s="276">
        <v>5</v>
      </c>
      <c r="BF92" s="276">
        <v>5</v>
      </c>
      <c r="BG92" s="260">
        <v>40</v>
      </c>
      <c r="BH92" s="271">
        <v>40</v>
      </c>
      <c r="BI92" s="276"/>
      <c r="BJ92" s="276"/>
      <c r="BK92" s="276"/>
      <c r="BL92" s="275"/>
      <c r="BM92" s="316">
        <v>224</v>
      </c>
      <c r="BN92" s="272">
        <v>40</v>
      </c>
      <c r="BO92" s="270">
        <v>80</v>
      </c>
      <c r="BP92" s="272"/>
      <c r="BQ92" s="260"/>
      <c r="BR92" s="260"/>
      <c r="BS92" s="260"/>
      <c r="BT92" s="260"/>
      <c r="BU92" s="260"/>
      <c r="BV92" s="260">
        <v>5</v>
      </c>
      <c r="BW92" s="260">
        <v>80</v>
      </c>
      <c r="BX92" s="260"/>
      <c r="BY92" s="260"/>
      <c r="BZ92" s="260"/>
      <c r="CA92" s="260"/>
      <c r="CB92" s="260"/>
      <c r="CC92" s="260"/>
      <c r="CD92" s="260">
        <v>20</v>
      </c>
      <c r="CE92" s="260">
        <v>40</v>
      </c>
      <c r="CF92" s="272"/>
      <c r="CG92" s="260"/>
      <c r="CH92" s="260"/>
      <c r="CI92" s="260"/>
      <c r="CJ92" s="260"/>
      <c r="CK92" s="260"/>
      <c r="CL92" s="260"/>
      <c r="CM92" s="260"/>
      <c r="CN92" s="260">
        <v>20</v>
      </c>
      <c r="CO92" s="260">
        <v>20</v>
      </c>
      <c r="CP92" s="260">
        <v>20</v>
      </c>
      <c r="CQ92" s="260">
        <v>40</v>
      </c>
      <c r="CR92" s="260">
        <v>10</v>
      </c>
      <c r="CS92" s="270">
        <v>20</v>
      </c>
      <c r="CT92" s="315">
        <v>224</v>
      </c>
      <c r="CU92" s="249">
        <f>Table2821115[[#This Row],[D28 - BR/18]]/Table2821115[[#This Row],[D0 - BR/18]]</f>
        <v>2</v>
      </c>
      <c r="CV92" s="248">
        <f>Table2821115[[#This Row],[D28 - KS/17]]/Table2821115[[#This Row],[D0 - KS/17]]</f>
        <v>1</v>
      </c>
      <c r="CW92" s="248">
        <f>Table2821115[[#This Row],[D28 - Phu/13]]/Table2821115[[#This Row],[D0 - Phu/13]]</f>
        <v>2</v>
      </c>
      <c r="CX92" s="248">
        <f>Table2821115[[#This Row],[D28 - CO/17]]/Table2821115[[#This Row],[D0 - CO/17]]</f>
        <v>2</v>
      </c>
      <c r="CY92" s="248">
        <f>LOG(Table2821115[[#This Row],[BR/18 Fold]],2)</f>
        <v>1</v>
      </c>
      <c r="CZ92" s="248">
        <f>LOG(Table2821115[[#This Row],[KS/17 Fold]],2)</f>
        <v>0</v>
      </c>
      <c r="DA92" s="248">
        <f>LOG(Table2821115[[#This Row],[Phu/13 Fold]],2)</f>
        <v>1</v>
      </c>
      <c r="DB92" s="248">
        <f>LOG(Table2821115[[#This Row],[CO/17 Fold]],2)</f>
        <v>1</v>
      </c>
      <c r="DC92" s="248">
        <f>SUM(Table2821115[[#This Row],[BR/18 Log2]:[CO/17 Log2]])</f>
        <v>3</v>
      </c>
    </row>
    <row r="93" spans="1:107" ht="24" customHeight="1">
      <c r="A93" s="324">
        <v>225</v>
      </c>
      <c r="B93" s="190">
        <v>30940</v>
      </c>
      <c r="C93" s="190">
        <v>43802</v>
      </c>
      <c r="D93" s="189">
        <v>35</v>
      </c>
      <c r="E93" s="4" t="s">
        <v>58</v>
      </c>
      <c r="F93" s="143" t="s">
        <v>116</v>
      </c>
      <c r="G93" s="142">
        <v>25.312073220039494</v>
      </c>
      <c r="H93" s="11" t="s">
        <v>59</v>
      </c>
      <c r="I93" s="281" t="s">
        <v>60</v>
      </c>
      <c r="J93" s="260">
        <v>5</v>
      </c>
      <c r="K93" s="260">
        <v>5</v>
      </c>
      <c r="L93" s="260"/>
      <c r="M93" s="260"/>
      <c r="N93" s="260"/>
      <c r="O93" s="260"/>
      <c r="P93" s="260"/>
      <c r="Q93" s="260"/>
      <c r="R93" s="260"/>
      <c r="S93" s="260"/>
      <c r="T93" s="260"/>
      <c r="U93" s="260"/>
      <c r="V93" s="260">
        <v>5</v>
      </c>
      <c r="W93" s="260">
        <v>5</v>
      </c>
      <c r="X93" s="260">
        <v>5</v>
      </c>
      <c r="Y93" s="260">
        <v>40</v>
      </c>
      <c r="Z93" s="260">
        <v>40</v>
      </c>
      <c r="AA93" s="260">
        <v>80</v>
      </c>
      <c r="AB93" s="260">
        <v>40</v>
      </c>
      <c r="AC93" s="260">
        <v>40</v>
      </c>
      <c r="AD93" s="260"/>
      <c r="AE93" s="260"/>
      <c r="AF93" s="260"/>
      <c r="AG93" s="260"/>
      <c r="AH93" s="198">
        <v>225</v>
      </c>
      <c r="AI93" s="272">
        <v>40</v>
      </c>
      <c r="AJ93" s="271">
        <v>40</v>
      </c>
      <c r="AK93" s="260"/>
      <c r="AL93" s="260"/>
      <c r="AM93" s="260"/>
      <c r="AN93" s="260"/>
      <c r="AO93" s="260"/>
      <c r="AP93" s="260"/>
      <c r="AQ93" s="260"/>
      <c r="AR93" s="260"/>
      <c r="AS93" s="260"/>
      <c r="AT93" s="260"/>
      <c r="AU93" s="260">
        <v>40</v>
      </c>
      <c r="AV93" s="271">
        <v>40</v>
      </c>
      <c r="AW93" s="260">
        <v>20</v>
      </c>
      <c r="AX93" s="271">
        <v>40</v>
      </c>
      <c r="AY93" s="260">
        <v>5</v>
      </c>
      <c r="AZ93" s="271">
        <v>20</v>
      </c>
      <c r="BA93" s="276">
        <v>10</v>
      </c>
      <c r="BB93" s="276">
        <v>20</v>
      </c>
      <c r="BC93" s="276"/>
      <c r="BD93" s="276"/>
      <c r="BE93" s="276">
        <v>5</v>
      </c>
      <c r="BF93" s="276">
        <v>10</v>
      </c>
      <c r="BG93" s="260">
        <v>80</v>
      </c>
      <c r="BH93" s="271">
        <v>80</v>
      </c>
      <c r="BI93" s="276"/>
      <c r="BJ93" s="276"/>
      <c r="BK93" s="276"/>
      <c r="BL93" s="275"/>
      <c r="BM93" s="323">
        <v>225</v>
      </c>
      <c r="BN93" s="272">
        <v>320</v>
      </c>
      <c r="BO93" s="270">
        <v>320</v>
      </c>
      <c r="BP93" s="272"/>
      <c r="BQ93" s="260"/>
      <c r="BR93" s="260"/>
      <c r="BS93" s="260"/>
      <c r="BT93" s="260"/>
      <c r="BU93" s="260"/>
      <c r="BV93" s="260">
        <v>5</v>
      </c>
      <c r="BW93" s="260">
        <v>320</v>
      </c>
      <c r="BX93" s="260"/>
      <c r="BY93" s="260"/>
      <c r="BZ93" s="260"/>
      <c r="CA93" s="260"/>
      <c r="CB93" s="260"/>
      <c r="CC93" s="260"/>
      <c r="CD93" s="260">
        <v>640</v>
      </c>
      <c r="CE93" s="260">
        <v>320</v>
      </c>
      <c r="CF93" s="272"/>
      <c r="CG93" s="260"/>
      <c r="CH93" s="260"/>
      <c r="CI93" s="260"/>
      <c r="CJ93" s="260"/>
      <c r="CK93" s="260"/>
      <c r="CL93" s="260"/>
      <c r="CM93" s="260"/>
      <c r="CN93" s="260">
        <v>20</v>
      </c>
      <c r="CO93" s="260">
        <v>20</v>
      </c>
      <c r="CP93" s="260">
        <v>20</v>
      </c>
      <c r="CQ93" s="260">
        <v>20</v>
      </c>
      <c r="CR93" s="260">
        <v>10</v>
      </c>
      <c r="CS93" s="270">
        <v>5</v>
      </c>
      <c r="CT93" s="322">
        <v>225</v>
      </c>
      <c r="CU93" s="249">
        <f>Table2821115[[#This Row],[D28 - BR/18]]/Table2821115[[#This Row],[D0 - BR/18]]</f>
        <v>1</v>
      </c>
      <c r="CV93" s="248">
        <f>Table2821115[[#This Row],[D28 - KS/17]]/Table2821115[[#This Row],[D0 - KS/17]]</f>
        <v>2</v>
      </c>
      <c r="CW93" s="248">
        <f>Table2821115[[#This Row],[D28 - Phu/13]]/Table2821115[[#This Row],[D0 - Phu/13]]</f>
        <v>0.5</v>
      </c>
      <c r="CX93" s="248">
        <f>Table2821115[[#This Row],[D28 - CO/17]]/Table2821115[[#This Row],[D0 - CO/17]]</f>
        <v>1</v>
      </c>
      <c r="CY93" s="248">
        <f>LOG(Table2821115[[#This Row],[BR/18 Fold]],2)</f>
        <v>0</v>
      </c>
      <c r="CZ93" s="248">
        <f>LOG(Table2821115[[#This Row],[KS/17 Fold]],2)</f>
        <v>1</v>
      </c>
      <c r="DA93" s="248">
        <f>LOG(Table2821115[[#This Row],[Phu/13 Fold]],2)</f>
        <v>-1</v>
      </c>
      <c r="DB93" s="248">
        <f>LOG(Table2821115[[#This Row],[CO/17 Fold]],2)</f>
        <v>0</v>
      </c>
      <c r="DC93" s="248">
        <f>SUM(Table2821115[[#This Row],[BR/18 Log2]:[CO/17 Log2]])</f>
        <v>0</v>
      </c>
    </row>
    <row r="94" spans="1:107" ht="24" customHeight="1">
      <c r="A94" s="318">
        <v>227</v>
      </c>
      <c r="B94" s="180">
        <v>24871</v>
      </c>
      <c r="C94" s="180">
        <v>43775</v>
      </c>
      <c r="D94" s="179">
        <v>51</v>
      </c>
      <c r="E94" s="3" t="s">
        <v>61</v>
      </c>
      <c r="F94" s="143" t="s">
        <v>116</v>
      </c>
      <c r="G94" s="142">
        <v>33.536821636563047</v>
      </c>
      <c r="H94" s="11" t="s">
        <v>59</v>
      </c>
      <c r="I94" s="281" t="s">
        <v>60</v>
      </c>
      <c r="J94" s="260">
        <v>5</v>
      </c>
      <c r="K94" s="260">
        <v>10</v>
      </c>
      <c r="L94" s="260"/>
      <c r="M94" s="260"/>
      <c r="N94" s="260"/>
      <c r="O94" s="260"/>
      <c r="P94" s="260"/>
      <c r="Q94" s="260"/>
      <c r="R94" s="260"/>
      <c r="S94" s="260"/>
      <c r="T94" s="260"/>
      <c r="U94" s="260"/>
      <c r="V94" s="260">
        <v>5</v>
      </c>
      <c r="W94" s="260">
        <v>5</v>
      </c>
      <c r="X94" s="260">
        <v>80</v>
      </c>
      <c r="Y94" s="260">
        <v>320</v>
      </c>
      <c r="Z94" s="260">
        <v>80</v>
      </c>
      <c r="AA94" s="260">
        <v>320</v>
      </c>
      <c r="AB94" s="260">
        <v>40</v>
      </c>
      <c r="AC94" s="260">
        <v>160</v>
      </c>
      <c r="AD94" s="260"/>
      <c r="AE94" s="260"/>
      <c r="AF94" s="260"/>
      <c r="AG94" s="260"/>
      <c r="AH94" s="195">
        <v>227</v>
      </c>
      <c r="AI94" s="272">
        <v>5</v>
      </c>
      <c r="AJ94" s="271">
        <v>5</v>
      </c>
      <c r="AK94" s="260"/>
      <c r="AL94" s="260"/>
      <c r="AM94" s="260"/>
      <c r="AN94" s="260"/>
      <c r="AO94" s="260"/>
      <c r="AP94" s="260"/>
      <c r="AQ94" s="260"/>
      <c r="AR94" s="260"/>
      <c r="AS94" s="260"/>
      <c r="AT94" s="260"/>
      <c r="AU94" s="260">
        <v>10</v>
      </c>
      <c r="AV94" s="271">
        <v>160</v>
      </c>
      <c r="AW94" s="260">
        <v>10</v>
      </c>
      <c r="AX94" s="271">
        <v>160</v>
      </c>
      <c r="AY94" s="260">
        <v>5</v>
      </c>
      <c r="AZ94" s="271">
        <v>40</v>
      </c>
      <c r="BA94" s="276">
        <v>5</v>
      </c>
      <c r="BB94" s="276">
        <v>40</v>
      </c>
      <c r="BC94" s="276"/>
      <c r="BD94" s="276"/>
      <c r="BE94" s="276">
        <v>5</v>
      </c>
      <c r="BF94" s="276">
        <v>160</v>
      </c>
      <c r="BG94" s="260">
        <v>10</v>
      </c>
      <c r="BH94" s="271">
        <v>160</v>
      </c>
      <c r="BI94" s="276"/>
      <c r="BJ94" s="276"/>
      <c r="BK94" s="276"/>
      <c r="BL94" s="275"/>
      <c r="BM94" s="316">
        <v>227</v>
      </c>
      <c r="BN94" s="272">
        <v>40</v>
      </c>
      <c r="BO94" s="270">
        <v>80</v>
      </c>
      <c r="BP94" s="272"/>
      <c r="BQ94" s="260"/>
      <c r="BR94" s="260"/>
      <c r="BS94" s="260"/>
      <c r="BT94" s="260"/>
      <c r="BU94" s="260"/>
      <c r="BV94" s="260">
        <v>20</v>
      </c>
      <c r="BW94" s="260">
        <v>80</v>
      </c>
      <c r="BX94" s="260"/>
      <c r="BY94" s="260"/>
      <c r="BZ94" s="260"/>
      <c r="CA94" s="260"/>
      <c r="CB94" s="260"/>
      <c r="CC94" s="260"/>
      <c r="CD94" s="260">
        <v>40</v>
      </c>
      <c r="CE94" s="260">
        <v>160</v>
      </c>
      <c r="CF94" s="272"/>
      <c r="CG94" s="260"/>
      <c r="CH94" s="260"/>
      <c r="CI94" s="260"/>
      <c r="CJ94" s="260"/>
      <c r="CK94" s="260"/>
      <c r="CL94" s="260"/>
      <c r="CM94" s="260"/>
      <c r="CN94" s="260">
        <v>40</v>
      </c>
      <c r="CO94" s="260">
        <v>40</v>
      </c>
      <c r="CP94" s="260">
        <v>40</v>
      </c>
      <c r="CQ94" s="260">
        <v>80</v>
      </c>
      <c r="CR94" s="260">
        <v>40</v>
      </c>
      <c r="CS94" s="270">
        <v>80</v>
      </c>
      <c r="CT94" s="315">
        <v>227</v>
      </c>
      <c r="CU94" s="249">
        <f>Table2821115[[#This Row],[D28 - BR/18]]/Table2821115[[#This Row],[D0 - BR/18]]</f>
        <v>4</v>
      </c>
      <c r="CV94" s="248">
        <f>Table2821115[[#This Row],[D28 - KS/17]]/Table2821115[[#This Row],[D0 - KS/17]]</f>
        <v>32</v>
      </c>
      <c r="CW94" s="248">
        <f>Table2821115[[#This Row],[D28 - Phu/13]]/Table2821115[[#This Row],[D0 - Phu/13]]</f>
        <v>4</v>
      </c>
      <c r="CX94" s="248">
        <f>Table2821115[[#This Row],[D28 - CO/17]]/Table2821115[[#This Row],[D0 - CO/17]]</f>
        <v>2</v>
      </c>
      <c r="CY94" s="248">
        <f>LOG(Table2821115[[#This Row],[BR/18 Fold]],2)</f>
        <v>2</v>
      </c>
      <c r="CZ94" s="248">
        <f>LOG(Table2821115[[#This Row],[KS/17 Fold]],2)</f>
        <v>5</v>
      </c>
      <c r="DA94" s="248">
        <f>LOG(Table2821115[[#This Row],[Phu/13 Fold]],2)</f>
        <v>2</v>
      </c>
      <c r="DB94" s="248">
        <f>LOG(Table2821115[[#This Row],[CO/17 Fold]],2)</f>
        <v>1</v>
      </c>
      <c r="DC94" s="248">
        <f>SUM(Table2821115[[#This Row],[BR/18 Log2]:[CO/17 Log2]])</f>
        <v>10</v>
      </c>
    </row>
    <row r="95" spans="1:107" ht="24" customHeight="1">
      <c r="A95" s="321">
        <v>232</v>
      </c>
      <c r="B95" s="183">
        <v>33782</v>
      </c>
      <c r="C95" s="183">
        <v>43787</v>
      </c>
      <c r="D95" s="182">
        <v>27</v>
      </c>
      <c r="E95" s="3" t="s">
        <v>61</v>
      </c>
      <c r="F95" s="143" t="s">
        <v>116</v>
      </c>
      <c r="G95" s="142">
        <v>24.79785579817629</v>
      </c>
      <c r="H95" s="11" t="s">
        <v>59</v>
      </c>
      <c r="I95" s="281" t="s">
        <v>60</v>
      </c>
      <c r="J95" s="260">
        <v>5</v>
      </c>
      <c r="K95" s="260">
        <v>5</v>
      </c>
      <c r="L95" s="260"/>
      <c r="M95" s="260"/>
      <c r="N95" s="260"/>
      <c r="O95" s="260"/>
      <c r="P95" s="260"/>
      <c r="Q95" s="260"/>
      <c r="R95" s="260"/>
      <c r="S95" s="260"/>
      <c r="T95" s="260"/>
      <c r="U95" s="260"/>
      <c r="V95" s="260">
        <v>5</v>
      </c>
      <c r="W95" s="260">
        <v>10</v>
      </c>
      <c r="X95" s="260">
        <v>20</v>
      </c>
      <c r="Y95" s="260">
        <v>80</v>
      </c>
      <c r="Z95" s="260">
        <v>40</v>
      </c>
      <c r="AA95" s="260">
        <v>80</v>
      </c>
      <c r="AB95" s="260">
        <v>20</v>
      </c>
      <c r="AC95" s="260">
        <v>80</v>
      </c>
      <c r="AD95" s="260"/>
      <c r="AE95" s="260"/>
      <c r="AF95" s="260"/>
      <c r="AG95" s="260"/>
      <c r="AH95" s="32">
        <v>232</v>
      </c>
      <c r="AI95" s="272">
        <v>20</v>
      </c>
      <c r="AJ95" s="271">
        <v>40</v>
      </c>
      <c r="AK95" s="260"/>
      <c r="AL95" s="260"/>
      <c r="AM95" s="260"/>
      <c r="AN95" s="260"/>
      <c r="AO95" s="260"/>
      <c r="AP95" s="260"/>
      <c r="AQ95" s="260"/>
      <c r="AR95" s="260"/>
      <c r="AS95" s="260"/>
      <c r="AT95" s="260"/>
      <c r="AU95" s="260">
        <v>20</v>
      </c>
      <c r="AV95" s="271">
        <v>40</v>
      </c>
      <c r="AW95" s="260">
        <v>10</v>
      </c>
      <c r="AX95" s="271">
        <v>20</v>
      </c>
      <c r="AY95" s="260">
        <v>5</v>
      </c>
      <c r="AZ95" s="271">
        <v>20</v>
      </c>
      <c r="BA95" s="276">
        <v>10</v>
      </c>
      <c r="BB95" s="276">
        <v>20</v>
      </c>
      <c r="BC95" s="276"/>
      <c r="BD95" s="276"/>
      <c r="BE95" s="276">
        <v>5</v>
      </c>
      <c r="BF95" s="276">
        <v>5</v>
      </c>
      <c r="BG95" s="260">
        <v>10</v>
      </c>
      <c r="BH95" s="271">
        <v>20</v>
      </c>
      <c r="BI95" s="276"/>
      <c r="BJ95" s="276"/>
      <c r="BK95" s="276"/>
      <c r="BL95" s="275"/>
      <c r="BM95" s="320">
        <v>232</v>
      </c>
      <c r="BN95" s="272">
        <v>80</v>
      </c>
      <c r="BO95" s="270">
        <v>160</v>
      </c>
      <c r="BP95" s="272"/>
      <c r="BQ95" s="260"/>
      <c r="BR95" s="260"/>
      <c r="BS95" s="260"/>
      <c r="BT95" s="260"/>
      <c r="BU95" s="260"/>
      <c r="BV95" s="260">
        <v>80</v>
      </c>
      <c r="BW95" s="260">
        <v>160</v>
      </c>
      <c r="BX95" s="260"/>
      <c r="BY95" s="260"/>
      <c r="BZ95" s="260"/>
      <c r="CA95" s="260"/>
      <c r="CB95" s="260"/>
      <c r="CC95" s="260"/>
      <c r="CD95" s="260">
        <v>160</v>
      </c>
      <c r="CE95" s="260">
        <v>160</v>
      </c>
      <c r="CF95" s="272"/>
      <c r="CG95" s="260"/>
      <c r="CH95" s="260"/>
      <c r="CI95" s="260"/>
      <c r="CJ95" s="260"/>
      <c r="CK95" s="260"/>
      <c r="CL95" s="260"/>
      <c r="CM95" s="260"/>
      <c r="CN95" s="260">
        <v>5</v>
      </c>
      <c r="CO95" s="260">
        <v>5</v>
      </c>
      <c r="CP95" s="260">
        <v>20</v>
      </c>
      <c r="CQ95" s="260">
        <v>40</v>
      </c>
      <c r="CR95" s="260">
        <v>5</v>
      </c>
      <c r="CS95" s="270">
        <v>5</v>
      </c>
      <c r="CT95" s="319">
        <v>232</v>
      </c>
      <c r="CU95" s="249">
        <f>Table2821115[[#This Row],[D28 - BR/18]]/Table2821115[[#This Row],[D0 - BR/18]]</f>
        <v>4</v>
      </c>
      <c r="CV95" s="248">
        <f>Table2821115[[#This Row],[D28 - KS/17]]/Table2821115[[#This Row],[D0 - KS/17]]</f>
        <v>1</v>
      </c>
      <c r="CW95" s="248">
        <f>Table2821115[[#This Row],[D28 - Phu/13]]/Table2821115[[#This Row],[D0 - Phu/13]]</f>
        <v>1</v>
      </c>
      <c r="CX95" s="248">
        <f>Table2821115[[#This Row],[D28 - CO/17]]/Table2821115[[#This Row],[D0 - CO/17]]</f>
        <v>2</v>
      </c>
      <c r="CY95" s="248">
        <f>LOG(Table2821115[[#This Row],[BR/18 Fold]],2)</f>
        <v>2</v>
      </c>
      <c r="CZ95" s="248">
        <f>LOG(Table2821115[[#This Row],[KS/17 Fold]],2)</f>
        <v>0</v>
      </c>
      <c r="DA95" s="248">
        <f>LOG(Table2821115[[#This Row],[Phu/13 Fold]],2)</f>
        <v>0</v>
      </c>
      <c r="DB95" s="248">
        <f>LOG(Table2821115[[#This Row],[CO/17 Fold]],2)</f>
        <v>1</v>
      </c>
      <c r="DC95" s="248">
        <f>SUM(Table2821115[[#This Row],[BR/18 Log2]:[CO/17 Log2]])</f>
        <v>3</v>
      </c>
    </row>
    <row r="96" spans="1:107" ht="24" customHeight="1">
      <c r="A96" s="324">
        <v>236</v>
      </c>
      <c r="B96" s="190">
        <v>26638</v>
      </c>
      <c r="C96" s="190">
        <v>43858</v>
      </c>
      <c r="D96" s="189">
        <v>47</v>
      </c>
      <c r="E96" s="4" t="s">
        <v>58</v>
      </c>
      <c r="F96" s="143" t="s">
        <v>117</v>
      </c>
      <c r="G96" s="142">
        <v>35.469095956490364</v>
      </c>
      <c r="H96" s="11" t="s">
        <v>59</v>
      </c>
      <c r="I96" s="281" t="s">
        <v>60</v>
      </c>
      <c r="J96" s="260">
        <v>5</v>
      </c>
      <c r="K96" s="260">
        <v>80</v>
      </c>
      <c r="L96" s="260"/>
      <c r="M96" s="260"/>
      <c r="N96" s="260"/>
      <c r="O96" s="260"/>
      <c r="P96" s="260"/>
      <c r="Q96" s="260"/>
      <c r="R96" s="260"/>
      <c r="S96" s="260"/>
      <c r="T96" s="260"/>
      <c r="U96" s="260"/>
      <c r="V96" s="260">
        <v>5</v>
      </c>
      <c r="W96" s="260">
        <v>10</v>
      </c>
      <c r="X96" s="260">
        <v>160</v>
      </c>
      <c r="Y96" s="260">
        <v>640</v>
      </c>
      <c r="Z96" s="260">
        <v>160</v>
      </c>
      <c r="AA96" s="260">
        <v>640</v>
      </c>
      <c r="AB96" s="260">
        <v>160</v>
      </c>
      <c r="AC96" s="260">
        <v>320</v>
      </c>
      <c r="AD96" s="260"/>
      <c r="AE96" s="260"/>
      <c r="AF96" s="260"/>
      <c r="AG96" s="260"/>
      <c r="AH96" s="198">
        <v>236</v>
      </c>
      <c r="AI96" s="272">
        <v>5</v>
      </c>
      <c r="AJ96" s="271">
        <v>20</v>
      </c>
      <c r="AK96" s="260"/>
      <c r="AL96" s="260"/>
      <c r="AM96" s="260"/>
      <c r="AN96" s="260"/>
      <c r="AO96" s="260"/>
      <c r="AP96" s="260"/>
      <c r="AQ96" s="260"/>
      <c r="AR96" s="260"/>
      <c r="AS96" s="260"/>
      <c r="AT96" s="260"/>
      <c r="AU96" s="260">
        <v>10</v>
      </c>
      <c r="AV96" s="271">
        <v>320</v>
      </c>
      <c r="AW96" s="260">
        <v>10</v>
      </c>
      <c r="AX96" s="271">
        <v>320</v>
      </c>
      <c r="AY96" s="260">
        <v>5</v>
      </c>
      <c r="AZ96" s="271">
        <v>160</v>
      </c>
      <c r="BA96" s="276">
        <v>5</v>
      </c>
      <c r="BB96" s="276">
        <v>160</v>
      </c>
      <c r="BC96" s="276"/>
      <c r="BD96" s="276"/>
      <c r="BE96" s="276">
        <v>5</v>
      </c>
      <c r="BF96" s="276">
        <v>160</v>
      </c>
      <c r="BG96" s="260">
        <v>5</v>
      </c>
      <c r="BH96" s="271">
        <v>160</v>
      </c>
      <c r="BI96" s="276"/>
      <c r="BJ96" s="276"/>
      <c r="BK96" s="276"/>
      <c r="BL96" s="275"/>
      <c r="BM96" s="323">
        <v>236</v>
      </c>
      <c r="BN96" s="272">
        <v>40</v>
      </c>
      <c r="BO96" s="270">
        <v>640</v>
      </c>
      <c r="BP96" s="272"/>
      <c r="BQ96" s="260"/>
      <c r="BR96" s="260"/>
      <c r="BS96" s="260"/>
      <c r="BT96" s="260"/>
      <c r="BU96" s="260"/>
      <c r="BV96" s="260">
        <v>5</v>
      </c>
      <c r="BW96" s="260">
        <v>640</v>
      </c>
      <c r="BX96" s="260"/>
      <c r="BY96" s="260"/>
      <c r="BZ96" s="260"/>
      <c r="CA96" s="260"/>
      <c r="CB96" s="260"/>
      <c r="CC96" s="260"/>
      <c r="CD96" s="260">
        <v>40</v>
      </c>
      <c r="CE96" s="260">
        <v>1280</v>
      </c>
      <c r="CF96" s="272"/>
      <c r="CG96" s="260"/>
      <c r="CH96" s="260"/>
      <c r="CI96" s="260"/>
      <c r="CJ96" s="260"/>
      <c r="CK96" s="260"/>
      <c r="CL96" s="260"/>
      <c r="CM96" s="260"/>
      <c r="CN96" s="260">
        <v>5</v>
      </c>
      <c r="CO96" s="260">
        <v>640</v>
      </c>
      <c r="CP96" s="260">
        <v>80</v>
      </c>
      <c r="CQ96" s="260">
        <v>640</v>
      </c>
      <c r="CR96" s="260">
        <v>80</v>
      </c>
      <c r="CS96" s="270">
        <v>320</v>
      </c>
      <c r="CT96" s="322">
        <v>236</v>
      </c>
      <c r="CU96" s="249">
        <f>Table2821115[[#This Row],[D28 - BR/18]]/Table2821115[[#This Row],[D0 - BR/18]]</f>
        <v>2</v>
      </c>
      <c r="CV96" s="248">
        <f>Table2821115[[#This Row],[D28 - KS/17]]/Table2821115[[#This Row],[D0 - KS/17]]</f>
        <v>32</v>
      </c>
      <c r="CW96" s="248">
        <f>Table2821115[[#This Row],[D28 - Phu/13]]/Table2821115[[#This Row],[D0 - Phu/13]]</f>
        <v>32</v>
      </c>
      <c r="CX96" s="248">
        <f>Table2821115[[#This Row],[D28 - CO/17]]/Table2821115[[#This Row],[D0 - CO/17]]</f>
        <v>8</v>
      </c>
      <c r="CY96" s="248">
        <f>LOG(Table2821115[[#This Row],[BR/18 Fold]],2)</f>
        <v>1</v>
      </c>
      <c r="CZ96" s="248">
        <f>LOG(Table2821115[[#This Row],[KS/17 Fold]],2)</f>
        <v>5</v>
      </c>
      <c r="DA96" s="248">
        <f>LOG(Table2821115[[#This Row],[Phu/13 Fold]],2)</f>
        <v>5</v>
      </c>
      <c r="DB96" s="248">
        <f>LOG(Table2821115[[#This Row],[CO/17 Fold]],2)</f>
        <v>3</v>
      </c>
      <c r="DC96" s="248">
        <f>SUM(Table2821115[[#This Row],[BR/18 Log2]:[CO/17 Log2]])</f>
        <v>14</v>
      </c>
    </row>
    <row r="97" spans="1:107" ht="24" customHeight="1">
      <c r="A97" s="321">
        <v>238</v>
      </c>
      <c r="B97" s="183">
        <v>36206</v>
      </c>
      <c r="C97" s="183">
        <v>43804</v>
      </c>
      <c r="D97" s="182">
        <v>20</v>
      </c>
      <c r="E97" s="3" t="s">
        <v>61</v>
      </c>
      <c r="F97" s="143" t="s">
        <v>116</v>
      </c>
      <c r="G97" s="142">
        <v>28.494515933434101</v>
      </c>
      <c r="H97" s="11" t="s">
        <v>59</v>
      </c>
      <c r="I97" s="281" t="s">
        <v>60</v>
      </c>
      <c r="J97" s="260">
        <v>5</v>
      </c>
      <c r="K97" s="260">
        <v>5</v>
      </c>
      <c r="L97" s="260"/>
      <c r="M97" s="260"/>
      <c r="N97" s="260"/>
      <c r="O97" s="260"/>
      <c r="P97" s="260"/>
      <c r="Q97" s="260"/>
      <c r="R97" s="260"/>
      <c r="S97" s="260"/>
      <c r="T97" s="260"/>
      <c r="U97" s="260"/>
      <c r="V97" s="260">
        <v>5</v>
      </c>
      <c r="W97" s="260">
        <v>10</v>
      </c>
      <c r="X97" s="260">
        <v>160</v>
      </c>
      <c r="Y97" s="260">
        <v>160</v>
      </c>
      <c r="Z97" s="260">
        <v>160</v>
      </c>
      <c r="AA97" s="260">
        <v>160</v>
      </c>
      <c r="AB97" s="260">
        <v>160</v>
      </c>
      <c r="AC97" s="260">
        <v>160</v>
      </c>
      <c r="AD97" s="260"/>
      <c r="AE97" s="260"/>
      <c r="AF97" s="260"/>
      <c r="AG97" s="260"/>
      <c r="AH97" s="32">
        <v>238</v>
      </c>
      <c r="AI97" s="272">
        <v>160</v>
      </c>
      <c r="AJ97" s="271">
        <v>640</v>
      </c>
      <c r="AK97" s="260"/>
      <c r="AL97" s="260"/>
      <c r="AM97" s="260"/>
      <c r="AN97" s="260"/>
      <c r="AO97" s="260"/>
      <c r="AP97" s="260"/>
      <c r="AQ97" s="260"/>
      <c r="AR97" s="260"/>
      <c r="AS97" s="260"/>
      <c r="AT97" s="260"/>
      <c r="AU97" s="260">
        <v>40</v>
      </c>
      <c r="AV97" s="271">
        <v>1280</v>
      </c>
      <c r="AW97" s="260">
        <v>20</v>
      </c>
      <c r="AX97" s="271">
        <v>640</v>
      </c>
      <c r="AY97" s="260">
        <v>40</v>
      </c>
      <c r="AZ97" s="271">
        <v>1280</v>
      </c>
      <c r="BA97" s="276">
        <v>40</v>
      </c>
      <c r="BB97" s="276">
        <v>1280</v>
      </c>
      <c r="BC97" s="276"/>
      <c r="BD97" s="276"/>
      <c r="BE97" s="276">
        <v>5</v>
      </c>
      <c r="BF97" s="276">
        <v>5</v>
      </c>
      <c r="BG97" s="260">
        <v>40</v>
      </c>
      <c r="BH97" s="271">
        <v>2560</v>
      </c>
      <c r="BI97" s="276"/>
      <c r="BJ97" s="276"/>
      <c r="BK97" s="276"/>
      <c r="BL97" s="275"/>
      <c r="BM97" s="320">
        <v>238</v>
      </c>
      <c r="BN97" s="272">
        <v>40</v>
      </c>
      <c r="BO97" s="270">
        <v>40</v>
      </c>
      <c r="BP97" s="272"/>
      <c r="BQ97" s="260"/>
      <c r="BR97" s="260"/>
      <c r="BS97" s="260"/>
      <c r="BT97" s="260"/>
      <c r="BU97" s="260"/>
      <c r="BV97" s="260">
        <v>5</v>
      </c>
      <c r="BW97" s="260">
        <v>160</v>
      </c>
      <c r="BX97" s="260"/>
      <c r="BY97" s="260"/>
      <c r="BZ97" s="260"/>
      <c r="CA97" s="260"/>
      <c r="CB97" s="260"/>
      <c r="CC97" s="260"/>
      <c r="CD97" s="260">
        <v>160</v>
      </c>
      <c r="CE97" s="260">
        <v>320</v>
      </c>
      <c r="CF97" s="272"/>
      <c r="CG97" s="260"/>
      <c r="CH97" s="260"/>
      <c r="CI97" s="260"/>
      <c r="CJ97" s="260"/>
      <c r="CK97" s="260"/>
      <c r="CL97" s="260"/>
      <c r="CM97" s="260"/>
      <c r="CN97" s="260">
        <v>40</v>
      </c>
      <c r="CO97" s="260">
        <v>40</v>
      </c>
      <c r="CP97" s="260">
        <v>5</v>
      </c>
      <c r="CQ97" s="260">
        <v>80</v>
      </c>
      <c r="CR97" s="260">
        <v>20</v>
      </c>
      <c r="CS97" s="270">
        <v>40</v>
      </c>
      <c r="CT97" s="319">
        <v>238</v>
      </c>
      <c r="CU97" s="249">
        <f>Table2821115[[#This Row],[D28 - BR/18]]/Table2821115[[#This Row],[D0 - BR/18]]</f>
        <v>1</v>
      </c>
      <c r="CV97" s="248">
        <f>Table2821115[[#This Row],[D28 - KS/17]]/Table2821115[[#This Row],[D0 - KS/17]]</f>
        <v>1</v>
      </c>
      <c r="CW97" s="248">
        <f>Table2821115[[#This Row],[D28 - Phu/13]]/Table2821115[[#This Row],[D0 - Phu/13]]</f>
        <v>2</v>
      </c>
      <c r="CX97" s="248">
        <f>Table2821115[[#This Row],[D28 - CO/17]]/Table2821115[[#This Row],[D0 - CO/17]]</f>
        <v>16</v>
      </c>
      <c r="CY97" s="248">
        <f>LOG(Table2821115[[#This Row],[BR/18 Fold]],2)</f>
        <v>0</v>
      </c>
      <c r="CZ97" s="248">
        <f>LOG(Table2821115[[#This Row],[KS/17 Fold]],2)</f>
        <v>0</v>
      </c>
      <c r="DA97" s="248">
        <f>LOG(Table2821115[[#This Row],[Phu/13 Fold]],2)</f>
        <v>1</v>
      </c>
      <c r="DB97" s="248">
        <f>LOG(Table2821115[[#This Row],[CO/17 Fold]],2)</f>
        <v>4</v>
      </c>
      <c r="DC97" s="248">
        <f>SUM(Table2821115[[#This Row],[BR/18 Log2]:[CO/17 Log2]])</f>
        <v>5</v>
      </c>
    </row>
    <row r="98" spans="1:107" ht="24" customHeight="1">
      <c r="A98" s="321">
        <v>243</v>
      </c>
      <c r="B98" s="183">
        <v>34285</v>
      </c>
      <c r="C98" s="183">
        <v>43847</v>
      </c>
      <c r="D98" s="182">
        <v>26</v>
      </c>
      <c r="E98" s="3" t="s">
        <v>61</v>
      </c>
      <c r="F98" s="143" t="s">
        <v>121</v>
      </c>
      <c r="G98" s="142">
        <v>27.734966712536973</v>
      </c>
      <c r="H98" s="11" t="s">
        <v>59</v>
      </c>
      <c r="I98" s="281" t="s">
        <v>60</v>
      </c>
      <c r="J98" s="260">
        <v>5</v>
      </c>
      <c r="K98" s="260">
        <v>5</v>
      </c>
      <c r="L98" s="260"/>
      <c r="M98" s="260"/>
      <c r="N98" s="260"/>
      <c r="O98" s="260"/>
      <c r="P98" s="260"/>
      <c r="Q98" s="260"/>
      <c r="R98" s="260"/>
      <c r="S98" s="260"/>
      <c r="T98" s="260"/>
      <c r="U98" s="260"/>
      <c r="V98" s="260">
        <v>5</v>
      </c>
      <c r="W98" s="260">
        <v>10</v>
      </c>
      <c r="X98" s="260">
        <v>40</v>
      </c>
      <c r="Y98" s="260">
        <v>80</v>
      </c>
      <c r="Z98" s="260">
        <v>40</v>
      </c>
      <c r="AA98" s="260">
        <v>80</v>
      </c>
      <c r="AB98" s="260">
        <v>5</v>
      </c>
      <c r="AC98" s="260">
        <v>40</v>
      </c>
      <c r="AD98" s="260"/>
      <c r="AE98" s="260"/>
      <c r="AF98" s="260"/>
      <c r="AG98" s="260"/>
      <c r="AH98" s="32">
        <v>243</v>
      </c>
      <c r="AI98" s="272">
        <v>80</v>
      </c>
      <c r="AJ98" s="271">
        <v>80</v>
      </c>
      <c r="AK98" s="260"/>
      <c r="AL98" s="260"/>
      <c r="AM98" s="260"/>
      <c r="AN98" s="260"/>
      <c r="AO98" s="260"/>
      <c r="AP98" s="260"/>
      <c r="AQ98" s="260"/>
      <c r="AR98" s="260"/>
      <c r="AS98" s="260"/>
      <c r="AT98" s="260"/>
      <c r="AU98" s="260">
        <v>160</v>
      </c>
      <c r="AV98" s="271">
        <v>160</v>
      </c>
      <c r="AW98" s="260">
        <v>40</v>
      </c>
      <c r="AX98" s="271">
        <v>80</v>
      </c>
      <c r="AY98" s="260">
        <v>80</v>
      </c>
      <c r="AZ98" s="271">
        <v>80</v>
      </c>
      <c r="BA98" s="276">
        <v>80</v>
      </c>
      <c r="BB98" s="276">
        <v>160</v>
      </c>
      <c r="BC98" s="276"/>
      <c r="BD98" s="276"/>
      <c r="BE98" s="276">
        <v>5</v>
      </c>
      <c r="BF98" s="276">
        <v>5</v>
      </c>
      <c r="BG98" s="260">
        <v>160</v>
      </c>
      <c r="BH98" s="271">
        <v>160</v>
      </c>
      <c r="BI98" s="276"/>
      <c r="BJ98" s="276"/>
      <c r="BK98" s="276"/>
      <c r="BL98" s="275"/>
      <c r="BM98" s="320">
        <v>243</v>
      </c>
      <c r="BN98" s="272">
        <v>80</v>
      </c>
      <c r="BO98" s="270">
        <v>80</v>
      </c>
      <c r="BP98" s="272"/>
      <c r="BQ98" s="260"/>
      <c r="BR98" s="260"/>
      <c r="BS98" s="260"/>
      <c r="BT98" s="260"/>
      <c r="BU98" s="260"/>
      <c r="BV98" s="260">
        <v>5</v>
      </c>
      <c r="BW98" s="260">
        <v>160</v>
      </c>
      <c r="BX98" s="260"/>
      <c r="BY98" s="260"/>
      <c r="BZ98" s="260"/>
      <c r="CA98" s="260"/>
      <c r="CB98" s="260"/>
      <c r="CC98" s="260"/>
      <c r="CD98" s="260">
        <v>80</v>
      </c>
      <c r="CE98" s="260">
        <v>160</v>
      </c>
      <c r="CF98" s="272"/>
      <c r="CG98" s="260"/>
      <c r="CH98" s="260"/>
      <c r="CI98" s="260"/>
      <c r="CJ98" s="260"/>
      <c r="CK98" s="260"/>
      <c r="CL98" s="260"/>
      <c r="CM98" s="260"/>
      <c r="CN98" s="260">
        <v>5</v>
      </c>
      <c r="CO98" s="260">
        <v>20</v>
      </c>
      <c r="CP98" s="260">
        <v>5</v>
      </c>
      <c r="CQ98" s="260">
        <v>40</v>
      </c>
      <c r="CR98" s="260">
        <v>5</v>
      </c>
      <c r="CS98" s="270">
        <v>20</v>
      </c>
      <c r="CT98" s="319">
        <v>243</v>
      </c>
      <c r="CU98" s="249">
        <f>Table2821115[[#This Row],[D28 - BR/18]]/Table2821115[[#This Row],[D0 - BR/18]]</f>
        <v>8</v>
      </c>
      <c r="CV98" s="248">
        <f>Table2821115[[#This Row],[D28 - KS/17]]/Table2821115[[#This Row],[D0 - KS/17]]</f>
        <v>1</v>
      </c>
      <c r="CW98" s="248">
        <f>Table2821115[[#This Row],[D28 - Phu/13]]/Table2821115[[#This Row],[D0 - Phu/13]]</f>
        <v>2</v>
      </c>
      <c r="CX98" s="248">
        <f>Table2821115[[#This Row],[D28 - CO/17]]/Table2821115[[#This Row],[D0 - CO/17]]</f>
        <v>8</v>
      </c>
      <c r="CY98" s="248">
        <f>LOG(Table2821115[[#This Row],[BR/18 Fold]],2)</f>
        <v>3</v>
      </c>
      <c r="CZ98" s="248">
        <f>LOG(Table2821115[[#This Row],[KS/17 Fold]],2)</f>
        <v>0</v>
      </c>
      <c r="DA98" s="248">
        <f>LOG(Table2821115[[#This Row],[Phu/13 Fold]],2)</f>
        <v>1</v>
      </c>
      <c r="DB98" s="248">
        <f>LOG(Table2821115[[#This Row],[CO/17 Fold]],2)</f>
        <v>3</v>
      </c>
      <c r="DC98" s="248">
        <f>SUM(Table2821115[[#This Row],[BR/18 Log2]:[CO/17 Log2]])</f>
        <v>7</v>
      </c>
    </row>
    <row r="99" spans="1:107" ht="24" customHeight="1">
      <c r="A99" s="321">
        <v>244</v>
      </c>
      <c r="B99" s="183">
        <v>31713</v>
      </c>
      <c r="C99" s="183">
        <v>43738</v>
      </c>
      <c r="D99" s="182">
        <v>32</v>
      </c>
      <c r="E99" s="3" t="s">
        <v>61</v>
      </c>
      <c r="F99" s="143" t="s">
        <v>117</v>
      </c>
      <c r="G99" s="142">
        <v>24.447278911564631</v>
      </c>
      <c r="H99" s="11" t="s">
        <v>59</v>
      </c>
      <c r="I99" s="281" t="s">
        <v>60</v>
      </c>
      <c r="J99" s="260">
        <v>5</v>
      </c>
      <c r="K99" s="260">
        <v>5</v>
      </c>
      <c r="L99" s="260"/>
      <c r="M99" s="260"/>
      <c r="N99" s="260"/>
      <c r="O99" s="260"/>
      <c r="P99" s="260"/>
      <c r="Q99" s="260"/>
      <c r="R99" s="260"/>
      <c r="S99" s="260"/>
      <c r="T99" s="260"/>
      <c r="U99" s="260"/>
      <c r="V99" s="260">
        <v>5</v>
      </c>
      <c r="W99" s="260">
        <v>5</v>
      </c>
      <c r="X99" s="260">
        <v>80</v>
      </c>
      <c r="Y99" s="260">
        <v>80</v>
      </c>
      <c r="Z99" s="260">
        <v>80</v>
      </c>
      <c r="AA99" s="260">
        <v>80</v>
      </c>
      <c r="AB99" s="260">
        <v>40</v>
      </c>
      <c r="AC99" s="260">
        <v>40</v>
      </c>
      <c r="AD99" s="260"/>
      <c r="AE99" s="260"/>
      <c r="AF99" s="260"/>
      <c r="AG99" s="260"/>
      <c r="AH99" s="32">
        <v>244</v>
      </c>
      <c r="AI99" s="272">
        <v>20</v>
      </c>
      <c r="AJ99" s="271">
        <v>40</v>
      </c>
      <c r="AK99" s="260"/>
      <c r="AL99" s="260"/>
      <c r="AM99" s="260"/>
      <c r="AN99" s="260"/>
      <c r="AO99" s="260"/>
      <c r="AP99" s="260"/>
      <c r="AQ99" s="260"/>
      <c r="AR99" s="260"/>
      <c r="AS99" s="260"/>
      <c r="AT99" s="260"/>
      <c r="AU99" s="260">
        <v>80</v>
      </c>
      <c r="AV99" s="271">
        <v>160</v>
      </c>
      <c r="AW99" s="260">
        <v>40</v>
      </c>
      <c r="AX99" s="271">
        <v>320</v>
      </c>
      <c r="AY99" s="260">
        <v>40</v>
      </c>
      <c r="AZ99" s="271">
        <v>160</v>
      </c>
      <c r="BA99" s="276">
        <v>40</v>
      </c>
      <c r="BB99" s="276">
        <v>160</v>
      </c>
      <c r="BC99" s="276"/>
      <c r="BD99" s="276"/>
      <c r="BE99" s="276">
        <v>20</v>
      </c>
      <c r="BF99" s="276">
        <v>160</v>
      </c>
      <c r="BG99" s="260">
        <v>80</v>
      </c>
      <c r="BH99" s="271">
        <v>160</v>
      </c>
      <c r="BI99" s="276"/>
      <c r="BJ99" s="276"/>
      <c r="BK99" s="276"/>
      <c r="BL99" s="275"/>
      <c r="BM99" s="320">
        <v>244</v>
      </c>
      <c r="BN99" s="272">
        <v>160</v>
      </c>
      <c r="BO99" s="270">
        <v>160</v>
      </c>
      <c r="BP99" s="272"/>
      <c r="BQ99" s="260"/>
      <c r="BR99" s="260"/>
      <c r="BS99" s="260"/>
      <c r="BT99" s="260"/>
      <c r="BU99" s="260"/>
      <c r="BV99" s="260">
        <v>80</v>
      </c>
      <c r="BW99" s="260">
        <v>80</v>
      </c>
      <c r="BX99" s="260"/>
      <c r="BY99" s="260"/>
      <c r="BZ99" s="260"/>
      <c r="CA99" s="260"/>
      <c r="CB99" s="260"/>
      <c r="CC99" s="260"/>
      <c r="CD99" s="260">
        <v>160</v>
      </c>
      <c r="CE99" s="260">
        <v>160</v>
      </c>
      <c r="CF99" s="272"/>
      <c r="CG99" s="260"/>
      <c r="CH99" s="260"/>
      <c r="CI99" s="260"/>
      <c r="CJ99" s="260"/>
      <c r="CK99" s="260"/>
      <c r="CL99" s="260"/>
      <c r="CM99" s="260"/>
      <c r="CN99" s="260">
        <v>40</v>
      </c>
      <c r="CO99" s="260">
        <v>40</v>
      </c>
      <c r="CP99" s="260">
        <v>20</v>
      </c>
      <c r="CQ99" s="260">
        <v>20</v>
      </c>
      <c r="CR99" s="260">
        <v>5</v>
      </c>
      <c r="CS99" s="270">
        <v>10</v>
      </c>
      <c r="CT99" s="319">
        <v>244</v>
      </c>
      <c r="CU99" s="249">
        <f>Table2821115[[#This Row],[D28 - BR/18]]/Table2821115[[#This Row],[D0 - BR/18]]</f>
        <v>1</v>
      </c>
      <c r="CV99" s="248">
        <f>Table2821115[[#This Row],[D28 - KS/17]]/Table2821115[[#This Row],[D0 - KS/17]]</f>
        <v>8</v>
      </c>
      <c r="CW99" s="248">
        <f>Table2821115[[#This Row],[D28 - Phu/13]]/Table2821115[[#This Row],[D0 - Phu/13]]</f>
        <v>1</v>
      </c>
      <c r="CX99" s="248">
        <f>Table2821115[[#This Row],[D28 - CO/17]]/Table2821115[[#This Row],[D0 - CO/17]]</f>
        <v>1</v>
      </c>
      <c r="CY99" s="248">
        <f>LOG(Table2821115[[#This Row],[BR/18 Fold]],2)</f>
        <v>0</v>
      </c>
      <c r="CZ99" s="248">
        <f>LOG(Table2821115[[#This Row],[KS/17 Fold]],2)</f>
        <v>3</v>
      </c>
      <c r="DA99" s="248">
        <f>LOG(Table2821115[[#This Row],[Phu/13 Fold]],2)</f>
        <v>0</v>
      </c>
      <c r="DB99" s="248">
        <f>LOG(Table2821115[[#This Row],[CO/17 Fold]],2)</f>
        <v>0</v>
      </c>
      <c r="DC99" s="248">
        <f>SUM(Table2821115[[#This Row],[BR/18 Log2]:[CO/17 Log2]])</f>
        <v>3</v>
      </c>
    </row>
    <row r="100" spans="1:107" ht="24" customHeight="1">
      <c r="A100" s="324">
        <v>246</v>
      </c>
      <c r="B100" s="190">
        <v>25941</v>
      </c>
      <c r="C100" s="190">
        <v>43783</v>
      </c>
      <c r="D100" s="189">
        <v>48</v>
      </c>
      <c r="E100" s="3" t="s">
        <v>61</v>
      </c>
      <c r="F100" s="143" t="s">
        <v>116</v>
      </c>
      <c r="G100" s="142">
        <v>26.375690269370924</v>
      </c>
      <c r="H100" s="11" t="s">
        <v>59</v>
      </c>
      <c r="I100" s="281" t="s">
        <v>60</v>
      </c>
      <c r="J100" s="260">
        <v>5</v>
      </c>
      <c r="K100" s="260">
        <v>5</v>
      </c>
      <c r="L100" s="260"/>
      <c r="M100" s="260"/>
      <c r="N100" s="260"/>
      <c r="O100" s="260"/>
      <c r="P100" s="260"/>
      <c r="Q100" s="260"/>
      <c r="R100" s="260"/>
      <c r="S100" s="260"/>
      <c r="T100" s="260"/>
      <c r="U100" s="260"/>
      <c r="V100" s="260">
        <v>5</v>
      </c>
      <c r="W100" s="260">
        <v>5</v>
      </c>
      <c r="X100" s="260">
        <v>10</v>
      </c>
      <c r="Y100" s="260">
        <v>20</v>
      </c>
      <c r="Z100" s="260">
        <v>20</v>
      </c>
      <c r="AA100" s="260">
        <v>40</v>
      </c>
      <c r="AB100" s="260">
        <v>10</v>
      </c>
      <c r="AC100" s="260">
        <v>20</v>
      </c>
      <c r="AD100" s="260"/>
      <c r="AE100" s="260"/>
      <c r="AF100" s="260"/>
      <c r="AG100" s="260"/>
      <c r="AH100" s="198">
        <v>246</v>
      </c>
      <c r="AI100" s="272">
        <v>5</v>
      </c>
      <c r="AJ100" s="271">
        <v>5</v>
      </c>
      <c r="AK100" s="260"/>
      <c r="AL100" s="260"/>
      <c r="AM100" s="260"/>
      <c r="AN100" s="260"/>
      <c r="AO100" s="260"/>
      <c r="AP100" s="260"/>
      <c r="AQ100" s="260"/>
      <c r="AR100" s="260"/>
      <c r="AS100" s="260"/>
      <c r="AT100" s="260"/>
      <c r="AU100" s="260">
        <v>10</v>
      </c>
      <c r="AV100" s="271">
        <v>10</v>
      </c>
      <c r="AW100" s="260">
        <v>20</v>
      </c>
      <c r="AX100" s="271">
        <v>20</v>
      </c>
      <c r="AY100" s="260">
        <v>5</v>
      </c>
      <c r="AZ100" s="271">
        <v>10</v>
      </c>
      <c r="BA100" s="276">
        <v>10</v>
      </c>
      <c r="BB100" s="276">
        <v>10</v>
      </c>
      <c r="BC100" s="276"/>
      <c r="BD100" s="276"/>
      <c r="BE100" s="276">
        <v>20</v>
      </c>
      <c r="BF100" s="276">
        <v>20</v>
      </c>
      <c r="BG100" s="260">
        <v>10</v>
      </c>
      <c r="BH100" s="271">
        <v>10</v>
      </c>
      <c r="BI100" s="276"/>
      <c r="BJ100" s="276"/>
      <c r="BK100" s="276"/>
      <c r="BL100" s="275"/>
      <c r="BM100" s="323">
        <v>246</v>
      </c>
      <c r="BN100" s="272">
        <v>40</v>
      </c>
      <c r="BO100" s="270">
        <v>40</v>
      </c>
      <c r="BP100" s="272"/>
      <c r="BQ100" s="260"/>
      <c r="BR100" s="260"/>
      <c r="BS100" s="260"/>
      <c r="BT100" s="260"/>
      <c r="BU100" s="260"/>
      <c r="BV100" s="260">
        <v>5</v>
      </c>
      <c r="BW100" s="260">
        <v>20</v>
      </c>
      <c r="BX100" s="260"/>
      <c r="BY100" s="260"/>
      <c r="BZ100" s="260"/>
      <c r="CA100" s="260"/>
      <c r="CB100" s="260"/>
      <c r="CC100" s="260"/>
      <c r="CD100" s="260">
        <v>40</v>
      </c>
      <c r="CE100" s="260">
        <v>40</v>
      </c>
      <c r="CF100" s="272"/>
      <c r="CG100" s="260"/>
      <c r="CH100" s="260"/>
      <c r="CI100" s="260"/>
      <c r="CJ100" s="260"/>
      <c r="CK100" s="260"/>
      <c r="CL100" s="260"/>
      <c r="CM100" s="260"/>
      <c r="CN100" s="260">
        <v>20</v>
      </c>
      <c r="CO100" s="260">
        <v>20</v>
      </c>
      <c r="CP100" s="260">
        <v>40</v>
      </c>
      <c r="CQ100" s="260">
        <v>80</v>
      </c>
      <c r="CR100" s="260">
        <v>40</v>
      </c>
      <c r="CS100" s="270">
        <v>40</v>
      </c>
      <c r="CT100" s="322">
        <v>246</v>
      </c>
      <c r="CU100" s="249">
        <f>Table2821115[[#This Row],[D28 - BR/18]]/Table2821115[[#This Row],[D0 - BR/18]]</f>
        <v>2</v>
      </c>
      <c r="CV100" s="248">
        <f>Table2821115[[#This Row],[D28 - KS/17]]/Table2821115[[#This Row],[D0 - KS/17]]</f>
        <v>1</v>
      </c>
      <c r="CW100" s="248">
        <f>Table2821115[[#This Row],[D28 - Phu/13]]/Table2821115[[#This Row],[D0 - Phu/13]]</f>
        <v>1</v>
      </c>
      <c r="CX100" s="248">
        <f>Table2821115[[#This Row],[D28 - CO/17]]/Table2821115[[#This Row],[D0 - CO/17]]</f>
        <v>2</v>
      </c>
      <c r="CY100" s="248">
        <f>LOG(Table2821115[[#This Row],[BR/18 Fold]],2)</f>
        <v>1</v>
      </c>
      <c r="CZ100" s="248">
        <f>LOG(Table2821115[[#This Row],[KS/17 Fold]],2)</f>
        <v>0</v>
      </c>
      <c r="DA100" s="248">
        <f>LOG(Table2821115[[#This Row],[Phu/13 Fold]],2)</f>
        <v>0</v>
      </c>
      <c r="DB100" s="248">
        <f>LOG(Table2821115[[#This Row],[CO/17 Fold]],2)</f>
        <v>1</v>
      </c>
      <c r="DC100" s="248">
        <f>SUM(Table2821115[[#This Row],[BR/18 Log2]:[CO/17 Log2]])</f>
        <v>2</v>
      </c>
    </row>
    <row r="101" spans="1:107" ht="24" customHeight="1">
      <c r="A101" s="318">
        <v>248</v>
      </c>
      <c r="B101" s="180">
        <v>20705</v>
      </c>
      <c r="C101" s="180">
        <v>43754</v>
      </c>
      <c r="D101" s="179">
        <v>63</v>
      </c>
      <c r="E101" s="3" t="s">
        <v>61</v>
      </c>
      <c r="F101" s="143" t="s">
        <v>116</v>
      </c>
      <c r="G101" s="142">
        <v>25.028025610207095</v>
      </c>
      <c r="H101" s="11" t="s">
        <v>59</v>
      </c>
      <c r="I101" s="281" t="s">
        <v>60</v>
      </c>
      <c r="J101" s="260">
        <v>5</v>
      </c>
      <c r="K101" s="260">
        <v>5</v>
      </c>
      <c r="L101" s="260"/>
      <c r="M101" s="260"/>
      <c r="N101" s="260"/>
      <c r="O101" s="260"/>
      <c r="P101" s="260"/>
      <c r="Q101" s="260"/>
      <c r="R101" s="260"/>
      <c r="S101" s="260"/>
      <c r="T101" s="260"/>
      <c r="U101" s="260"/>
      <c r="V101" s="260">
        <v>5</v>
      </c>
      <c r="W101" s="260">
        <v>5</v>
      </c>
      <c r="X101" s="260">
        <v>40</v>
      </c>
      <c r="Y101" s="260">
        <v>80</v>
      </c>
      <c r="Z101" s="260">
        <v>40</v>
      </c>
      <c r="AA101" s="260">
        <v>80</v>
      </c>
      <c r="AB101" s="260">
        <v>20</v>
      </c>
      <c r="AC101" s="260">
        <v>40</v>
      </c>
      <c r="AD101" s="260"/>
      <c r="AE101" s="260"/>
      <c r="AF101" s="260"/>
      <c r="AG101" s="260"/>
      <c r="AH101" s="195">
        <v>248</v>
      </c>
      <c r="AI101" s="272">
        <v>40</v>
      </c>
      <c r="AJ101" s="271">
        <v>80</v>
      </c>
      <c r="AK101" s="260"/>
      <c r="AL101" s="260"/>
      <c r="AM101" s="260"/>
      <c r="AN101" s="260"/>
      <c r="AO101" s="260"/>
      <c r="AP101" s="260"/>
      <c r="AQ101" s="260"/>
      <c r="AR101" s="260"/>
      <c r="AS101" s="260"/>
      <c r="AT101" s="260"/>
      <c r="AU101" s="260">
        <v>160</v>
      </c>
      <c r="AV101" s="271">
        <v>160</v>
      </c>
      <c r="AW101" s="260">
        <v>80</v>
      </c>
      <c r="AX101" s="271">
        <v>160</v>
      </c>
      <c r="AY101" s="260">
        <v>80</v>
      </c>
      <c r="AZ101" s="271">
        <v>80</v>
      </c>
      <c r="BA101" s="276">
        <v>40</v>
      </c>
      <c r="BB101" s="276">
        <v>80</v>
      </c>
      <c r="BC101" s="276"/>
      <c r="BD101" s="276"/>
      <c r="BE101" s="276">
        <v>10</v>
      </c>
      <c r="BF101" s="276">
        <v>20</v>
      </c>
      <c r="BG101" s="260">
        <v>80</v>
      </c>
      <c r="BH101" s="271">
        <v>80</v>
      </c>
      <c r="BI101" s="276"/>
      <c r="BJ101" s="276"/>
      <c r="BK101" s="276"/>
      <c r="BL101" s="275"/>
      <c r="BM101" s="316">
        <v>248</v>
      </c>
      <c r="BN101" s="272">
        <v>20</v>
      </c>
      <c r="BO101" s="270">
        <v>40</v>
      </c>
      <c r="BP101" s="272"/>
      <c r="BQ101" s="260"/>
      <c r="BR101" s="260"/>
      <c r="BS101" s="260"/>
      <c r="BT101" s="260"/>
      <c r="BU101" s="260"/>
      <c r="BV101" s="260">
        <v>5</v>
      </c>
      <c r="BW101" s="260">
        <v>20</v>
      </c>
      <c r="BX101" s="260"/>
      <c r="BY101" s="260"/>
      <c r="BZ101" s="260"/>
      <c r="CA101" s="260"/>
      <c r="CB101" s="260"/>
      <c r="CC101" s="260"/>
      <c r="CD101" s="260">
        <v>20</v>
      </c>
      <c r="CE101" s="260">
        <v>20</v>
      </c>
      <c r="CF101" s="272"/>
      <c r="CG101" s="260"/>
      <c r="CH101" s="260"/>
      <c r="CI101" s="260"/>
      <c r="CJ101" s="260"/>
      <c r="CK101" s="260"/>
      <c r="CL101" s="260"/>
      <c r="CM101" s="260"/>
      <c r="CN101" s="260">
        <v>5</v>
      </c>
      <c r="CO101" s="260">
        <v>10</v>
      </c>
      <c r="CP101" s="260">
        <v>10</v>
      </c>
      <c r="CQ101" s="260">
        <v>20</v>
      </c>
      <c r="CR101" s="260">
        <v>10</v>
      </c>
      <c r="CS101" s="270">
        <v>10</v>
      </c>
      <c r="CT101" s="315">
        <v>248</v>
      </c>
      <c r="CU101" s="249">
        <f>Table2821115[[#This Row],[D28 - BR/18]]/Table2821115[[#This Row],[D0 - BR/18]]</f>
        <v>2</v>
      </c>
      <c r="CV101" s="248">
        <f>Table2821115[[#This Row],[D28 - KS/17]]/Table2821115[[#This Row],[D0 - KS/17]]</f>
        <v>2</v>
      </c>
      <c r="CW101" s="248">
        <f>Table2821115[[#This Row],[D28 - Phu/13]]/Table2821115[[#This Row],[D0 - Phu/13]]</f>
        <v>1</v>
      </c>
      <c r="CX101" s="248">
        <f>Table2821115[[#This Row],[D28 - CO/17]]/Table2821115[[#This Row],[D0 - CO/17]]</f>
        <v>2</v>
      </c>
      <c r="CY101" s="248">
        <f>LOG(Table2821115[[#This Row],[BR/18 Fold]],2)</f>
        <v>1</v>
      </c>
      <c r="CZ101" s="248">
        <f>LOG(Table2821115[[#This Row],[KS/17 Fold]],2)</f>
        <v>1</v>
      </c>
      <c r="DA101" s="248">
        <f>LOG(Table2821115[[#This Row],[Phu/13 Fold]],2)</f>
        <v>0</v>
      </c>
      <c r="DB101" s="248">
        <f>LOG(Table2821115[[#This Row],[CO/17 Fold]],2)</f>
        <v>1</v>
      </c>
      <c r="DC101" s="248">
        <f>SUM(Table2821115[[#This Row],[BR/18 Log2]:[CO/17 Log2]])</f>
        <v>3</v>
      </c>
    </row>
    <row r="102" spans="1:107" ht="24" customHeight="1">
      <c r="A102" s="324">
        <v>249</v>
      </c>
      <c r="B102" s="190">
        <v>28210</v>
      </c>
      <c r="C102" s="190">
        <v>43837</v>
      </c>
      <c r="D102" s="189">
        <v>42</v>
      </c>
      <c r="E102" s="3" t="s">
        <v>61</v>
      </c>
      <c r="F102" s="143" t="s">
        <v>116</v>
      </c>
      <c r="G102" s="142">
        <v>31.953124999999993</v>
      </c>
      <c r="H102" s="11" t="s">
        <v>59</v>
      </c>
      <c r="I102" s="281" t="s">
        <v>60</v>
      </c>
      <c r="J102" s="260">
        <v>5</v>
      </c>
      <c r="K102" s="260">
        <v>5</v>
      </c>
      <c r="L102" s="260"/>
      <c r="M102" s="260"/>
      <c r="N102" s="260"/>
      <c r="O102" s="260"/>
      <c r="P102" s="260"/>
      <c r="Q102" s="260"/>
      <c r="R102" s="260"/>
      <c r="S102" s="260"/>
      <c r="T102" s="260"/>
      <c r="U102" s="260"/>
      <c r="V102" s="260">
        <v>5</v>
      </c>
      <c r="W102" s="260">
        <v>5</v>
      </c>
      <c r="X102" s="260">
        <v>5</v>
      </c>
      <c r="Y102" s="260">
        <v>20</v>
      </c>
      <c r="Z102" s="260">
        <v>20</v>
      </c>
      <c r="AA102" s="260">
        <v>20</v>
      </c>
      <c r="AB102" s="260">
        <v>10</v>
      </c>
      <c r="AC102" s="260">
        <v>10</v>
      </c>
      <c r="AD102" s="260"/>
      <c r="AE102" s="260"/>
      <c r="AF102" s="260"/>
      <c r="AG102" s="260"/>
      <c r="AH102" s="198">
        <v>249</v>
      </c>
      <c r="AI102" s="272">
        <v>5</v>
      </c>
      <c r="AJ102" s="271">
        <v>10</v>
      </c>
      <c r="AK102" s="260"/>
      <c r="AL102" s="260"/>
      <c r="AM102" s="260"/>
      <c r="AN102" s="260"/>
      <c r="AO102" s="260"/>
      <c r="AP102" s="260"/>
      <c r="AQ102" s="260"/>
      <c r="AR102" s="260"/>
      <c r="AS102" s="260"/>
      <c r="AT102" s="260"/>
      <c r="AU102" s="260">
        <v>20</v>
      </c>
      <c r="AV102" s="271">
        <v>40</v>
      </c>
      <c r="AW102" s="260">
        <v>10</v>
      </c>
      <c r="AX102" s="271">
        <v>40</v>
      </c>
      <c r="AY102" s="260">
        <v>5</v>
      </c>
      <c r="AZ102" s="271">
        <v>5</v>
      </c>
      <c r="BA102" s="276">
        <v>5</v>
      </c>
      <c r="BB102" s="276">
        <v>5</v>
      </c>
      <c r="BC102" s="276"/>
      <c r="BD102" s="276"/>
      <c r="BE102" s="276">
        <v>5</v>
      </c>
      <c r="BF102" s="276">
        <v>40</v>
      </c>
      <c r="BG102" s="260">
        <v>10</v>
      </c>
      <c r="BH102" s="271">
        <v>20</v>
      </c>
      <c r="BI102" s="276"/>
      <c r="BJ102" s="276"/>
      <c r="BK102" s="276"/>
      <c r="BL102" s="275"/>
      <c r="BM102" s="323">
        <v>249</v>
      </c>
      <c r="BN102" s="272">
        <v>40</v>
      </c>
      <c r="BO102" s="270">
        <v>40</v>
      </c>
      <c r="BP102" s="272"/>
      <c r="BQ102" s="260"/>
      <c r="BR102" s="260"/>
      <c r="BS102" s="260"/>
      <c r="BT102" s="260"/>
      <c r="BU102" s="260"/>
      <c r="BV102" s="260">
        <v>5</v>
      </c>
      <c r="BW102" s="260">
        <v>40</v>
      </c>
      <c r="BX102" s="260"/>
      <c r="BY102" s="260"/>
      <c r="BZ102" s="260"/>
      <c r="CA102" s="260"/>
      <c r="CB102" s="260"/>
      <c r="CC102" s="260"/>
      <c r="CD102" s="260">
        <v>40</v>
      </c>
      <c r="CE102" s="260">
        <v>40</v>
      </c>
      <c r="CF102" s="272"/>
      <c r="CG102" s="260"/>
      <c r="CH102" s="260"/>
      <c r="CI102" s="260"/>
      <c r="CJ102" s="260"/>
      <c r="CK102" s="260"/>
      <c r="CL102" s="260"/>
      <c r="CM102" s="260"/>
      <c r="CN102" s="260">
        <v>10</v>
      </c>
      <c r="CO102" s="260">
        <v>80</v>
      </c>
      <c r="CP102" s="260">
        <v>80</v>
      </c>
      <c r="CQ102" s="260">
        <v>160</v>
      </c>
      <c r="CR102" s="260">
        <v>80</v>
      </c>
      <c r="CS102" s="270">
        <v>80</v>
      </c>
      <c r="CT102" s="322">
        <v>249</v>
      </c>
      <c r="CU102" s="249">
        <f>Table2821115[[#This Row],[D28 - BR/18]]/Table2821115[[#This Row],[D0 - BR/18]]</f>
        <v>1</v>
      </c>
      <c r="CV102" s="248">
        <f>Table2821115[[#This Row],[D28 - KS/17]]/Table2821115[[#This Row],[D0 - KS/17]]</f>
        <v>8</v>
      </c>
      <c r="CW102" s="248">
        <f>Table2821115[[#This Row],[D28 - Phu/13]]/Table2821115[[#This Row],[D0 - Phu/13]]</f>
        <v>1</v>
      </c>
      <c r="CX102" s="248">
        <f>Table2821115[[#This Row],[D28 - CO/17]]/Table2821115[[#This Row],[D0 - CO/17]]</f>
        <v>2</v>
      </c>
      <c r="CY102" s="248">
        <f>LOG(Table2821115[[#This Row],[BR/18 Fold]],2)</f>
        <v>0</v>
      </c>
      <c r="CZ102" s="248">
        <f>LOG(Table2821115[[#This Row],[KS/17 Fold]],2)</f>
        <v>3</v>
      </c>
      <c r="DA102" s="248">
        <f>LOG(Table2821115[[#This Row],[Phu/13 Fold]],2)</f>
        <v>0</v>
      </c>
      <c r="DB102" s="248">
        <f>LOG(Table2821115[[#This Row],[CO/17 Fold]],2)</f>
        <v>1</v>
      </c>
      <c r="DC102" s="248">
        <f>SUM(Table2821115[[#This Row],[BR/18 Log2]:[CO/17 Log2]])</f>
        <v>4</v>
      </c>
    </row>
    <row r="103" spans="1:107" ht="24" customHeight="1">
      <c r="A103" s="324">
        <v>251</v>
      </c>
      <c r="B103" s="190">
        <v>27033</v>
      </c>
      <c r="C103" s="190">
        <v>43813</v>
      </c>
      <c r="D103" s="189">
        <v>45</v>
      </c>
      <c r="E103" s="3" t="s">
        <v>61</v>
      </c>
      <c r="F103" s="143" t="s">
        <v>117</v>
      </c>
      <c r="G103" s="142">
        <v>59.105005275967244</v>
      </c>
      <c r="H103" s="11" t="s">
        <v>59</v>
      </c>
      <c r="I103" s="281" t="s">
        <v>60</v>
      </c>
      <c r="J103" s="260">
        <v>5</v>
      </c>
      <c r="K103" s="260">
        <v>20</v>
      </c>
      <c r="L103" s="260"/>
      <c r="M103" s="260"/>
      <c r="N103" s="260"/>
      <c r="O103" s="260"/>
      <c r="P103" s="260"/>
      <c r="Q103" s="260"/>
      <c r="R103" s="260"/>
      <c r="S103" s="260"/>
      <c r="T103" s="260"/>
      <c r="U103" s="260"/>
      <c r="V103" s="260">
        <v>5</v>
      </c>
      <c r="W103" s="260">
        <v>5</v>
      </c>
      <c r="X103" s="260">
        <v>10</v>
      </c>
      <c r="Y103" s="260">
        <v>160</v>
      </c>
      <c r="Z103" s="260">
        <v>10</v>
      </c>
      <c r="AA103" s="260">
        <v>160</v>
      </c>
      <c r="AB103" s="260">
        <v>10</v>
      </c>
      <c r="AC103" s="260">
        <v>80</v>
      </c>
      <c r="AD103" s="260"/>
      <c r="AE103" s="260"/>
      <c r="AF103" s="260"/>
      <c r="AG103" s="260"/>
      <c r="AH103" s="198">
        <v>251</v>
      </c>
      <c r="AI103" s="272">
        <v>10</v>
      </c>
      <c r="AJ103" s="271">
        <v>40</v>
      </c>
      <c r="AK103" s="260"/>
      <c r="AL103" s="260"/>
      <c r="AM103" s="260"/>
      <c r="AN103" s="260"/>
      <c r="AO103" s="260"/>
      <c r="AP103" s="260"/>
      <c r="AQ103" s="260"/>
      <c r="AR103" s="260"/>
      <c r="AS103" s="260"/>
      <c r="AT103" s="260"/>
      <c r="AU103" s="260">
        <v>5</v>
      </c>
      <c r="AV103" s="271">
        <v>160</v>
      </c>
      <c r="AW103" s="260">
        <v>5</v>
      </c>
      <c r="AX103" s="271">
        <v>160</v>
      </c>
      <c r="AY103" s="260">
        <v>5</v>
      </c>
      <c r="AZ103" s="271">
        <v>80</v>
      </c>
      <c r="BA103" s="276">
        <v>5</v>
      </c>
      <c r="BB103" s="276">
        <v>160</v>
      </c>
      <c r="BC103" s="276"/>
      <c r="BD103" s="276"/>
      <c r="BE103" s="276">
        <v>5</v>
      </c>
      <c r="BF103" s="276">
        <v>160</v>
      </c>
      <c r="BG103" s="260">
        <v>5</v>
      </c>
      <c r="BH103" s="271">
        <v>80</v>
      </c>
      <c r="BI103" s="276"/>
      <c r="BJ103" s="276"/>
      <c r="BK103" s="276"/>
      <c r="BL103" s="275"/>
      <c r="BM103" s="323">
        <v>251</v>
      </c>
      <c r="BN103" s="272">
        <v>20</v>
      </c>
      <c r="BO103" s="270">
        <v>320</v>
      </c>
      <c r="BP103" s="272"/>
      <c r="BQ103" s="260"/>
      <c r="BR103" s="260"/>
      <c r="BS103" s="260"/>
      <c r="BT103" s="260"/>
      <c r="BU103" s="260"/>
      <c r="BV103" s="260">
        <v>10</v>
      </c>
      <c r="BW103" s="260">
        <v>160</v>
      </c>
      <c r="BX103" s="260"/>
      <c r="BY103" s="260"/>
      <c r="BZ103" s="260"/>
      <c r="CA103" s="260"/>
      <c r="CB103" s="260"/>
      <c r="CC103" s="260"/>
      <c r="CD103" s="260">
        <v>20</v>
      </c>
      <c r="CE103" s="260">
        <v>320</v>
      </c>
      <c r="CF103" s="272"/>
      <c r="CG103" s="260"/>
      <c r="CH103" s="260"/>
      <c r="CI103" s="260"/>
      <c r="CJ103" s="260"/>
      <c r="CK103" s="260"/>
      <c r="CL103" s="260"/>
      <c r="CM103" s="260"/>
      <c r="CN103" s="260">
        <v>20</v>
      </c>
      <c r="CO103" s="260">
        <v>160</v>
      </c>
      <c r="CP103" s="260">
        <v>40</v>
      </c>
      <c r="CQ103" s="260">
        <v>320</v>
      </c>
      <c r="CR103" s="260">
        <v>20</v>
      </c>
      <c r="CS103" s="270">
        <v>160</v>
      </c>
      <c r="CT103" s="322">
        <v>251</v>
      </c>
      <c r="CU103" s="249">
        <f>Table2821115[[#This Row],[D28 - BR/18]]/Table2821115[[#This Row],[D0 - BR/18]]</f>
        <v>8</v>
      </c>
      <c r="CV103" s="248">
        <f>Table2821115[[#This Row],[D28 - KS/17]]/Table2821115[[#This Row],[D0 - KS/17]]</f>
        <v>32</v>
      </c>
      <c r="CW103" s="248">
        <f>Table2821115[[#This Row],[D28 - Phu/13]]/Table2821115[[#This Row],[D0 - Phu/13]]</f>
        <v>16</v>
      </c>
      <c r="CX103" s="248">
        <f>Table2821115[[#This Row],[D28 - CO/17]]/Table2821115[[#This Row],[D0 - CO/17]]</f>
        <v>8</v>
      </c>
      <c r="CY103" s="248">
        <f>LOG(Table2821115[[#This Row],[BR/18 Fold]],2)</f>
        <v>3</v>
      </c>
      <c r="CZ103" s="248">
        <f>LOG(Table2821115[[#This Row],[KS/17 Fold]],2)</f>
        <v>5</v>
      </c>
      <c r="DA103" s="248">
        <f>LOG(Table2821115[[#This Row],[Phu/13 Fold]],2)</f>
        <v>4</v>
      </c>
      <c r="DB103" s="248">
        <f>LOG(Table2821115[[#This Row],[CO/17 Fold]],2)</f>
        <v>3</v>
      </c>
      <c r="DC103" s="248">
        <f>SUM(Table2821115[[#This Row],[BR/18 Log2]:[CO/17 Log2]])</f>
        <v>15</v>
      </c>
    </row>
    <row r="104" spans="1:107" ht="24" customHeight="1">
      <c r="A104" s="321">
        <v>252</v>
      </c>
      <c r="B104" s="183">
        <v>33665</v>
      </c>
      <c r="C104" s="183">
        <v>43805</v>
      </c>
      <c r="D104" s="182">
        <v>27</v>
      </c>
      <c r="E104" s="4" t="s">
        <v>58</v>
      </c>
      <c r="F104" s="143" t="s">
        <v>122</v>
      </c>
      <c r="G104" s="142">
        <v>25.306932047467601</v>
      </c>
      <c r="H104" s="11" t="s">
        <v>59</v>
      </c>
      <c r="I104" s="281" t="s">
        <v>60</v>
      </c>
      <c r="J104" s="260">
        <v>5</v>
      </c>
      <c r="K104" s="260">
        <v>5</v>
      </c>
      <c r="L104" s="260"/>
      <c r="M104" s="260"/>
      <c r="N104" s="260"/>
      <c r="O104" s="260"/>
      <c r="P104" s="260"/>
      <c r="Q104" s="260"/>
      <c r="R104" s="260"/>
      <c r="S104" s="260"/>
      <c r="T104" s="260"/>
      <c r="U104" s="260"/>
      <c r="V104" s="260">
        <v>20</v>
      </c>
      <c r="W104" s="260">
        <v>20</v>
      </c>
      <c r="X104" s="260">
        <v>80</v>
      </c>
      <c r="Y104" s="260">
        <v>160</v>
      </c>
      <c r="Z104" s="260">
        <v>80</v>
      </c>
      <c r="AA104" s="260">
        <v>320</v>
      </c>
      <c r="AB104" s="260">
        <v>80</v>
      </c>
      <c r="AC104" s="260">
        <v>160</v>
      </c>
      <c r="AD104" s="260"/>
      <c r="AE104" s="260"/>
      <c r="AF104" s="260"/>
      <c r="AG104" s="260"/>
      <c r="AH104" s="32">
        <v>252</v>
      </c>
      <c r="AI104" s="272">
        <v>160</v>
      </c>
      <c r="AJ104" s="271">
        <v>160</v>
      </c>
      <c r="AK104" s="260"/>
      <c r="AL104" s="260"/>
      <c r="AM104" s="260"/>
      <c r="AN104" s="260"/>
      <c r="AO104" s="260"/>
      <c r="AP104" s="260"/>
      <c r="AQ104" s="260"/>
      <c r="AR104" s="260"/>
      <c r="AS104" s="260"/>
      <c r="AT104" s="260"/>
      <c r="AU104" s="260">
        <v>80</v>
      </c>
      <c r="AV104" s="271">
        <v>160</v>
      </c>
      <c r="AW104" s="260">
        <v>40</v>
      </c>
      <c r="AX104" s="271">
        <v>40</v>
      </c>
      <c r="AY104" s="260">
        <v>80</v>
      </c>
      <c r="AZ104" s="271">
        <v>80</v>
      </c>
      <c r="BA104" s="276">
        <v>80</v>
      </c>
      <c r="BB104" s="276">
        <v>160</v>
      </c>
      <c r="BC104" s="276"/>
      <c r="BD104" s="276"/>
      <c r="BE104" s="276">
        <v>5</v>
      </c>
      <c r="BF104" s="276">
        <v>20</v>
      </c>
      <c r="BG104" s="260">
        <v>80</v>
      </c>
      <c r="BH104" s="271">
        <v>80</v>
      </c>
      <c r="BI104" s="276"/>
      <c r="BJ104" s="276"/>
      <c r="BK104" s="276"/>
      <c r="BL104" s="275"/>
      <c r="BM104" s="320">
        <v>252</v>
      </c>
      <c r="BN104" s="272">
        <v>320</v>
      </c>
      <c r="BO104" s="270">
        <v>640</v>
      </c>
      <c r="BP104" s="272"/>
      <c r="BQ104" s="260"/>
      <c r="BR104" s="260"/>
      <c r="BS104" s="260"/>
      <c r="BT104" s="260"/>
      <c r="BU104" s="260"/>
      <c r="BV104" s="260">
        <v>320</v>
      </c>
      <c r="BW104" s="260">
        <v>320</v>
      </c>
      <c r="BX104" s="260"/>
      <c r="BY104" s="260"/>
      <c r="BZ104" s="260"/>
      <c r="CA104" s="260"/>
      <c r="CB104" s="260"/>
      <c r="CC104" s="260"/>
      <c r="CD104" s="260">
        <v>320</v>
      </c>
      <c r="CE104" s="260">
        <v>320</v>
      </c>
      <c r="CF104" s="272"/>
      <c r="CG104" s="260"/>
      <c r="CH104" s="260"/>
      <c r="CI104" s="260"/>
      <c r="CJ104" s="260"/>
      <c r="CK104" s="260"/>
      <c r="CL104" s="260"/>
      <c r="CM104" s="260"/>
      <c r="CN104" s="260">
        <v>40</v>
      </c>
      <c r="CO104" s="260">
        <v>80</v>
      </c>
      <c r="CP104" s="260">
        <v>40</v>
      </c>
      <c r="CQ104" s="260">
        <v>80</v>
      </c>
      <c r="CR104" s="260">
        <v>10</v>
      </c>
      <c r="CS104" s="270">
        <v>20</v>
      </c>
      <c r="CT104" s="319">
        <v>252</v>
      </c>
      <c r="CU104" s="249">
        <f>Table2821115[[#This Row],[D28 - BR/18]]/Table2821115[[#This Row],[D0 - BR/18]]</f>
        <v>2</v>
      </c>
      <c r="CV104" s="248">
        <f>Table2821115[[#This Row],[D28 - KS/17]]/Table2821115[[#This Row],[D0 - KS/17]]</f>
        <v>4</v>
      </c>
      <c r="CW104" s="248">
        <f>Table2821115[[#This Row],[D28 - Phu/13]]/Table2821115[[#This Row],[D0 - Phu/13]]</f>
        <v>1</v>
      </c>
      <c r="CX104" s="248">
        <f>Table2821115[[#This Row],[D28 - CO/17]]/Table2821115[[#This Row],[D0 - CO/17]]</f>
        <v>2</v>
      </c>
      <c r="CY104" s="248">
        <f>LOG(Table2821115[[#This Row],[BR/18 Fold]],2)</f>
        <v>1</v>
      </c>
      <c r="CZ104" s="248">
        <f>LOG(Table2821115[[#This Row],[KS/17 Fold]],2)</f>
        <v>2</v>
      </c>
      <c r="DA104" s="248">
        <f>LOG(Table2821115[[#This Row],[Phu/13 Fold]],2)</f>
        <v>0</v>
      </c>
      <c r="DB104" s="248">
        <f>LOG(Table2821115[[#This Row],[CO/17 Fold]],2)</f>
        <v>1</v>
      </c>
      <c r="DC104" s="248">
        <f>SUM(Table2821115[[#This Row],[BR/18 Log2]:[CO/17 Log2]])</f>
        <v>4</v>
      </c>
    </row>
    <row r="105" spans="1:107" ht="24" customHeight="1">
      <c r="A105" s="321">
        <v>253</v>
      </c>
      <c r="B105" s="183">
        <v>34255</v>
      </c>
      <c r="C105" s="183">
        <v>43745</v>
      </c>
      <c r="D105" s="182">
        <v>25</v>
      </c>
      <c r="E105" s="4" t="s">
        <v>58</v>
      </c>
      <c r="F105" s="143" t="s">
        <v>116</v>
      </c>
      <c r="G105" s="142">
        <v>22.57522921026619</v>
      </c>
      <c r="H105" s="11" t="s">
        <v>59</v>
      </c>
      <c r="I105" s="281" t="s">
        <v>60</v>
      </c>
      <c r="J105" s="260">
        <v>5</v>
      </c>
      <c r="K105" s="260">
        <v>10</v>
      </c>
      <c r="L105" s="260"/>
      <c r="M105" s="260"/>
      <c r="N105" s="260"/>
      <c r="O105" s="260"/>
      <c r="P105" s="260"/>
      <c r="Q105" s="260"/>
      <c r="R105" s="260"/>
      <c r="S105" s="260"/>
      <c r="T105" s="260"/>
      <c r="U105" s="260"/>
      <c r="V105" s="260">
        <v>5</v>
      </c>
      <c r="W105" s="260">
        <v>5</v>
      </c>
      <c r="X105" s="260">
        <v>320</v>
      </c>
      <c r="Y105" s="260">
        <v>320</v>
      </c>
      <c r="Z105" s="260">
        <v>160</v>
      </c>
      <c r="AA105" s="260">
        <v>320</v>
      </c>
      <c r="AB105" s="260">
        <v>160</v>
      </c>
      <c r="AC105" s="260">
        <v>160</v>
      </c>
      <c r="AD105" s="260"/>
      <c r="AE105" s="260"/>
      <c r="AF105" s="260"/>
      <c r="AG105" s="260"/>
      <c r="AH105" s="32">
        <v>253</v>
      </c>
      <c r="AI105" s="272">
        <v>160</v>
      </c>
      <c r="AJ105" s="271">
        <v>160</v>
      </c>
      <c r="AK105" s="260"/>
      <c r="AL105" s="260"/>
      <c r="AM105" s="260"/>
      <c r="AN105" s="260"/>
      <c r="AO105" s="260"/>
      <c r="AP105" s="260"/>
      <c r="AQ105" s="260"/>
      <c r="AR105" s="260"/>
      <c r="AS105" s="260"/>
      <c r="AT105" s="260"/>
      <c r="AU105" s="260">
        <v>640</v>
      </c>
      <c r="AV105" s="271">
        <v>1280</v>
      </c>
      <c r="AW105" s="260">
        <v>320</v>
      </c>
      <c r="AX105" s="271">
        <v>640</v>
      </c>
      <c r="AY105" s="260">
        <v>320</v>
      </c>
      <c r="AZ105" s="271">
        <v>320</v>
      </c>
      <c r="BA105" s="276">
        <v>320</v>
      </c>
      <c r="BB105" s="276">
        <v>640</v>
      </c>
      <c r="BC105" s="276"/>
      <c r="BD105" s="276"/>
      <c r="BE105" s="276">
        <v>160</v>
      </c>
      <c r="BF105" s="276">
        <v>320</v>
      </c>
      <c r="BG105" s="260">
        <v>320</v>
      </c>
      <c r="BH105" s="271">
        <v>640</v>
      </c>
      <c r="BI105" s="276"/>
      <c r="BJ105" s="276"/>
      <c r="BK105" s="276"/>
      <c r="BL105" s="275"/>
      <c r="BM105" s="320">
        <v>253</v>
      </c>
      <c r="BN105" s="272">
        <v>320</v>
      </c>
      <c r="BO105" s="270">
        <v>640</v>
      </c>
      <c r="BP105" s="272"/>
      <c r="BQ105" s="260"/>
      <c r="BR105" s="260"/>
      <c r="BS105" s="260"/>
      <c r="BT105" s="260"/>
      <c r="BU105" s="260"/>
      <c r="BV105" s="260">
        <v>320</v>
      </c>
      <c r="BW105" s="260">
        <v>640</v>
      </c>
      <c r="BX105" s="260"/>
      <c r="BY105" s="260"/>
      <c r="BZ105" s="260"/>
      <c r="CA105" s="260"/>
      <c r="CB105" s="260"/>
      <c r="CC105" s="260"/>
      <c r="CD105" s="260">
        <v>640</v>
      </c>
      <c r="CE105" s="260">
        <v>320</v>
      </c>
      <c r="CF105" s="272"/>
      <c r="CG105" s="260"/>
      <c r="CH105" s="260"/>
      <c r="CI105" s="260"/>
      <c r="CJ105" s="260"/>
      <c r="CK105" s="260"/>
      <c r="CL105" s="260"/>
      <c r="CM105" s="260"/>
      <c r="CN105" s="260">
        <v>40</v>
      </c>
      <c r="CO105" s="260">
        <v>80</v>
      </c>
      <c r="CP105" s="260">
        <v>80</v>
      </c>
      <c r="CQ105" s="260">
        <v>80</v>
      </c>
      <c r="CR105" s="260">
        <v>10</v>
      </c>
      <c r="CS105" s="270">
        <v>40</v>
      </c>
      <c r="CT105" s="319">
        <v>253</v>
      </c>
      <c r="CU105" s="249">
        <f>Table2821115[[#This Row],[D28 - BR/18]]/Table2821115[[#This Row],[D0 - BR/18]]</f>
        <v>1</v>
      </c>
      <c r="CV105" s="248">
        <f>Table2821115[[#This Row],[D28 - KS/17]]/Table2821115[[#This Row],[D0 - KS/17]]</f>
        <v>2</v>
      </c>
      <c r="CW105" s="248">
        <f>Table2821115[[#This Row],[D28 - Phu/13]]/Table2821115[[#This Row],[D0 - Phu/13]]</f>
        <v>0.5</v>
      </c>
      <c r="CX105" s="248">
        <f>Table2821115[[#This Row],[D28 - CO/17]]/Table2821115[[#This Row],[D0 - CO/17]]</f>
        <v>1</v>
      </c>
      <c r="CY105" s="248">
        <f>LOG(Table2821115[[#This Row],[BR/18 Fold]],2)</f>
        <v>0</v>
      </c>
      <c r="CZ105" s="248">
        <f>LOG(Table2821115[[#This Row],[KS/17 Fold]],2)</f>
        <v>1</v>
      </c>
      <c r="DA105" s="248">
        <f>LOG(Table2821115[[#This Row],[Phu/13 Fold]],2)</f>
        <v>-1</v>
      </c>
      <c r="DB105" s="248">
        <f>LOG(Table2821115[[#This Row],[CO/17 Fold]],2)</f>
        <v>0</v>
      </c>
      <c r="DC105" s="248">
        <f>SUM(Table2821115[[#This Row],[BR/18 Log2]:[CO/17 Log2]])</f>
        <v>0</v>
      </c>
    </row>
    <row r="106" spans="1:107" ht="24" customHeight="1">
      <c r="A106" s="324">
        <v>260</v>
      </c>
      <c r="B106" s="190">
        <v>28235</v>
      </c>
      <c r="C106" s="190">
        <v>43861</v>
      </c>
      <c r="D106" s="189">
        <v>42</v>
      </c>
      <c r="E106" s="3" t="s">
        <v>61</v>
      </c>
      <c r="F106" s="143" t="s">
        <v>116</v>
      </c>
      <c r="G106" s="142">
        <v>20.35464793615002</v>
      </c>
      <c r="H106" s="11" t="s">
        <v>59</v>
      </c>
      <c r="I106" s="281" t="s">
        <v>60</v>
      </c>
      <c r="J106" s="260">
        <v>5</v>
      </c>
      <c r="K106" s="260">
        <v>20</v>
      </c>
      <c r="L106" s="260"/>
      <c r="M106" s="260"/>
      <c r="N106" s="260"/>
      <c r="O106" s="260"/>
      <c r="P106" s="260"/>
      <c r="Q106" s="260"/>
      <c r="R106" s="260"/>
      <c r="S106" s="260"/>
      <c r="T106" s="260"/>
      <c r="U106" s="260"/>
      <c r="V106" s="260">
        <v>5</v>
      </c>
      <c r="W106" s="260">
        <v>5</v>
      </c>
      <c r="X106" s="260">
        <v>80</v>
      </c>
      <c r="Y106" s="260">
        <v>160</v>
      </c>
      <c r="Z106" s="260">
        <v>40</v>
      </c>
      <c r="AA106" s="260">
        <v>160</v>
      </c>
      <c r="AB106" s="260">
        <v>5</v>
      </c>
      <c r="AC106" s="260">
        <v>80</v>
      </c>
      <c r="AD106" s="260"/>
      <c r="AE106" s="260"/>
      <c r="AF106" s="260"/>
      <c r="AG106" s="260"/>
      <c r="AH106" s="198">
        <v>260</v>
      </c>
      <c r="AI106" s="272">
        <v>20</v>
      </c>
      <c r="AJ106" s="271">
        <v>40</v>
      </c>
      <c r="AK106" s="260"/>
      <c r="AL106" s="260"/>
      <c r="AM106" s="260"/>
      <c r="AN106" s="260"/>
      <c r="AO106" s="260"/>
      <c r="AP106" s="260"/>
      <c r="AQ106" s="260"/>
      <c r="AR106" s="260"/>
      <c r="AS106" s="260"/>
      <c r="AT106" s="260"/>
      <c r="AU106" s="260">
        <v>80</v>
      </c>
      <c r="AV106" s="271">
        <v>320</v>
      </c>
      <c r="AW106" s="260">
        <v>80</v>
      </c>
      <c r="AX106" s="271">
        <v>320</v>
      </c>
      <c r="AY106" s="260">
        <v>40</v>
      </c>
      <c r="AZ106" s="271">
        <v>320</v>
      </c>
      <c r="BA106" s="276">
        <v>40</v>
      </c>
      <c r="BB106" s="276">
        <v>320</v>
      </c>
      <c r="BC106" s="276"/>
      <c r="BD106" s="276"/>
      <c r="BE106" s="276">
        <v>5</v>
      </c>
      <c r="BF106" s="276">
        <v>320</v>
      </c>
      <c r="BG106" s="260">
        <v>80</v>
      </c>
      <c r="BH106" s="271">
        <v>320</v>
      </c>
      <c r="BI106" s="276"/>
      <c r="BJ106" s="276"/>
      <c r="BK106" s="276"/>
      <c r="BL106" s="275"/>
      <c r="BM106" s="323">
        <v>260</v>
      </c>
      <c r="BN106" s="272">
        <v>40</v>
      </c>
      <c r="BO106" s="270">
        <v>320</v>
      </c>
      <c r="BP106" s="272"/>
      <c r="BQ106" s="260"/>
      <c r="BR106" s="260"/>
      <c r="BS106" s="260"/>
      <c r="BT106" s="260"/>
      <c r="BU106" s="260"/>
      <c r="BV106" s="260">
        <v>5</v>
      </c>
      <c r="BW106" s="260">
        <v>160</v>
      </c>
      <c r="BX106" s="260"/>
      <c r="BY106" s="260"/>
      <c r="BZ106" s="260"/>
      <c r="CA106" s="260"/>
      <c r="CB106" s="260"/>
      <c r="CC106" s="260"/>
      <c r="CD106" s="260">
        <v>5</v>
      </c>
      <c r="CE106" s="260">
        <v>160</v>
      </c>
      <c r="CF106" s="272"/>
      <c r="CG106" s="260"/>
      <c r="CH106" s="260"/>
      <c r="CI106" s="260"/>
      <c r="CJ106" s="260"/>
      <c r="CK106" s="260"/>
      <c r="CL106" s="260"/>
      <c r="CM106" s="260"/>
      <c r="CN106" s="260">
        <v>5</v>
      </c>
      <c r="CO106" s="260">
        <v>80</v>
      </c>
      <c r="CP106" s="260">
        <v>5</v>
      </c>
      <c r="CQ106" s="260">
        <v>80</v>
      </c>
      <c r="CR106" s="260">
        <v>5</v>
      </c>
      <c r="CS106" s="270">
        <v>80</v>
      </c>
      <c r="CT106" s="322">
        <v>260</v>
      </c>
      <c r="CU106" s="249">
        <f>Table2821115[[#This Row],[D28 - BR/18]]/Table2821115[[#This Row],[D0 - BR/18]]</f>
        <v>16</v>
      </c>
      <c r="CV106" s="248">
        <f>Table2821115[[#This Row],[D28 - KS/17]]/Table2821115[[#This Row],[D0 - KS/17]]</f>
        <v>64</v>
      </c>
      <c r="CW106" s="248">
        <f>Table2821115[[#This Row],[D28 - Phu/13]]/Table2821115[[#This Row],[D0 - Phu/13]]</f>
        <v>32</v>
      </c>
      <c r="CX106" s="248">
        <f>Table2821115[[#This Row],[D28 - CO/17]]/Table2821115[[#This Row],[D0 - CO/17]]</f>
        <v>16</v>
      </c>
      <c r="CY106" s="248">
        <f>LOG(Table2821115[[#This Row],[BR/18 Fold]],2)</f>
        <v>4</v>
      </c>
      <c r="CZ106" s="248">
        <f>LOG(Table2821115[[#This Row],[KS/17 Fold]],2)</f>
        <v>6</v>
      </c>
      <c r="DA106" s="248">
        <f>LOG(Table2821115[[#This Row],[Phu/13 Fold]],2)</f>
        <v>5</v>
      </c>
      <c r="DB106" s="248">
        <f>LOG(Table2821115[[#This Row],[CO/17 Fold]],2)</f>
        <v>4</v>
      </c>
      <c r="DC106" s="248">
        <f>SUM(Table2821115[[#This Row],[BR/18 Log2]:[CO/17 Log2]])</f>
        <v>19</v>
      </c>
    </row>
    <row r="107" spans="1:107" ht="24" customHeight="1">
      <c r="A107" s="321">
        <v>262</v>
      </c>
      <c r="B107" s="183">
        <v>31760</v>
      </c>
      <c r="C107" s="183">
        <v>43789</v>
      </c>
      <c r="D107" s="182">
        <v>32</v>
      </c>
      <c r="E107" s="3" t="s">
        <v>61</v>
      </c>
      <c r="F107" s="143" t="s">
        <v>116</v>
      </c>
      <c r="G107" s="142">
        <v>25.828571428571426</v>
      </c>
      <c r="H107" s="11" t="s">
        <v>59</v>
      </c>
      <c r="I107" s="281" t="s">
        <v>60</v>
      </c>
      <c r="J107" s="260">
        <v>5</v>
      </c>
      <c r="K107" s="260">
        <v>5</v>
      </c>
      <c r="L107" s="260"/>
      <c r="M107" s="260"/>
      <c r="N107" s="260"/>
      <c r="O107" s="260"/>
      <c r="P107" s="260"/>
      <c r="Q107" s="260"/>
      <c r="R107" s="260"/>
      <c r="S107" s="260"/>
      <c r="T107" s="260"/>
      <c r="U107" s="260"/>
      <c r="V107" s="260">
        <v>5</v>
      </c>
      <c r="W107" s="260">
        <v>10</v>
      </c>
      <c r="X107" s="260">
        <v>40</v>
      </c>
      <c r="Y107" s="260">
        <v>40</v>
      </c>
      <c r="Z107" s="260">
        <v>40</v>
      </c>
      <c r="AA107" s="260">
        <v>40</v>
      </c>
      <c r="AB107" s="260">
        <v>40</v>
      </c>
      <c r="AC107" s="260">
        <v>40</v>
      </c>
      <c r="AD107" s="260"/>
      <c r="AE107" s="260"/>
      <c r="AF107" s="260"/>
      <c r="AG107" s="260"/>
      <c r="AH107" s="32">
        <v>262</v>
      </c>
      <c r="AI107" s="272">
        <v>80</v>
      </c>
      <c r="AJ107" s="271">
        <v>80</v>
      </c>
      <c r="AK107" s="260"/>
      <c r="AL107" s="260"/>
      <c r="AM107" s="260"/>
      <c r="AN107" s="260"/>
      <c r="AO107" s="260"/>
      <c r="AP107" s="260"/>
      <c r="AQ107" s="260"/>
      <c r="AR107" s="260"/>
      <c r="AS107" s="260"/>
      <c r="AT107" s="260"/>
      <c r="AU107" s="260">
        <v>40</v>
      </c>
      <c r="AV107" s="271">
        <v>160</v>
      </c>
      <c r="AW107" s="260">
        <v>40</v>
      </c>
      <c r="AX107" s="271">
        <v>160</v>
      </c>
      <c r="AY107" s="260">
        <v>20</v>
      </c>
      <c r="AZ107" s="271">
        <v>80</v>
      </c>
      <c r="BA107" s="276">
        <v>20</v>
      </c>
      <c r="BB107" s="276">
        <v>80</v>
      </c>
      <c r="BC107" s="276"/>
      <c r="BD107" s="276"/>
      <c r="BE107" s="276">
        <v>20</v>
      </c>
      <c r="BF107" s="276">
        <v>80</v>
      </c>
      <c r="BG107" s="260">
        <v>40</v>
      </c>
      <c r="BH107" s="271">
        <v>80</v>
      </c>
      <c r="BI107" s="276"/>
      <c r="BJ107" s="276"/>
      <c r="BK107" s="276"/>
      <c r="BL107" s="275"/>
      <c r="BM107" s="320">
        <v>262</v>
      </c>
      <c r="BN107" s="272">
        <v>40</v>
      </c>
      <c r="BO107" s="270">
        <v>40</v>
      </c>
      <c r="BP107" s="272"/>
      <c r="BQ107" s="260"/>
      <c r="BR107" s="260"/>
      <c r="BS107" s="260"/>
      <c r="BT107" s="260"/>
      <c r="BU107" s="260"/>
      <c r="BV107" s="260">
        <v>80</v>
      </c>
      <c r="BW107" s="260">
        <v>80</v>
      </c>
      <c r="BX107" s="260"/>
      <c r="BY107" s="260"/>
      <c r="BZ107" s="260"/>
      <c r="CA107" s="260"/>
      <c r="CB107" s="260"/>
      <c r="CC107" s="260"/>
      <c r="CD107" s="260">
        <v>160</v>
      </c>
      <c r="CE107" s="260">
        <v>80</v>
      </c>
      <c r="CF107" s="272"/>
      <c r="CG107" s="260"/>
      <c r="CH107" s="260"/>
      <c r="CI107" s="260"/>
      <c r="CJ107" s="260"/>
      <c r="CK107" s="260"/>
      <c r="CL107" s="260"/>
      <c r="CM107" s="260"/>
      <c r="CN107" s="260">
        <v>10</v>
      </c>
      <c r="CO107" s="260">
        <v>10</v>
      </c>
      <c r="CP107" s="260">
        <v>20</v>
      </c>
      <c r="CQ107" s="260">
        <v>20</v>
      </c>
      <c r="CR107" s="260">
        <v>10</v>
      </c>
      <c r="CS107" s="270">
        <v>10</v>
      </c>
      <c r="CT107" s="319">
        <v>262</v>
      </c>
      <c r="CU107" s="249">
        <f>Table2821115[[#This Row],[D28 - BR/18]]/Table2821115[[#This Row],[D0 - BR/18]]</f>
        <v>1</v>
      </c>
      <c r="CV107" s="248">
        <f>Table2821115[[#This Row],[D28 - KS/17]]/Table2821115[[#This Row],[D0 - KS/17]]</f>
        <v>4</v>
      </c>
      <c r="CW107" s="248">
        <f>Table2821115[[#This Row],[D28 - Phu/13]]/Table2821115[[#This Row],[D0 - Phu/13]]</f>
        <v>0.5</v>
      </c>
      <c r="CX107" s="248">
        <f>Table2821115[[#This Row],[D28 - CO/17]]/Table2821115[[#This Row],[D0 - CO/17]]</f>
        <v>1</v>
      </c>
      <c r="CY107" s="248">
        <f>LOG(Table2821115[[#This Row],[BR/18 Fold]],2)</f>
        <v>0</v>
      </c>
      <c r="CZ107" s="248">
        <f>LOG(Table2821115[[#This Row],[KS/17 Fold]],2)</f>
        <v>2</v>
      </c>
      <c r="DA107" s="248">
        <f>LOG(Table2821115[[#This Row],[Phu/13 Fold]],2)</f>
        <v>-1</v>
      </c>
      <c r="DB107" s="248">
        <f>LOG(Table2821115[[#This Row],[CO/17 Fold]],2)</f>
        <v>0</v>
      </c>
      <c r="DC107" s="248">
        <f>SUM(Table2821115[[#This Row],[BR/18 Log2]:[CO/17 Log2]])</f>
        <v>1</v>
      </c>
    </row>
    <row r="108" spans="1:107" ht="24" customHeight="1">
      <c r="A108" s="321">
        <v>263</v>
      </c>
      <c r="B108" s="183">
        <v>31789</v>
      </c>
      <c r="C108" s="183">
        <v>43760</v>
      </c>
      <c r="D108" s="182">
        <v>32</v>
      </c>
      <c r="E108" s="3" t="s">
        <v>61</v>
      </c>
      <c r="F108" s="143" t="s">
        <v>63</v>
      </c>
      <c r="G108" s="142">
        <v>22.126990545483338</v>
      </c>
      <c r="H108" s="11" t="s">
        <v>59</v>
      </c>
      <c r="I108" s="281" t="s">
        <v>60</v>
      </c>
      <c r="J108" s="260">
        <v>5</v>
      </c>
      <c r="K108" s="260">
        <v>5</v>
      </c>
      <c r="L108" s="260"/>
      <c r="M108" s="260"/>
      <c r="N108" s="260"/>
      <c r="O108" s="260"/>
      <c r="P108" s="260"/>
      <c r="Q108" s="260"/>
      <c r="R108" s="260"/>
      <c r="S108" s="260"/>
      <c r="T108" s="260"/>
      <c r="U108" s="260"/>
      <c r="V108" s="260">
        <v>5</v>
      </c>
      <c r="W108" s="260">
        <v>5</v>
      </c>
      <c r="X108" s="260">
        <v>5</v>
      </c>
      <c r="Y108" s="260">
        <v>40</v>
      </c>
      <c r="Z108" s="260">
        <v>20</v>
      </c>
      <c r="AA108" s="260">
        <v>40</v>
      </c>
      <c r="AB108" s="260">
        <v>20</v>
      </c>
      <c r="AC108" s="260">
        <v>20</v>
      </c>
      <c r="AD108" s="260"/>
      <c r="AE108" s="260"/>
      <c r="AF108" s="260"/>
      <c r="AG108" s="260"/>
      <c r="AH108" s="32">
        <v>263</v>
      </c>
      <c r="AI108" s="272">
        <v>80</v>
      </c>
      <c r="AJ108" s="271">
        <v>80</v>
      </c>
      <c r="AK108" s="260"/>
      <c r="AL108" s="260"/>
      <c r="AM108" s="260"/>
      <c r="AN108" s="260"/>
      <c r="AO108" s="260"/>
      <c r="AP108" s="260"/>
      <c r="AQ108" s="260"/>
      <c r="AR108" s="260"/>
      <c r="AS108" s="260"/>
      <c r="AT108" s="260"/>
      <c r="AU108" s="260">
        <v>80</v>
      </c>
      <c r="AV108" s="271">
        <v>80</v>
      </c>
      <c r="AW108" s="260">
        <v>40</v>
      </c>
      <c r="AX108" s="271">
        <v>80</v>
      </c>
      <c r="AY108" s="260">
        <v>5</v>
      </c>
      <c r="AZ108" s="271">
        <v>40</v>
      </c>
      <c r="BA108" s="276">
        <v>20</v>
      </c>
      <c r="BB108" s="276">
        <v>40</v>
      </c>
      <c r="BC108" s="276"/>
      <c r="BD108" s="276"/>
      <c r="BE108" s="276">
        <v>10</v>
      </c>
      <c r="BF108" s="276">
        <v>40</v>
      </c>
      <c r="BG108" s="260">
        <v>80</v>
      </c>
      <c r="BH108" s="271">
        <v>160</v>
      </c>
      <c r="BI108" s="276"/>
      <c r="BJ108" s="276"/>
      <c r="BK108" s="276"/>
      <c r="BL108" s="275"/>
      <c r="BM108" s="320">
        <v>263</v>
      </c>
      <c r="BN108" s="272">
        <v>80</v>
      </c>
      <c r="BO108" s="270">
        <v>80</v>
      </c>
      <c r="BP108" s="272"/>
      <c r="BQ108" s="260"/>
      <c r="BR108" s="260"/>
      <c r="BS108" s="260"/>
      <c r="BT108" s="260"/>
      <c r="BU108" s="260"/>
      <c r="BV108" s="260">
        <v>80</v>
      </c>
      <c r="BW108" s="260">
        <v>80</v>
      </c>
      <c r="BX108" s="260"/>
      <c r="BY108" s="260"/>
      <c r="BZ108" s="260"/>
      <c r="CA108" s="260"/>
      <c r="CB108" s="260"/>
      <c r="CC108" s="260"/>
      <c r="CD108" s="260">
        <v>80</v>
      </c>
      <c r="CE108" s="260">
        <v>80</v>
      </c>
      <c r="CF108" s="272"/>
      <c r="CG108" s="260"/>
      <c r="CH108" s="260"/>
      <c r="CI108" s="260"/>
      <c r="CJ108" s="260"/>
      <c r="CK108" s="260"/>
      <c r="CL108" s="260"/>
      <c r="CM108" s="260"/>
      <c r="CN108" s="260">
        <v>5</v>
      </c>
      <c r="CO108" s="260">
        <v>20</v>
      </c>
      <c r="CP108" s="260">
        <v>10</v>
      </c>
      <c r="CQ108" s="260">
        <v>20</v>
      </c>
      <c r="CR108" s="260">
        <v>10</v>
      </c>
      <c r="CS108" s="270">
        <v>20</v>
      </c>
      <c r="CT108" s="319">
        <v>263</v>
      </c>
      <c r="CU108" s="249">
        <f>Table2821115[[#This Row],[D28 - BR/18]]/Table2821115[[#This Row],[D0 - BR/18]]</f>
        <v>1</v>
      </c>
      <c r="CV108" s="248">
        <f>Table2821115[[#This Row],[D28 - KS/17]]/Table2821115[[#This Row],[D0 - KS/17]]</f>
        <v>4</v>
      </c>
      <c r="CW108" s="248">
        <f>Table2821115[[#This Row],[D28 - Phu/13]]/Table2821115[[#This Row],[D0 - Phu/13]]</f>
        <v>1</v>
      </c>
      <c r="CX108" s="248">
        <f>Table2821115[[#This Row],[D28 - CO/17]]/Table2821115[[#This Row],[D0 - CO/17]]</f>
        <v>2</v>
      </c>
      <c r="CY108" s="248">
        <f>LOG(Table2821115[[#This Row],[BR/18 Fold]],2)</f>
        <v>0</v>
      </c>
      <c r="CZ108" s="248">
        <f>LOG(Table2821115[[#This Row],[KS/17 Fold]],2)</f>
        <v>2</v>
      </c>
      <c r="DA108" s="248">
        <f>LOG(Table2821115[[#This Row],[Phu/13 Fold]],2)</f>
        <v>0</v>
      </c>
      <c r="DB108" s="248">
        <f>LOG(Table2821115[[#This Row],[CO/17 Fold]],2)</f>
        <v>1</v>
      </c>
      <c r="DC108" s="248">
        <f>SUM(Table2821115[[#This Row],[BR/18 Log2]:[CO/17 Log2]])</f>
        <v>3</v>
      </c>
    </row>
    <row r="109" spans="1:107" ht="24" customHeight="1">
      <c r="A109" s="321">
        <v>264</v>
      </c>
      <c r="B109" s="183">
        <v>34315</v>
      </c>
      <c r="C109" s="183">
        <v>43768</v>
      </c>
      <c r="D109" s="182">
        <v>25</v>
      </c>
      <c r="E109" s="3" t="s">
        <v>61</v>
      </c>
      <c r="F109" s="143" t="s">
        <v>116</v>
      </c>
      <c r="G109" s="142">
        <v>24.043590916018896</v>
      </c>
      <c r="H109" s="11" t="s">
        <v>59</v>
      </c>
      <c r="I109" s="281" t="s">
        <v>60</v>
      </c>
      <c r="J109" s="260">
        <v>5</v>
      </c>
      <c r="K109" s="260">
        <v>5</v>
      </c>
      <c r="L109" s="260"/>
      <c r="M109" s="260"/>
      <c r="N109" s="260"/>
      <c r="O109" s="260"/>
      <c r="P109" s="260"/>
      <c r="Q109" s="260"/>
      <c r="R109" s="260"/>
      <c r="S109" s="260"/>
      <c r="T109" s="260"/>
      <c r="U109" s="260"/>
      <c r="V109" s="260">
        <v>10</v>
      </c>
      <c r="W109" s="260">
        <v>10</v>
      </c>
      <c r="X109" s="260">
        <v>20</v>
      </c>
      <c r="Y109" s="260">
        <v>40</v>
      </c>
      <c r="Z109" s="260">
        <v>20</v>
      </c>
      <c r="AA109" s="260">
        <v>40</v>
      </c>
      <c r="AB109" s="260">
        <v>10</v>
      </c>
      <c r="AC109" s="260">
        <v>20</v>
      </c>
      <c r="AD109" s="260"/>
      <c r="AE109" s="260"/>
      <c r="AF109" s="260"/>
      <c r="AG109" s="260"/>
      <c r="AH109" s="32">
        <v>264</v>
      </c>
      <c r="AI109" s="272">
        <v>80</v>
      </c>
      <c r="AJ109" s="271">
        <v>80</v>
      </c>
      <c r="AK109" s="260"/>
      <c r="AL109" s="260"/>
      <c r="AM109" s="260"/>
      <c r="AN109" s="260"/>
      <c r="AO109" s="260"/>
      <c r="AP109" s="260"/>
      <c r="AQ109" s="260"/>
      <c r="AR109" s="260"/>
      <c r="AS109" s="260"/>
      <c r="AT109" s="260"/>
      <c r="AU109" s="260">
        <v>40</v>
      </c>
      <c r="AV109" s="271">
        <v>80</v>
      </c>
      <c r="AW109" s="260">
        <v>20</v>
      </c>
      <c r="AX109" s="271">
        <v>160</v>
      </c>
      <c r="AY109" s="260">
        <v>20</v>
      </c>
      <c r="AZ109" s="271">
        <v>20</v>
      </c>
      <c r="BA109" s="276">
        <v>20</v>
      </c>
      <c r="BB109" s="276">
        <v>40</v>
      </c>
      <c r="BC109" s="276"/>
      <c r="BD109" s="276"/>
      <c r="BE109" s="276">
        <v>5</v>
      </c>
      <c r="BF109" s="276">
        <v>80</v>
      </c>
      <c r="BG109" s="260">
        <v>40</v>
      </c>
      <c r="BH109" s="271">
        <v>80</v>
      </c>
      <c r="BI109" s="276"/>
      <c r="BJ109" s="276"/>
      <c r="BK109" s="276"/>
      <c r="BL109" s="275"/>
      <c r="BM109" s="320">
        <v>264</v>
      </c>
      <c r="BN109" s="272">
        <v>40</v>
      </c>
      <c r="BO109" s="270">
        <v>80</v>
      </c>
      <c r="BP109" s="272"/>
      <c r="BQ109" s="260"/>
      <c r="BR109" s="260"/>
      <c r="BS109" s="260"/>
      <c r="BT109" s="260"/>
      <c r="BU109" s="260"/>
      <c r="BV109" s="260">
        <v>40</v>
      </c>
      <c r="BW109" s="260">
        <v>80</v>
      </c>
      <c r="BX109" s="260"/>
      <c r="BY109" s="260"/>
      <c r="BZ109" s="260"/>
      <c r="CA109" s="260"/>
      <c r="CB109" s="260"/>
      <c r="CC109" s="260"/>
      <c r="CD109" s="260">
        <v>80</v>
      </c>
      <c r="CE109" s="260">
        <v>160</v>
      </c>
      <c r="CF109" s="272"/>
      <c r="CG109" s="260"/>
      <c r="CH109" s="260"/>
      <c r="CI109" s="260"/>
      <c r="CJ109" s="260"/>
      <c r="CK109" s="260"/>
      <c r="CL109" s="260"/>
      <c r="CM109" s="260"/>
      <c r="CN109" s="260">
        <v>5</v>
      </c>
      <c r="CO109" s="260">
        <v>20</v>
      </c>
      <c r="CP109" s="260">
        <v>10</v>
      </c>
      <c r="CQ109" s="260">
        <v>40</v>
      </c>
      <c r="CR109" s="260">
        <v>5</v>
      </c>
      <c r="CS109" s="270">
        <v>20</v>
      </c>
      <c r="CT109" s="319">
        <v>264</v>
      </c>
      <c r="CU109" s="249">
        <f>Table2821115[[#This Row],[D28 - BR/18]]/Table2821115[[#This Row],[D0 - BR/18]]</f>
        <v>2</v>
      </c>
      <c r="CV109" s="248">
        <f>Table2821115[[#This Row],[D28 - KS/17]]/Table2821115[[#This Row],[D0 - KS/17]]</f>
        <v>16</v>
      </c>
      <c r="CW109" s="248">
        <f>Table2821115[[#This Row],[D28 - Phu/13]]/Table2821115[[#This Row],[D0 - Phu/13]]</f>
        <v>2</v>
      </c>
      <c r="CX109" s="248">
        <f>Table2821115[[#This Row],[D28 - CO/17]]/Table2821115[[#This Row],[D0 - CO/17]]</f>
        <v>4</v>
      </c>
      <c r="CY109" s="248">
        <f>LOG(Table2821115[[#This Row],[BR/18 Fold]],2)</f>
        <v>1</v>
      </c>
      <c r="CZ109" s="248">
        <f>LOG(Table2821115[[#This Row],[KS/17 Fold]],2)</f>
        <v>4</v>
      </c>
      <c r="DA109" s="248">
        <f>LOG(Table2821115[[#This Row],[Phu/13 Fold]],2)</f>
        <v>1</v>
      </c>
      <c r="DB109" s="248">
        <f>LOG(Table2821115[[#This Row],[CO/17 Fold]],2)</f>
        <v>2</v>
      </c>
      <c r="DC109" s="248">
        <f>SUM(Table2821115[[#This Row],[BR/18 Log2]:[CO/17 Log2]])</f>
        <v>8</v>
      </c>
    </row>
    <row r="110" spans="1:107" ht="24" customHeight="1">
      <c r="A110" s="334">
        <v>267</v>
      </c>
      <c r="B110" s="183">
        <v>35778</v>
      </c>
      <c r="C110" s="183">
        <v>43741</v>
      </c>
      <c r="D110" s="182">
        <v>21</v>
      </c>
      <c r="E110" s="4" t="s">
        <v>58</v>
      </c>
      <c r="F110" s="143" t="s">
        <v>117</v>
      </c>
      <c r="G110" s="142">
        <v>39.074074074074069</v>
      </c>
      <c r="H110" s="317" t="s">
        <v>59</v>
      </c>
      <c r="I110" s="277" t="s">
        <v>60</v>
      </c>
      <c r="J110" s="260">
        <v>5</v>
      </c>
      <c r="K110" s="260">
        <v>5</v>
      </c>
      <c r="L110" s="260"/>
      <c r="M110" s="260"/>
      <c r="N110" s="260"/>
      <c r="O110" s="260"/>
      <c r="P110" s="260"/>
      <c r="Q110" s="260"/>
      <c r="R110" s="260"/>
      <c r="S110" s="260"/>
      <c r="T110" s="260"/>
      <c r="U110" s="260"/>
      <c r="V110" s="260">
        <v>5</v>
      </c>
      <c r="W110" s="260">
        <v>10</v>
      </c>
      <c r="X110" s="260">
        <v>5</v>
      </c>
      <c r="Y110" s="260">
        <v>20</v>
      </c>
      <c r="Z110" s="260">
        <v>10</v>
      </c>
      <c r="AA110" s="260">
        <v>40</v>
      </c>
      <c r="AB110" s="260">
        <v>5</v>
      </c>
      <c r="AC110" s="260">
        <v>20</v>
      </c>
      <c r="AD110" s="260"/>
      <c r="AE110" s="260"/>
      <c r="AF110" s="260"/>
      <c r="AG110" s="260"/>
      <c r="AH110" s="333">
        <v>267</v>
      </c>
      <c r="AI110" s="272">
        <v>40</v>
      </c>
      <c r="AJ110" s="271">
        <v>80</v>
      </c>
      <c r="AK110" s="260"/>
      <c r="AL110" s="260"/>
      <c r="AM110" s="260"/>
      <c r="AN110" s="260"/>
      <c r="AO110" s="260"/>
      <c r="AP110" s="260"/>
      <c r="AQ110" s="260"/>
      <c r="AR110" s="260"/>
      <c r="AS110" s="260"/>
      <c r="AT110" s="260"/>
      <c r="AU110" s="260">
        <v>20</v>
      </c>
      <c r="AV110" s="271">
        <v>320</v>
      </c>
      <c r="AW110" s="260">
        <v>10</v>
      </c>
      <c r="AX110" s="271">
        <v>160</v>
      </c>
      <c r="AY110" s="260">
        <v>5</v>
      </c>
      <c r="AZ110" s="271">
        <v>80</v>
      </c>
      <c r="BA110" s="276">
        <v>10</v>
      </c>
      <c r="BB110" s="276">
        <v>160</v>
      </c>
      <c r="BC110" s="276"/>
      <c r="BD110" s="276"/>
      <c r="BE110" s="276">
        <v>5</v>
      </c>
      <c r="BF110" s="276">
        <v>80</v>
      </c>
      <c r="BG110" s="260">
        <v>20</v>
      </c>
      <c r="BH110" s="271">
        <v>160</v>
      </c>
      <c r="BI110" s="276"/>
      <c r="BJ110" s="276"/>
      <c r="BK110" s="276"/>
      <c r="BL110" s="275"/>
      <c r="BM110" s="332">
        <v>267</v>
      </c>
      <c r="BN110" s="272">
        <v>20</v>
      </c>
      <c r="BO110" s="270">
        <v>40</v>
      </c>
      <c r="BP110" s="272"/>
      <c r="BQ110" s="260"/>
      <c r="BR110" s="260"/>
      <c r="BS110" s="260"/>
      <c r="BT110" s="260"/>
      <c r="BU110" s="260"/>
      <c r="BV110" s="260">
        <v>80</v>
      </c>
      <c r="BW110" s="260">
        <v>160</v>
      </c>
      <c r="BX110" s="260"/>
      <c r="BY110" s="260"/>
      <c r="BZ110" s="260"/>
      <c r="CA110" s="260"/>
      <c r="CB110" s="260"/>
      <c r="CC110" s="260"/>
      <c r="CD110" s="260">
        <v>40</v>
      </c>
      <c r="CE110" s="260">
        <v>160</v>
      </c>
      <c r="CF110" s="272"/>
      <c r="CG110" s="260"/>
      <c r="CH110" s="260"/>
      <c r="CI110" s="260"/>
      <c r="CJ110" s="260"/>
      <c r="CK110" s="260"/>
      <c r="CL110" s="260"/>
      <c r="CM110" s="260"/>
      <c r="CN110" s="260">
        <v>5</v>
      </c>
      <c r="CO110" s="260">
        <v>40</v>
      </c>
      <c r="CP110" s="260">
        <v>5</v>
      </c>
      <c r="CQ110" s="260">
        <v>80</v>
      </c>
      <c r="CR110" s="260">
        <v>5</v>
      </c>
      <c r="CS110" s="270">
        <v>80</v>
      </c>
      <c r="CT110" s="331">
        <v>267</v>
      </c>
      <c r="CU110" s="249">
        <f>Table2821115[[#This Row],[D28 - BR/18]]/Table2821115[[#This Row],[D0 - BR/18]]</f>
        <v>4</v>
      </c>
      <c r="CV110" s="248">
        <f>Table2821115[[#This Row],[D28 - KS/17]]/Table2821115[[#This Row],[D0 - KS/17]]</f>
        <v>16</v>
      </c>
      <c r="CW110" s="248">
        <f>Table2821115[[#This Row],[D28 - Phu/13]]/Table2821115[[#This Row],[D0 - Phu/13]]</f>
        <v>4</v>
      </c>
      <c r="CX110" s="248">
        <f>Table2821115[[#This Row],[D28 - CO/17]]/Table2821115[[#This Row],[D0 - CO/17]]</f>
        <v>16</v>
      </c>
      <c r="CY110" s="248">
        <f>LOG(Table2821115[[#This Row],[BR/18 Fold]],2)</f>
        <v>2</v>
      </c>
      <c r="CZ110" s="248">
        <f>LOG(Table2821115[[#This Row],[KS/17 Fold]],2)</f>
        <v>4</v>
      </c>
      <c r="DA110" s="248">
        <f>LOG(Table2821115[[#This Row],[Phu/13 Fold]],2)</f>
        <v>2</v>
      </c>
      <c r="DB110" s="248">
        <f>LOG(Table2821115[[#This Row],[CO/17 Fold]],2)</f>
        <v>4</v>
      </c>
      <c r="DC110" s="248">
        <f>SUM(Table2821115[[#This Row],[BR/18 Log2]:[CO/17 Log2]])</f>
        <v>12</v>
      </c>
    </row>
    <row r="111" spans="1:107" ht="24" customHeight="1">
      <c r="A111" s="330">
        <v>268</v>
      </c>
      <c r="B111" s="210">
        <v>19244</v>
      </c>
      <c r="C111" s="210">
        <v>43732</v>
      </c>
      <c r="D111" s="209">
        <v>67</v>
      </c>
      <c r="E111" s="3" t="s">
        <v>61</v>
      </c>
      <c r="F111" s="143" t="s">
        <v>116</v>
      </c>
      <c r="G111" s="142">
        <v>32.847023106763373</v>
      </c>
      <c r="H111" s="5" t="s">
        <v>64</v>
      </c>
      <c r="I111" s="277" t="s">
        <v>60</v>
      </c>
      <c r="J111" s="260">
        <v>5</v>
      </c>
      <c r="K111" s="260">
        <v>5</v>
      </c>
      <c r="L111" s="260"/>
      <c r="M111" s="260"/>
      <c r="N111" s="260"/>
      <c r="O111" s="260"/>
      <c r="P111" s="260"/>
      <c r="Q111" s="260"/>
      <c r="R111" s="260"/>
      <c r="S111" s="260"/>
      <c r="T111" s="260"/>
      <c r="U111" s="260"/>
      <c r="V111" s="260">
        <v>5</v>
      </c>
      <c r="W111" s="260">
        <v>5</v>
      </c>
      <c r="X111" s="260">
        <v>5</v>
      </c>
      <c r="Y111" s="260">
        <v>10</v>
      </c>
      <c r="Z111" s="260">
        <v>5</v>
      </c>
      <c r="AA111" s="260">
        <v>10</v>
      </c>
      <c r="AB111" s="260">
        <v>5</v>
      </c>
      <c r="AC111" s="260">
        <v>5</v>
      </c>
      <c r="AD111" s="260"/>
      <c r="AE111" s="260"/>
      <c r="AF111" s="260"/>
      <c r="AG111" s="260"/>
      <c r="AH111" s="208">
        <v>268</v>
      </c>
      <c r="AI111" s="272">
        <v>10</v>
      </c>
      <c r="AJ111" s="271">
        <v>20</v>
      </c>
      <c r="AK111" s="260"/>
      <c r="AL111" s="260"/>
      <c r="AM111" s="260"/>
      <c r="AN111" s="260"/>
      <c r="AO111" s="260"/>
      <c r="AP111" s="260"/>
      <c r="AQ111" s="260"/>
      <c r="AR111" s="260"/>
      <c r="AS111" s="260"/>
      <c r="AT111" s="260"/>
      <c r="AU111" s="260">
        <v>20</v>
      </c>
      <c r="AV111" s="271">
        <v>320</v>
      </c>
      <c r="AW111" s="260">
        <v>20</v>
      </c>
      <c r="AX111" s="271">
        <v>1280</v>
      </c>
      <c r="AY111" s="260">
        <v>20</v>
      </c>
      <c r="AZ111" s="271">
        <v>640</v>
      </c>
      <c r="BA111" s="276">
        <v>20</v>
      </c>
      <c r="BB111" s="276">
        <v>640</v>
      </c>
      <c r="BC111" s="276"/>
      <c r="BD111" s="276"/>
      <c r="BE111" s="276">
        <v>10</v>
      </c>
      <c r="BF111" s="276">
        <v>320</v>
      </c>
      <c r="BG111" s="260">
        <v>20</v>
      </c>
      <c r="BH111" s="271">
        <v>160</v>
      </c>
      <c r="BI111" s="276"/>
      <c r="BJ111" s="276"/>
      <c r="BK111" s="276"/>
      <c r="BL111" s="275"/>
      <c r="BM111" s="329">
        <v>268</v>
      </c>
      <c r="BN111" s="272">
        <v>40</v>
      </c>
      <c r="BO111" s="270">
        <v>80</v>
      </c>
      <c r="BP111" s="272"/>
      <c r="BQ111" s="260"/>
      <c r="BR111" s="260"/>
      <c r="BS111" s="260"/>
      <c r="BT111" s="260"/>
      <c r="BU111" s="260"/>
      <c r="BV111" s="260">
        <v>5</v>
      </c>
      <c r="BW111" s="260">
        <v>10</v>
      </c>
      <c r="BX111" s="260"/>
      <c r="BY111" s="260"/>
      <c r="BZ111" s="260"/>
      <c r="CA111" s="260"/>
      <c r="CB111" s="260"/>
      <c r="CC111" s="260"/>
      <c r="CD111" s="260">
        <v>5</v>
      </c>
      <c r="CE111" s="260">
        <v>10</v>
      </c>
      <c r="CF111" s="272"/>
      <c r="CG111" s="260"/>
      <c r="CH111" s="260"/>
      <c r="CI111" s="260"/>
      <c r="CJ111" s="260"/>
      <c r="CK111" s="260"/>
      <c r="CL111" s="260"/>
      <c r="CM111" s="260"/>
      <c r="CN111" s="260">
        <v>10</v>
      </c>
      <c r="CO111" s="260">
        <v>20</v>
      </c>
      <c r="CP111" s="260">
        <v>20</v>
      </c>
      <c r="CQ111" s="260">
        <v>20</v>
      </c>
      <c r="CR111" s="260">
        <v>5</v>
      </c>
      <c r="CS111" s="270">
        <v>10</v>
      </c>
      <c r="CT111" s="328">
        <v>268</v>
      </c>
      <c r="CU111" s="249">
        <f>Table2821115[[#This Row],[D28 - BR/18]]/Table2821115[[#This Row],[D0 - BR/18]]</f>
        <v>1</v>
      </c>
      <c r="CV111" s="248">
        <f>Table2821115[[#This Row],[D28 - KS/17]]/Table2821115[[#This Row],[D0 - KS/17]]</f>
        <v>32</v>
      </c>
      <c r="CW111" s="248">
        <f>Table2821115[[#This Row],[D28 - Phu/13]]/Table2821115[[#This Row],[D0 - Phu/13]]</f>
        <v>2</v>
      </c>
      <c r="CX111" s="248">
        <f>Table2821115[[#This Row],[D28 - CO/17]]/Table2821115[[#This Row],[D0 - CO/17]]</f>
        <v>1</v>
      </c>
      <c r="CY111" s="248">
        <f>LOG(Table2821115[[#This Row],[BR/18 Fold]],2)</f>
        <v>0</v>
      </c>
      <c r="CZ111" s="248">
        <f>LOG(Table2821115[[#This Row],[KS/17 Fold]],2)</f>
        <v>5</v>
      </c>
      <c r="DA111" s="248">
        <f>LOG(Table2821115[[#This Row],[Phu/13 Fold]],2)</f>
        <v>1</v>
      </c>
      <c r="DB111" s="248">
        <f>LOG(Table2821115[[#This Row],[CO/17 Fold]],2)</f>
        <v>0</v>
      </c>
      <c r="DC111" s="248">
        <f>SUM(Table2821115[[#This Row],[BR/18 Log2]:[CO/17 Log2]])</f>
        <v>6</v>
      </c>
    </row>
    <row r="112" spans="1:107" ht="24" customHeight="1">
      <c r="A112" s="330">
        <v>269</v>
      </c>
      <c r="B112" s="210">
        <v>17066</v>
      </c>
      <c r="C112" s="210">
        <v>43741</v>
      </c>
      <c r="D112" s="209">
        <v>73</v>
      </c>
      <c r="E112" s="3" t="s">
        <v>61</v>
      </c>
      <c r="F112" s="143" t="s">
        <v>116</v>
      </c>
      <c r="G112" s="142">
        <v>29.540012602394452</v>
      </c>
      <c r="H112" s="5" t="s">
        <v>64</v>
      </c>
      <c r="I112" s="277" t="s">
        <v>60</v>
      </c>
      <c r="J112" s="260">
        <v>5</v>
      </c>
      <c r="K112" s="260">
        <v>5</v>
      </c>
      <c r="L112" s="260"/>
      <c r="M112" s="260"/>
      <c r="N112" s="260"/>
      <c r="O112" s="260"/>
      <c r="P112" s="260"/>
      <c r="Q112" s="260"/>
      <c r="R112" s="260"/>
      <c r="S112" s="260"/>
      <c r="T112" s="260"/>
      <c r="U112" s="260"/>
      <c r="V112" s="260">
        <v>5</v>
      </c>
      <c r="W112" s="260">
        <v>5</v>
      </c>
      <c r="X112" s="260">
        <v>5</v>
      </c>
      <c r="Y112" s="260">
        <v>5</v>
      </c>
      <c r="Z112" s="260">
        <v>5</v>
      </c>
      <c r="AA112" s="260">
        <v>5</v>
      </c>
      <c r="AB112" s="260">
        <v>5</v>
      </c>
      <c r="AC112" s="260">
        <v>5</v>
      </c>
      <c r="AD112" s="260"/>
      <c r="AE112" s="260"/>
      <c r="AF112" s="260"/>
      <c r="AG112" s="260"/>
      <c r="AH112" s="208">
        <v>269</v>
      </c>
      <c r="AI112" s="272">
        <v>10</v>
      </c>
      <c r="AJ112" s="271">
        <v>10</v>
      </c>
      <c r="AK112" s="260"/>
      <c r="AL112" s="260"/>
      <c r="AM112" s="260"/>
      <c r="AN112" s="260"/>
      <c r="AO112" s="260"/>
      <c r="AP112" s="260"/>
      <c r="AQ112" s="260"/>
      <c r="AR112" s="260"/>
      <c r="AS112" s="260"/>
      <c r="AT112" s="260"/>
      <c r="AU112" s="260">
        <v>5</v>
      </c>
      <c r="AV112" s="271">
        <v>20</v>
      </c>
      <c r="AW112" s="260">
        <v>5</v>
      </c>
      <c r="AX112" s="271">
        <v>20</v>
      </c>
      <c r="AY112" s="260">
        <v>5</v>
      </c>
      <c r="AZ112" s="271">
        <v>10</v>
      </c>
      <c r="BA112" s="276">
        <v>5</v>
      </c>
      <c r="BB112" s="276">
        <v>10</v>
      </c>
      <c r="BC112" s="276"/>
      <c r="BD112" s="276"/>
      <c r="BE112" s="276">
        <v>5</v>
      </c>
      <c r="BF112" s="276">
        <v>20</v>
      </c>
      <c r="BG112" s="260">
        <v>5</v>
      </c>
      <c r="BH112" s="271">
        <v>5</v>
      </c>
      <c r="BI112" s="276"/>
      <c r="BJ112" s="276"/>
      <c r="BK112" s="276"/>
      <c r="BL112" s="275"/>
      <c r="BM112" s="329">
        <v>269</v>
      </c>
      <c r="BN112" s="272">
        <v>10</v>
      </c>
      <c r="BO112" s="270">
        <v>20</v>
      </c>
      <c r="BP112" s="272"/>
      <c r="BQ112" s="260"/>
      <c r="BR112" s="260"/>
      <c r="BS112" s="260"/>
      <c r="BT112" s="260"/>
      <c r="BU112" s="260"/>
      <c r="BV112" s="260">
        <v>5</v>
      </c>
      <c r="BW112" s="260">
        <v>5</v>
      </c>
      <c r="BX112" s="260"/>
      <c r="BY112" s="260"/>
      <c r="BZ112" s="260"/>
      <c r="CA112" s="260"/>
      <c r="CB112" s="260"/>
      <c r="CC112" s="260"/>
      <c r="CD112" s="260">
        <v>5</v>
      </c>
      <c r="CE112" s="260">
        <v>5</v>
      </c>
      <c r="CF112" s="272"/>
      <c r="CG112" s="260"/>
      <c r="CH112" s="260"/>
      <c r="CI112" s="260"/>
      <c r="CJ112" s="260"/>
      <c r="CK112" s="260"/>
      <c r="CL112" s="260"/>
      <c r="CM112" s="260"/>
      <c r="CN112" s="260">
        <v>5</v>
      </c>
      <c r="CO112" s="260">
        <v>5</v>
      </c>
      <c r="CP112" s="260">
        <v>10</v>
      </c>
      <c r="CQ112" s="260">
        <v>10</v>
      </c>
      <c r="CR112" s="260">
        <v>5</v>
      </c>
      <c r="CS112" s="270">
        <v>10</v>
      </c>
      <c r="CT112" s="328">
        <v>269</v>
      </c>
      <c r="CU112" s="249">
        <f>Table2821115[[#This Row],[D28 - BR/18]]/Table2821115[[#This Row],[D0 - BR/18]]</f>
        <v>1</v>
      </c>
      <c r="CV112" s="248">
        <f>Table2821115[[#This Row],[D28 - KS/17]]/Table2821115[[#This Row],[D0 - KS/17]]</f>
        <v>4</v>
      </c>
      <c r="CW112" s="248">
        <f>Table2821115[[#This Row],[D28 - Phu/13]]/Table2821115[[#This Row],[D0 - Phu/13]]</f>
        <v>1</v>
      </c>
      <c r="CX112" s="248">
        <f>Table2821115[[#This Row],[D28 - CO/17]]/Table2821115[[#This Row],[D0 - CO/17]]</f>
        <v>1</v>
      </c>
      <c r="CY112" s="248">
        <f>LOG(Table2821115[[#This Row],[BR/18 Fold]],2)</f>
        <v>0</v>
      </c>
      <c r="CZ112" s="248">
        <f>LOG(Table2821115[[#This Row],[KS/17 Fold]],2)</f>
        <v>2</v>
      </c>
      <c r="DA112" s="248">
        <f>LOG(Table2821115[[#This Row],[Phu/13 Fold]],2)</f>
        <v>0</v>
      </c>
      <c r="DB112" s="248">
        <f>LOG(Table2821115[[#This Row],[CO/17 Fold]],2)</f>
        <v>0</v>
      </c>
      <c r="DC112" s="248">
        <f>SUM(Table2821115[[#This Row],[BR/18 Log2]:[CO/17 Log2]])</f>
        <v>2</v>
      </c>
    </row>
    <row r="113" spans="1:107" ht="24" customHeight="1">
      <c r="A113" s="327">
        <v>270</v>
      </c>
      <c r="B113" s="205">
        <v>19944</v>
      </c>
      <c r="C113" s="205">
        <v>43759</v>
      </c>
      <c r="D113" s="204">
        <v>65</v>
      </c>
      <c r="E113" s="4" t="s">
        <v>58</v>
      </c>
      <c r="F113" s="143" t="s">
        <v>116</v>
      </c>
      <c r="G113" s="142">
        <v>28.821854484443854</v>
      </c>
      <c r="H113" s="11" t="s">
        <v>59</v>
      </c>
      <c r="I113" s="277" t="s">
        <v>62</v>
      </c>
      <c r="J113" s="260">
        <v>5</v>
      </c>
      <c r="K113" s="260">
        <v>5</v>
      </c>
      <c r="L113" s="260"/>
      <c r="M113" s="260"/>
      <c r="N113" s="260"/>
      <c r="O113" s="260"/>
      <c r="P113" s="260"/>
      <c r="Q113" s="260"/>
      <c r="R113" s="260"/>
      <c r="S113" s="260"/>
      <c r="T113" s="260"/>
      <c r="U113" s="260"/>
      <c r="V113" s="260">
        <v>5</v>
      </c>
      <c r="W113" s="260">
        <v>5</v>
      </c>
      <c r="X113" s="260">
        <v>40</v>
      </c>
      <c r="Y113" s="260">
        <v>640</v>
      </c>
      <c r="Z113" s="260">
        <v>40</v>
      </c>
      <c r="AA113" s="260">
        <v>640</v>
      </c>
      <c r="AB113" s="260">
        <v>40</v>
      </c>
      <c r="AC113" s="260">
        <v>640</v>
      </c>
      <c r="AD113" s="260"/>
      <c r="AE113" s="260"/>
      <c r="AF113" s="260"/>
      <c r="AG113" s="260"/>
      <c r="AH113" s="203">
        <v>270</v>
      </c>
      <c r="AI113" s="272">
        <v>80</v>
      </c>
      <c r="AJ113" s="271">
        <v>80</v>
      </c>
      <c r="AK113" s="260"/>
      <c r="AL113" s="260"/>
      <c r="AM113" s="260"/>
      <c r="AN113" s="260"/>
      <c r="AO113" s="260"/>
      <c r="AP113" s="260"/>
      <c r="AQ113" s="260"/>
      <c r="AR113" s="260"/>
      <c r="AS113" s="260"/>
      <c r="AT113" s="260"/>
      <c r="AU113" s="260">
        <v>5</v>
      </c>
      <c r="AV113" s="271">
        <v>5</v>
      </c>
      <c r="AW113" s="260">
        <v>5</v>
      </c>
      <c r="AX113" s="271">
        <v>20</v>
      </c>
      <c r="AY113" s="260">
        <v>5</v>
      </c>
      <c r="AZ113" s="271">
        <v>5</v>
      </c>
      <c r="BA113" s="276">
        <v>5</v>
      </c>
      <c r="BB113" s="276">
        <v>5</v>
      </c>
      <c r="BC113" s="276"/>
      <c r="BD113" s="276"/>
      <c r="BE113" s="276">
        <v>5</v>
      </c>
      <c r="BF113" s="276">
        <v>80</v>
      </c>
      <c r="BG113" s="260">
        <v>10</v>
      </c>
      <c r="BH113" s="271">
        <v>10</v>
      </c>
      <c r="BI113" s="276"/>
      <c r="BJ113" s="276"/>
      <c r="BK113" s="276"/>
      <c r="BL113" s="275"/>
      <c r="BM113" s="326">
        <v>270</v>
      </c>
      <c r="BN113" s="272">
        <v>80</v>
      </c>
      <c r="BO113" s="270">
        <v>80</v>
      </c>
      <c r="BP113" s="272"/>
      <c r="BQ113" s="260"/>
      <c r="BR113" s="260"/>
      <c r="BS113" s="260"/>
      <c r="BT113" s="260"/>
      <c r="BU113" s="260"/>
      <c r="BV113" s="260">
        <v>80</v>
      </c>
      <c r="BW113" s="260">
        <v>80</v>
      </c>
      <c r="BX113" s="260"/>
      <c r="BY113" s="260"/>
      <c r="BZ113" s="260"/>
      <c r="CA113" s="260"/>
      <c r="CB113" s="260"/>
      <c r="CC113" s="260"/>
      <c r="CD113" s="260">
        <v>160</v>
      </c>
      <c r="CE113" s="260">
        <v>160</v>
      </c>
      <c r="CF113" s="272"/>
      <c r="CG113" s="260"/>
      <c r="CH113" s="260"/>
      <c r="CI113" s="260"/>
      <c r="CJ113" s="260"/>
      <c r="CK113" s="260"/>
      <c r="CL113" s="260"/>
      <c r="CM113" s="260"/>
      <c r="CN113" s="260">
        <v>20</v>
      </c>
      <c r="CO113" s="260">
        <v>80</v>
      </c>
      <c r="CP113" s="260">
        <v>5</v>
      </c>
      <c r="CQ113" s="260">
        <v>80</v>
      </c>
      <c r="CR113" s="260">
        <v>5</v>
      </c>
      <c r="CS113" s="270">
        <v>20</v>
      </c>
      <c r="CT113" s="325">
        <v>270</v>
      </c>
      <c r="CU113" s="249">
        <f>Table2821115[[#This Row],[D28 - BR/18]]/Table2821115[[#This Row],[D0 - BR/18]]</f>
        <v>16</v>
      </c>
      <c r="CV113" s="248">
        <f>Table2821115[[#This Row],[D28 - KS/17]]/Table2821115[[#This Row],[D0 - KS/17]]</f>
        <v>16</v>
      </c>
      <c r="CW113" s="248">
        <f>Table2821115[[#This Row],[D28 - Phu/13]]/Table2821115[[#This Row],[D0 - Phu/13]]</f>
        <v>1</v>
      </c>
      <c r="CX113" s="248">
        <f>Table2821115[[#This Row],[D28 - CO/17]]/Table2821115[[#This Row],[D0 - CO/17]]</f>
        <v>16</v>
      </c>
      <c r="CY113" s="248">
        <f>LOG(Table2821115[[#This Row],[BR/18 Fold]],2)</f>
        <v>4</v>
      </c>
      <c r="CZ113" s="248">
        <f>LOG(Table2821115[[#This Row],[KS/17 Fold]],2)</f>
        <v>4</v>
      </c>
      <c r="DA113" s="248">
        <f>LOG(Table2821115[[#This Row],[Phu/13 Fold]],2)</f>
        <v>0</v>
      </c>
      <c r="DB113" s="248">
        <f>LOG(Table2821115[[#This Row],[CO/17 Fold]],2)</f>
        <v>4</v>
      </c>
      <c r="DC113" s="248">
        <f>SUM(Table2821115[[#This Row],[BR/18 Log2]:[CO/17 Log2]])</f>
        <v>12</v>
      </c>
    </row>
    <row r="114" spans="1:107" ht="24" customHeight="1">
      <c r="A114" s="327">
        <v>271</v>
      </c>
      <c r="B114" s="205">
        <v>15700</v>
      </c>
      <c r="C114" s="205">
        <v>43763</v>
      </c>
      <c r="D114" s="204">
        <v>76</v>
      </c>
      <c r="E114" s="4" t="s">
        <v>58</v>
      </c>
      <c r="F114" s="143" t="s">
        <v>116</v>
      </c>
      <c r="G114" s="142">
        <v>26.387461888718057</v>
      </c>
      <c r="H114" s="11" t="s">
        <v>59</v>
      </c>
      <c r="I114" s="277" t="s">
        <v>60</v>
      </c>
      <c r="J114" s="260">
        <v>5</v>
      </c>
      <c r="K114" s="260">
        <v>5</v>
      </c>
      <c r="L114" s="260"/>
      <c r="M114" s="260"/>
      <c r="N114" s="260"/>
      <c r="O114" s="260"/>
      <c r="P114" s="260"/>
      <c r="Q114" s="260"/>
      <c r="R114" s="260"/>
      <c r="S114" s="260"/>
      <c r="T114" s="260"/>
      <c r="U114" s="260"/>
      <c r="V114" s="260">
        <v>5</v>
      </c>
      <c r="W114" s="260">
        <v>10</v>
      </c>
      <c r="X114" s="260">
        <v>5</v>
      </c>
      <c r="Y114" s="260">
        <v>20</v>
      </c>
      <c r="Z114" s="260">
        <v>20</v>
      </c>
      <c r="AA114" s="260">
        <v>20</v>
      </c>
      <c r="AB114" s="260">
        <v>10</v>
      </c>
      <c r="AC114" s="260">
        <v>10</v>
      </c>
      <c r="AD114" s="260"/>
      <c r="AE114" s="260"/>
      <c r="AF114" s="260"/>
      <c r="AG114" s="260"/>
      <c r="AH114" s="203">
        <v>271</v>
      </c>
      <c r="AI114" s="272">
        <v>5</v>
      </c>
      <c r="AJ114" s="271">
        <v>5</v>
      </c>
      <c r="AK114" s="260"/>
      <c r="AL114" s="260"/>
      <c r="AM114" s="260"/>
      <c r="AN114" s="260"/>
      <c r="AO114" s="260"/>
      <c r="AP114" s="260"/>
      <c r="AQ114" s="260"/>
      <c r="AR114" s="260"/>
      <c r="AS114" s="260"/>
      <c r="AT114" s="260"/>
      <c r="AU114" s="260">
        <v>320</v>
      </c>
      <c r="AV114" s="271">
        <v>640</v>
      </c>
      <c r="AW114" s="260">
        <v>320</v>
      </c>
      <c r="AX114" s="271">
        <v>640</v>
      </c>
      <c r="AY114" s="260">
        <v>160</v>
      </c>
      <c r="AZ114" s="271">
        <v>320</v>
      </c>
      <c r="BA114" s="276">
        <v>160</v>
      </c>
      <c r="BB114" s="276">
        <v>320</v>
      </c>
      <c r="BC114" s="276"/>
      <c r="BD114" s="276"/>
      <c r="BE114" s="276">
        <v>80</v>
      </c>
      <c r="BF114" s="276">
        <v>160</v>
      </c>
      <c r="BG114" s="260">
        <v>320</v>
      </c>
      <c r="BH114" s="271">
        <v>640</v>
      </c>
      <c r="BI114" s="276"/>
      <c r="BJ114" s="276"/>
      <c r="BK114" s="276"/>
      <c r="BL114" s="275"/>
      <c r="BM114" s="326">
        <v>271</v>
      </c>
      <c r="BN114" s="272">
        <v>40</v>
      </c>
      <c r="BO114" s="270">
        <v>40</v>
      </c>
      <c r="BP114" s="272"/>
      <c r="BQ114" s="260"/>
      <c r="BR114" s="260"/>
      <c r="BS114" s="260"/>
      <c r="BT114" s="260"/>
      <c r="BU114" s="260"/>
      <c r="BV114" s="260">
        <v>5</v>
      </c>
      <c r="BW114" s="260">
        <v>5</v>
      </c>
      <c r="BX114" s="260"/>
      <c r="BY114" s="260"/>
      <c r="BZ114" s="260"/>
      <c r="CA114" s="260"/>
      <c r="CB114" s="260"/>
      <c r="CC114" s="260"/>
      <c r="CD114" s="260">
        <v>40</v>
      </c>
      <c r="CE114" s="260">
        <v>80</v>
      </c>
      <c r="CF114" s="272"/>
      <c r="CG114" s="260"/>
      <c r="CH114" s="260"/>
      <c r="CI114" s="260"/>
      <c r="CJ114" s="260"/>
      <c r="CK114" s="260"/>
      <c r="CL114" s="260"/>
      <c r="CM114" s="260"/>
      <c r="CN114" s="260">
        <v>20</v>
      </c>
      <c r="CO114" s="260">
        <v>20</v>
      </c>
      <c r="CP114" s="260">
        <v>10</v>
      </c>
      <c r="CQ114" s="260">
        <v>20</v>
      </c>
      <c r="CR114" s="260">
        <v>10</v>
      </c>
      <c r="CS114" s="270">
        <v>10</v>
      </c>
      <c r="CT114" s="325">
        <v>271</v>
      </c>
      <c r="CU114" s="249">
        <f>Table2821115[[#This Row],[D28 - BR/18]]/Table2821115[[#This Row],[D0 - BR/18]]</f>
        <v>1</v>
      </c>
      <c r="CV114" s="248">
        <f>Table2821115[[#This Row],[D28 - KS/17]]/Table2821115[[#This Row],[D0 - KS/17]]</f>
        <v>2</v>
      </c>
      <c r="CW114" s="248">
        <f>Table2821115[[#This Row],[D28 - Phu/13]]/Table2821115[[#This Row],[D0 - Phu/13]]</f>
        <v>2</v>
      </c>
      <c r="CX114" s="248">
        <f>Table2821115[[#This Row],[D28 - CO/17]]/Table2821115[[#This Row],[D0 - CO/17]]</f>
        <v>2</v>
      </c>
      <c r="CY114" s="248">
        <f>LOG(Table2821115[[#This Row],[BR/18 Fold]],2)</f>
        <v>0</v>
      </c>
      <c r="CZ114" s="248">
        <f>LOG(Table2821115[[#This Row],[KS/17 Fold]],2)</f>
        <v>1</v>
      </c>
      <c r="DA114" s="248">
        <f>LOG(Table2821115[[#This Row],[Phu/13 Fold]],2)</f>
        <v>1</v>
      </c>
      <c r="DB114" s="248">
        <f>LOG(Table2821115[[#This Row],[CO/17 Fold]],2)</f>
        <v>1</v>
      </c>
      <c r="DC114" s="248">
        <f>SUM(Table2821115[[#This Row],[BR/18 Log2]:[CO/17 Log2]])</f>
        <v>3</v>
      </c>
    </row>
    <row r="115" spans="1:107" ht="24" customHeight="1">
      <c r="A115" s="318">
        <v>272</v>
      </c>
      <c r="B115" s="180">
        <v>23444</v>
      </c>
      <c r="C115" s="180">
        <v>43745</v>
      </c>
      <c r="D115" s="179">
        <v>55</v>
      </c>
      <c r="E115" s="4" t="s">
        <v>58</v>
      </c>
      <c r="F115" s="143" t="s">
        <v>123</v>
      </c>
      <c r="G115" s="142">
        <v>29.345299586776861</v>
      </c>
      <c r="H115" s="11" t="s">
        <v>59</v>
      </c>
      <c r="I115" s="277" t="s">
        <v>60</v>
      </c>
      <c r="J115" s="260">
        <v>5</v>
      </c>
      <c r="K115" s="260">
        <v>5</v>
      </c>
      <c r="L115" s="260"/>
      <c r="M115" s="260"/>
      <c r="N115" s="260"/>
      <c r="O115" s="260"/>
      <c r="P115" s="260"/>
      <c r="Q115" s="260"/>
      <c r="R115" s="260"/>
      <c r="S115" s="260"/>
      <c r="T115" s="260"/>
      <c r="U115" s="260"/>
      <c r="V115" s="260">
        <v>5</v>
      </c>
      <c r="W115" s="260">
        <v>5</v>
      </c>
      <c r="X115" s="260">
        <v>5</v>
      </c>
      <c r="Y115" s="260">
        <v>20</v>
      </c>
      <c r="Z115" s="260">
        <v>5</v>
      </c>
      <c r="AA115" s="260">
        <v>80</v>
      </c>
      <c r="AB115" s="260">
        <v>5</v>
      </c>
      <c r="AC115" s="260">
        <v>40</v>
      </c>
      <c r="AD115" s="260"/>
      <c r="AE115" s="260"/>
      <c r="AF115" s="260"/>
      <c r="AG115" s="260"/>
      <c r="AH115" s="195">
        <v>272</v>
      </c>
      <c r="AI115" s="272">
        <v>5</v>
      </c>
      <c r="AJ115" s="271">
        <v>20</v>
      </c>
      <c r="AK115" s="260"/>
      <c r="AL115" s="260"/>
      <c r="AM115" s="260"/>
      <c r="AN115" s="260"/>
      <c r="AO115" s="260"/>
      <c r="AP115" s="260"/>
      <c r="AQ115" s="260"/>
      <c r="AR115" s="260"/>
      <c r="AS115" s="260"/>
      <c r="AT115" s="260"/>
      <c r="AU115" s="260">
        <v>20</v>
      </c>
      <c r="AV115" s="271">
        <v>80</v>
      </c>
      <c r="AW115" s="260">
        <v>20</v>
      </c>
      <c r="AX115" s="271">
        <v>40</v>
      </c>
      <c r="AY115" s="260">
        <v>5</v>
      </c>
      <c r="AZ115" s="271">
        <v>40</v>
      </c>
      <c r="BA115" s="276">
        <v>10</v>
      </c>
      <c r="BB115" s="276">
        <v>40</v>
      </c>
      <c r="BC115" s="276"/>
      <c r="BD115" s="276"/>
      <c r="BE115" s="276">
        <v>5</v>
      </c>
      <c r="BF115" s="276">
        <v>20</v>
      </c>
      <c r="BG115" s="260">
        <v>10</v>
      </c>
      <c r="BH115" s="271">
        <v>40</v>
      </c>
      <c r="BI115" s="276"/>
      <c r="BJ115" s="276"/>
      <c r="BK115" s="276"/>
      <c r="BL115" s="275"/>
      <c r="BM115" s="316">
        <v>272</v>
      </c>
      <c r="BN115" s="272">
        <v>20</v>
      </c>
      <c r="BO115" s="270">
        <v>40</v>
      </c>
      <c r="BP115" s="272"/>
      <c r="BQ115" s="260"/>
      <c r="BR115" s="260"/>
      <c r="BS115" s="260"/>
      <c r="BT115" s="260"/>
      <c r="BU115" s="260"/>
      <c r="BV115" s="260">
        <v>5</v>
      </c>
      <c r="BW115" s="260">
        <v>80</v>
      </c>
      <c r="BX115" s="260"/>
      <c r="BY115" s="260"/>
      <c r="BZ115" s="260"/>
      <c r="CA115" s="260"/>
      <c r="CB115" s="260"/>
      <c r="CC115" s="260"/>
      <c r="CD115" s="260">
        <v>80</v>
      </c>
      <c r="CE115" s="260">
        <v>80</v>
      </c>
      <c r="CF115" s="272"/>
      <c r="CG115" s="260"/>
      <c r="CH115" s="260"/>
      <c r="CI115" s="260"/>
      <c r="CJ115" s="260"/>
      <c r="CK115" s="260"/>
      <c r="CL115" s="260"/>
      <c r="CM115" s="260"/>
      <c r="CN115" s="260">
        <v>40</v>
      </c>
      <c r="CO115" s="260">
        <v>40</v>
      </c>
      <c r="CP115" s="260">
        <v>80</v>
      </c>
      <c r="CQ115" s="260">
        <v>160</v>
      </c>
      <c r="CR115" s="260">
        <v>80</v>
      </c>
      <c r="CS115" s="270">
        <v>80</v>
      </c>
      <c r="CT115" s="315">
        <v>272</v>
      </c>
      <c r="CU115" s="249">
        <f>Table2821115[[#This Row],[D28 - BR/18]]/Table2821115[[#This Row],[D0 - BR/18]]</f>
        <v>8</v>
      </c>
      <c r="CV115" s="248">
        <f>Table2821115[[#This Row],[D28 - KS/17]]/Table2821115[[#This Row],[D0 - KS/17]]</f>
        <v>4</v>
      </c>
      <c r="CW115" s="248">
        <f>Table2821115[[#This Row],[D28 - Phu/13]]/Table2821115[[#This Row],[D0 - Phu/13]]</f>
        <v>1</v>
      </c>
      <c r="CX115" s="248">
        <f>Table2821115[[#This Row],[D28 - CO/17]]/Table2821115[[#This Row],[D0 - CO/17]]</f>
        <v>2</v>
      </c>
      <c r="CY115" s="248">
        <f>LOG(Table2821115[[#This Row],[BR/18 Fold]],2)</f>
        <v>3</v>
      </c>
      <c r="CZ115" s="248">
        <f>LOG(Table2821115[[#This Row],[KS/17 Fold]],2)</f>
        <v>2</v>
      </c>
      <c r="DA115" s="248">
        <f>LOG(Table2821115[[#This Row],[Phu/13 Fold]],2)</f>
        <v>0</v>
      </c>
      <c r="DB115" s="248">
        <f>LOG(Table2821115[[#This Row],[CO/17 Fold]],2)</f>
        <v>1</v>
      </c>
      <c r="DC115" s="248">
        <f>SUM(Table2821115[[#This Row],[BR/18 Log2]:[CO/17 Log2]])</f>
        <v>6</v>
      </c>
    </row>
    <row r="116" spans="1:107" ht="24" customHeight="1">
      <c r="A116" s="330">
        <v>273</v>
      </c>
      <c r="B116" s="210">
        <v>17212</v>
      </c>
      <c r="C116" s="210">
        <v>43733</v>
      </c>
      <c r="D116" s="209">
        <v>72</v>
      </c>
      <c r="E116" s="4" t="s">
        <v>58</v>
      </c>
      <c r="F116" s="143" t="s">
        <v>116</v>
      </c>
      <c r="G116" s="142">
        <v>29.33244153248997</v>
      </c>
      <c r="H116" s="5" t="s">
        <v>64</v>
      </c>
      <c r="I116" s="277" t="s">
        <v>60</v>
      </c>
      <c r="J116" s="260">
        <v>5</v>
      </c>
      <c r="K116" s="260">
        <v>5</v>
      </c>
      <c r="L116" s="260"/>
      <c r="M116" s="260"/>
      <c r="N116" s="260"/>
      <c r="O116" s="260"/>
      <c r="P116" s="260"/>
      <c r="Q116" s="260"/>
      <c r="R116" s="260"/>
      <c r="S116" s="260"/>
      <c r="T116" s="260"/>
      <c r="U116" s="260"/>
      <c r="V116" s="260">
        <v>5</v>
      </c>
      <c r="W116" s="260">
        <v>5</v>
      </c>
      <c r="X116" s="260">
        <v>5</v>
      </c>
      <c r="Y116" s="260">
        <v>10</v>
      </c>
      <c r="Z116" s="260">
        <v>10</v>
      </c>
      <c r="AA116" s="260">
        <v>10</v>
      </c>
      <c r="AB116" s="260">
        <v>10</v>
      </c>
      <c r="AC116" s="260">
        <v>10</v>
      </c>
      <c r="AD116" s="260"/>
      <c r="AE116" s="260"/>
      <c r="AF116" s="260"/>
      <c r="AG116" s="260"/>
      <c r="AH116" s="208">
        <v>273</v>
      </c>
      <c r="AI116" s="272">
        <v>20</v>
      </c>
      <c r="AJ116" s="271">
        <v>20</v>
      </c>
      <c r="AK116" s="260"/>
      <c r="AL116" s="260"/>
      <c r="AM116" s="260"/>
      <c r="AN116" s="260"/>
      <c r="AO116" s="260"/>
      <c r="AP116" s="260"/>
      <c r="AQ116" s="260"/>
      <c r="AR116" s="260"/>
      <c r="AS116" s="260"/>
      <c r="AT116" s="260"/>
      <c r="AU116" s="260">
        <v>10</v>
      </c>
      <c r="AV116" s="271">
        <v>10</v>
      </c>
      <c r="AW116" s="260">
        <v>5</v>
      </c>
      <c r="AX116" s="271">
        <v>10</v>
      </c>
      <c r="AY116" s="260">
        <v>5</v>
      </c>
      <c r="AZ116" s="271">
        <v>10</v>
      </c>
      <c r="BA116" s="276">
        <v>5</v>
      </c>
      <c r="BB116" s="276">
        <v>5</v>
      </c>
      <c r="BC116" s="276"/>
      <c r="BD116" s="276"/>
      <c r="BE116" s="276">
        <v>5</v>
      </c>
      <c r="BF116" s="276">
        <v>5</v>
      </c>
      <c r="BG116" s="260">
        <v>5</v>
      </c>
      <c r="BH116" s="271">
        <v>5</v>
      </c>
      <c r="BI116" s="276"/>
      <c r="BJ116" s="276"/>
      <c r="BK116" s="276"/>
      <c r="BL116" s="275"/>
      <c r="BM116" s="329">
        <v>273</v>
      </c>
      <c r="BN116" s="272">
        <v>40</v>
      </c>
      <c r="BO116" s="270">
        <v>40</v>
      </c>
      <c r="BP116" s="272"/>
      <c r="BQ116" s="260"/>
      <c r="BR116" s="260"/>
      <c r="BS116" s="260"/>
      <c r="BT116" s="260"/>
      <c r="BU116" s="260"/>
      <c r="BV116" s="260">
        <v>10</v>
      </c>
      <c r="BW116" s="260">
        <v>10</v>
      </c>
      <c r="BX116" s="260"/>
      <c r="BY116" s="260"/>
      <c r="BZ116" s="260"/>
      <c r="CA116" s="260"/>
      <c r="CB116" s="260"/>
      <c r="CC116" s="260"/>
      <c r="CD116" s="260">
        <v>20</v>
      </c>
      <c r="CE116" s="260">
        <v>20</v>
      </c>
      <c r="CF116" s="272"/>
      <c r="CG116" s="260"/>
      <c r="CH116" s="260"/>
      <c r="CI116" s="260"/>
      <c r="CJ116" s="260"/>
      <c r="CK116" s="260"/>
      <c r="CL116" s="260"/>
      <c r="CM116" s="260"/>
      <c r="CN116" s="260">
        <v>5</v>
      </c>
      <c r="CO116" s="260">
        <v>10</v>
      </c>
      <c r="CP116" s="260">
        <v>20</v>
      </c>
      <c r="CQ116" s="260">
        <v>40</v>
      </c>
      <c r="CR116" s="260">
        <v>10</v>
      </c>
      <c r="CS116" s="270">
        <v>20</v>
      </c>
      <c r="CT116" s="328">
        <v>273</v>
      </c>
      <c r="CU116" s="249">
        <f>Table2821115[[#This Row],[D28 - BR/18]]/Table2821115[[#This Row],[D0 - BR/18]]</f>
        <v>1</v>
      </c>
      <c r="CV116" s="248">
        <f>Table2821115[[#This Row],[D28 - KS/17]]/Table2821115[[#This Row],[D0 - KS/17]]</f>
        <v>1</v>
      </c>
      <c r="CW116" s="248">
        <f>Table2821115[[#This Row],[D28 - Phu/13]]/Table2821115[[#This Row],[D0 - Phu/13]]</f>
        <v>1</v>
      </c>
      <c r="CX116" s="248">
        <f>Table2821115[[#This Row],[D28 - CO/17]]/Table2821115[[#This Row],[D0 - CO/17]]</f>
        <v>2</v>
      </c>
      <c r="CY116" s="248">
        <f>LOG(Table2821115[[#This Row],[BR/18 Fold]],2)</f>
        <v>0</v>
      </c>
      <c r="CZ116" s="248">
        <f>LOG(Table2821115[[#This Row],[KS/17 Fold]],2)</f>
        <v>0</v>
      </c>
      <c r="DA116" s="248">
        <f>LOG(Table2821115[[#This Row],[Phu/13 Fold]],2)</f>
        <v>0</v>
      </c>
      <c r="DB116" s="248">
        <f>LOG(Table2821115[[#This Row],[CO/17 Fold]],2)</f>
        <v>1</v>
      </c>
      <c r="DC116" s="248">
        <f>SUM(Table2821115[[#This Row],[BR/18 Log2]:[CO/17 Log2]])</f>
        <v>1</v>
      </c>
    </row>
    <row r="117" spans="1:107" ht="24" customHeight="1">
      <c r="A117" s="330">
        <v>274</v>
      </c>
      <c r="B117" s="210">
        <v>17278</v>
      </c>
      <c r="C117" s="210">
        <v>43733</v>
      </c>
      <c r="D117" s="209">
        <v>72</v>
      </c>
      <c r="E117" s="3" t="s">
        <v>61</v>
      </c>
      <c r="F117" s="143" t="s">
        <v>116</v>
      </c>
      <c r="G117" s="142">
        <v>28.069337356469617</v>
      </c>
      <c r="H117" s="5" t="s">
        <v>64</v>
      </c>
      <c r="I117" s="277" t="s">
        <v>60</v>
      </c>
      <c r="J117" s="260">
        <v>5</v>
      </c>
      <c r="K117" s="260">
        <v>5</v>
      </c>
      <c r="L117" s="260"/>
      <c r="M117" s="260"/>
      <c r="N117" s="260"/>
      <c r="O117" s="260"/>
      <c r="P117" s="260"/>
      <c r="Q117" s="260"/>
      <c r="R117" s="260"/>
      <c r="S117" s="260"/>
      <c r="T117" s="260"/>
      <c r="U117" s="260"/>
      <c r="V117" s="260">
        <v>5</v>
      </c>
      <c r="W117" s="260">
        <v>10</v>
      </c>
      <c r="X117" s="260">
        <v>10</v>
      </c>
      <c r="Y117" s="260">
        <v>20</v>
      </c>
      <c r="Z117" s="260">
        <v>20</v>
      </c>
      <c r="AA117" s="260">
        <v>20</v>
      </c>
      <c r="AB117" s="260">
        <v>10</v>
      </c>
      <c r="AC117" s="260">
        <v>20</v>
      </c>
      <c r="AD117" s="260"/>
      <c r="AE117" s="260"/>
      <c r="AF117" s="260"/>
      <c r="AG117" s="260"/>
      <c r="AH117" s="208">
        <v>274</v>
      </c>
      <c r="AI117" s="272">
        <v>5</v>
      </c>
      <c r="AJ117" s="271">
        <v>10</v>
      </c>
      <c r="AK117" s="260"/>
      <c r="AL117" s="260"/>
      <c r="AM117" s="260"/>
      <c r="AN117" s="260"/>
      <c r="AO117" s="260"/>
      <c r="AP117" s="260"/>
      <c r="AQ117" s="260"/>
      <c r="AR117" s="260"/>
      <c r="AS117" s="260"/>
      <c r="AT117" s="260"/>
      <c r="AU117" s="260">
        <v>10</v>
      </c>
      <c r="AV117" s="271">
        <v>10</v>
      </c>
      <c r="AW117" s="260">
        <v>5</v>
      </c>
      <c r="AX117" s="271">
        <v>10</v>
      </c>
      <c r="AY117" s="260">
        <v>10</v>
      </c>
      <c r="AZ117" s="271">
        <v>10</v>
      </c>
      <c r="BA117" s="276">
        <v>10</v>
      </c>
      <c r="BB117" s="276">
        <v>10</v>
      </c>
      <c r="BC117" s="276"/>
      <c r="BD117" s="276"/>
      <c r="BE117" s="276">
        <v>5</v>
      </c>
      <c r="BF117" s="276">
        <v>5</v>
      </c>
      <c r="BG117" s="260">
        <v>10</v>
      </c>
      <c r="BH117" s="271">
        <v>10</v>
      </c>
      <c r="BI117" s="276"/>
      <c r="BJ117" s="276"/>
      <c r="BK117" s="276"/>
      <c r="BL117" s="275"/>
      <c r="BM117" s="329">
        <v>274</v>
      </c>
      <c r="BN117" s="272">
        <v>5</v>
      </c>
      <c r="BO117" s="270">
        <v>5</v>
      </c>
      <c r="BP117" s="272"/>
      <c r="BQ117" s="260"/>
      <c r="BR117" s="260"/>
      <c r="BS117" s="260"/>
      <c r="BT117" s="260"/>
      <c r="BU117" s="260"/>
      <c r="BV117" s="260">
        <v>5</v>
      </c>
      <c r="BW117" s="260">
        <v>10</v>
      </c>
      <c r="BX117" s="260"/>
      <c r="BY117" s="260"/>
      <c r="BZ117" s="260"/>
      <c r="CA117" s="260"/>
      <c r="CB117" s="260"/>
      <c r="CC117" s="260"/>
      <c r="CD117" s="260">
        <v>20</v>
      </c>
      <c r="CE117" s="260">
        <v>10</v>
      </c>
      <c r="CF117" s="272"/>
      <c r="CG117" s="260"/>
      <c r="CH117" s="260"/>
      <c r="CI117" s="260"/>
      <c r="CJ117" s="260"/>
      <c r="CK117" s="260"/>
      <c r="CL117" s="260"/>
      <c r="CM117" s="260"/>
      <c r="CN117" s="260">
        <v>10</v>
      </c>
      <c r="CO117" s="260">
        <v>20</v>
      </c>
      <c r="CP117" s="260">
        <v>20</v>
      </c>
      <c r="CQ117" s="260">
        <v>40</v>
      </c>
      <c r="CR117" s="260">
        <v>10</v>
      </c>
      <c r="CS117" s="270">
        <v>20</v>
      </c>
      <c r="CT117" s="328">
        <v>274</v>
      </c>
      <c r="CU117" s="249">
        <f>Table2821115[[#This Row],[D28 - BR/18]]/Table2821115[[#This Row],[D0 - BR/18]]</f>
        <v>2</v>
      </c>
      <c r="CV117" s="248">
        <f>Table2821115[[#This Row],[D28 - KS/17]]/Table2821115[[#This Row],[D0 - KS/17]]</f>
        <v>1</v>
      </c>
      <c r="CW117" s="248">
        <f>Table2821115[[#This Row],[D28 - Phu/13]]/Table2821115[[#This Row],[D0 - Phu/13]]</f>
        <v>0.5</v>
      </c>
      <c r="CX117" s="248">
        <f>Table2821115[[#This Row],[D28 - CO/17]]/Table2821115[[#This Row],[D0 - CO/17]]</f>
        <v>2</v>
      </c>
      <c r="CY117" s="248">
        <f>LOG(Table2821115[[#This Row],[BR/18 Fold]],2)</f>
        <v>1</v>
      </c>
      <c r="CZ117" s="248">
        <f>LOG(Table2821115[[#This Row],[KS/17 Fold]],2)</f>
        <v>0</v>
      </c>
      <c r="DA117" s="248">
        <f>LOG(Table2821115[[#This Row],[Phu/13 Fold]],2)</f>
        <v>-1</v>
      </c>
      <c r="DB117" s="248">
        <f>LOG(Table2821115[[#This Row],[CO/17 Fold]],2)</f>
        <v>1</v>
      </c>
      <c r="DC117" s="248">
        <f>SUM(Table2821115[[#This Row],[BR/18 Log2]:[CO/17 Log2]])</f>
        <v>1</v>
      </c>
    </row>
    <row r="118" spans="1:107" ht="24" customHeight="1">
      <c r="A118" s="330">
        <v>275</v>
      </c>
      <c r="B118" s="210">
        <v>16131</v>
      </c>
      <c r="C118" s="210">
        <v>43740</v>
      </c>
      <c r="D118" s="209">
        <v>75</v>
      </c>
      <c r="E118" s="3" t="s">
        <v>61</v>
      </c>
      <c r="F118" s="143" t="s">
        <v>116</v>
      </c>
      <c r="G118" s="142">
        <v>41.923229031458263</v>
      </c>
      <c r="H118" s="5" t="s">
        <v>64</v>
      </c>
      <c r="I118" s="277" t="s">
        <v>60</v>
      </c>
      <c r="J118" s="260">
        <v>5</v>
      </c>
      <c r="K118" s="260">
        <v>5</v>
      </c>
      <c r="L118" s="260"/>
      <c r="M118" s="260"/>
      <c r="N118" s="260"/>
      <c r="O118" s="260"/>
      <c r="P118" s="260"/>
      <c r="Q118" s="260"/>
      <c r="R118" s="260"/>
      <c r="S118" s="260"/>
      <c r="T118" s="260"/>
      <c r="U118" s="260"/>
      <c r="V118" s="260">
        <v>5</v>
      </c>
      <c r="W118" s="260">
        <v>5</v>
      </c>
      <c r="X118" s="260">
        <v>5</v>
      </c>
      <c r="Y118" s="260">
        <v>40</v>
      </c>
      <c r="Z118" s="260">
        <v>5</v>
      </c>
      <c r="AA118" s="260">
        <v>80</v>
      </c>
      <c r="AB118" s="260">
        <v>5</v>
      </c>
      <c r="AC118" s="260">
        <v>40</v>
      </c>
      <c r="AD118" s="260"/>
      <c r="AE118" s="260"/>
      <c r="AF118" s="260"/>
      <c r="AG118" s="260"/>
      <c r="AH118" s="208">
        <v>275</v>
      </c>
      <c r="AI118" s="272">
        <v>20</v>
      </c>
      <c r="AJ118" s="271">
        <v>20</v>
      </c>
      <c r="AK118" s="260"/>
      <c r="AL118" s="260"/>
      <c r="AM118" s="260"/>
      <c r="AN118" s="260"/>
      <c r="AO118" s="260"/>
      <c r="AP118" s="260"/>
      <c r="AQ118" s="260"/>
      <c r="AR118" s="260"/>
      <c r="AS118" s="260"/>
      <c r="AT118" s="260"/>
      <c r="AU118" s="260">
        <v>20</v>
      </c>
      <c r="AV118" s="271">
        <v>40</v>
      </c>
      <c r="AW118" s="260">
        <v>10</v>
      </c>
      <c r="AX118" s="271">
        <v>40</v>
      </c>
      <c r="AY118" s="260">
        <v>10</v>
      </c>
      <c r="AZ118" s="271">
        <v>10</v>
      </c>
      <c r="BA118" s="276">
        <v>5</v>
      </c>
      <c r="BB118" s="276">
        <v>20</v>
      </c>
      <c r="BC118" s="276"/>
      <c r="BD118" s="276"/>
      <c r="BE118" s="276">
        <v>5</v>
      </c>
      <c r="BF118" s="276">
        <v>20</v>
      </c>
      <c r="BG118" s="260">
        <v>5</v>
      </c>
      <c r="BH118" s="271">
        <v>10</v>
      </c>
      <c r="BI118" s="276"/>
      <c r="BJ118" s="276"/>
      <c r="BK118" s="276"/>
      <c r="BL118" s="275"/>
      <c r="BM118" s="329">
        <v>275</v>
      </c>
      <c r="BN118" s="272">
        <v>80</v>
      </c>
      <c r="BO118" s="270">
        <v>160</v>
      </c>
      <c r="BP118" s="272"/>
      <c r="BQ118" s="260"/>
      <c r="BR118" s="260"/>
      <c r="BS118" s="260"/>
      <c r="BT118" s="260"/>
      <c r="BU118" s="260"/>
      <c r="BV118" s="260">
        <v>160</v>
      </c>
      <c r="BW118" s="260">
        <v>320</v>
      </c>
      <c r="BX118" s="260"/>
      <c r="BY118" s="260"/>
      <c r="BZ118" s="260"/>
      <c r="CA118" s="260"/>
      <c r="CB118" s="260"/>
      <c r="CC118" s="260"/>
      <c r="CD118" s="260">
        <v>320</v>
      </c>
      <c r="CE118" s="260">
        <v>320</v>
      </c>
      <c r="CF118" s="272"/>
      <c r="CG118" s="260"/>
      <c r="CH118" s="260"/>
      <c r="CI118" s="260"/>
      <c r="CJ118" s="260"/>
      <c r="CK118" s="260"/>
      <c r="CL118" s="260"/>
      <c r="CM118" s="260"/>
      <c r="CN118" s="260">
        <v>5</v>
      </c>
      <c r="CO118" s="260">
        <v>40</v>
      </c>
      <c r="CP118" s="260">
        <v>10</v>
      </c>
      <c r="CQ118" s="260">
        <v>80</v>
      </c>
      <c r="CR118" s="260">
        <v>10</v>
      </c>
      <c r="CS118" s="270">
        <v>40</v>
      </c>
      <c r="CT118" s="328">
        <v>275</v>
      </c>
      <c r="CU118" s="249">
        <f>Table2821115[[#This Row],[D28 - BR/18]]/Table2821115[[#This Row],[D0 - BR/18]]</f>
        <v>8</v>
      </c>
      <c r="CV118" s="248">
        <f>Table2821115[[#This Row],[D28 - KS/17]]/Table2821115[[#This Row],[D0 - KS/17]]</f>
        <v>4</v>
      </c>
      <c r="CW118" s="248">
        <f>Table2821115[[#This Row],[D28 - Phu/13]]/Table2821115[[#This Row],[D0 - Phu/13]]</f>
        <v>1</v>
      </c>
      <c r="CX118" s="248">
        <f>Table2821115[[#This Row],[D28 - CO/17]]/Table2821115[[#This Row],[D0 - CO/17]]</f>
        <v>8</v>
      </c>
      <c r="CY118" s="248">
        <f>LOG(Table2821115[[#This Row],[BR/18 Fold]],2)</f>
        <v>3</v>
      </c>
      <c r="CZ118" s="248">
        <f>LOG(Table2821115[[#This Row],[KS/17 Fold]],2)</f>
        <v>2</v>
      </c>
      <c r="DA118" s="248">
        <f>LOG(Table2821115[[#This Row],[Phu/13 Fold]],2)</f>
        <v>0</v>
      </c>
      <c r="DB118" s="248">
        <f>LOG(Table2821115[[#This Row],[CO/17 Fold]],2)</f>
        <v>3</v>
      </c>
      <c r="DC118" s="248">
        <f>SUM(Table2821115[[#This Row],[BR/18 Log2]:[CO/17 Log2]])</f>
        <v>8</v>
      </c>
    </row>
    <row r="119" spans="1:107" ht="24" customHeight="1">
      <c r="A119" s="330">
        <v>276</v>
      </c>
      <c r="B119" s="210">
        <v>18780</v>
      </c>
      <c r="C119" s="210">
        <v>43734</v>
      </c>
      <c r="D119" s="209">
        <v>68</v>
      </c>
      <c r="E119" s="3" t="s">
        <v>61</v>
      </c>
      <c r="F119" s="143" t="s">
        <v>116</v>
      </c>
      <c r="G119" s="142">
        <v>30.376125975284079</v>
      </c>
      <c r="H119" s="5" t="s">
        <v>64</v>
      </c>
      <c r="I119" s="277" t="s">
        <v>60</v>
      </c>
      <c r="J119" s="260">
        <v>5</v>
      </c>
      <c r="K119" s="260">
        <v>5</v>
      </c>
      <c r="L119" s="260"/>
      <c r="M119" s="260"/>
      <c r="N119" s="260"/>
      <c r="O119" s="260"/>
      <c r="P119" s="260"/>
      <c r="Q119" s="260"/>
      <c r="R119" s="260"/>
      <c r="S119" s="260"/>
      <c r="T119" s="260"/>
      <c r="U119" s="260"/>
      <c r="V119" s="260">
        <v>5</v>
      </c>
      <c r="W119" s="260">
        <v>5</v>
      </c>
      <c r="X119" s="260">
        <v>5</v>
      </c>
      <c r="Y119" s="260">
        <v>40</v>
      </c>
      <c r="Z119" s="260">
        <v>10</v>
      </c>
      <c r="AA119" s="260">
        <v>40</v>
      </c>
      <c r="AB119" s="260">
        <v>5</v>
      </c>
      <c r="AC119" s="260">
        <v>20</v>
      </c>
      <c r="AD119" s="260"/>
      <c r="AE119" s="260"/>
      <c r="AF119" s="260"/>
      <c r="AG119" s="260"/>
      <c r="AH119" s="208">
        <v>276</v>
      </c>
      <c r="AI119" s="272">
        <v>5</v>
      </c>
      <c r="AJ119" s="271">
        <v>5</v>
      </c>
      <c r="AK119" s="260"/>
      <c r="AL119" s="260"/>
      <c r="AM119" s="260"/>
      <c r="AN119" s="260"/>
      <c r="AO119" s="260"/>
      <c r="AP119" s="260"/>
      <c r="AQ119" s="260"/>
      <c r="AR119" s="260"/>
      <c r="AS119" s="260"/>
      <c r="AT119" s="260"/>
      <c r="AU119" s="260">
        <v>40</v>
      </c>
      <c r="AV119" s="271">
        <v>80</v>
      </c>
      <c r="AW119" s="260">
        <v>80</v>
      </c>
      <c r="AX119" s="271">
        <v>80</v>
      </c>
      <c r="AY119" s="260">
        <v>5</v>
      </c>
      <c r="AZ119" s="271">
        <v>10</v>
      </c>
      <c r="BA119" s="276">
        <v>10</v>
      </c>
      <c r="BB119" s="276">
        <v>20</v>
      </c>
      <c r="BC119" s="276"/>
      <c r="BD119" s="276"/>
      <c r="BE119" s="276">
        <v>10</v>
      </c>
      <c r="BF119" s="276">
        <v>20</v>
      </c>
      <c r="BG119" s="260">
        <v>40</v>
      </c>
      <c r="BH119" s="271">
        <v>80</v>
      </c>
      <c r="BI119" s="276"/>
      <c r="BJ119" s="276"/>
      <c r="BK119" s="276"/>
      <c r="BL119" s="275"/>
      <c r="BM119" s="329">
        <v>276</v>
      </c>
      <c r="BN119" s="272">
        <v>160</v>
      </c>
      <c r="BO119" s="270">
        <v>160</v>
      </c>
      <c r="BP119" s="272"/>
      <c r="BQ119" s="260"/>
      <c r="BR119" s="260"/>
      <c r="BS119" s="260"/>
      <c r="BT119" s="260"/>
      <c r="BU119" s="260"/>
      <c r="BV119" s="260">
        <v>5</v>
      </c>
      <c r="BW119" s="260">
        <v>40</v>
      </c>
      <c r="BX119" s="260"/>
      <c r="BY119" s="260"/>
      <c r="BZ119" s="260"/>
      <c r="CA119" s="260"/>
      <c r="CB119" s="260"/>
      <c r="CC119" s="260"/>
      <c r="CD119" s="260">
        <v>40</v>
      </c>
      <c r="CE119" s="260">
        <v>40</v>
      </c>
      <c r="CF119" s="272"/>
      <c r="CG119" s="260"/>
      <c r="CH119" s="260"/>
      <c r="CI119" s="260"/>
      <c r="CJ119" s="260"/>
      <c r="CK119" s="260"/>
      <c r="CL119" s="260"/>
      <c r="CM119" s="260"/>
      <c r="CN119" s="260">
        <v>10</v>
      </c>
      <c r="CO119" s="260">
        <v>40</v>
      </c>
      <c r="CP119" s="260">
        <v>40</v>
      </c>
      <c r="CQ119" s="260">
        <v>80</v>
      </c>
      <c r="CR119" s="260">
        <v>10</v>
      </c>
      <c r="CS119" s="270">
        <v>20</v>
      </c>
      <c r="CT119" s="328">
        <v>276</v>
      </c>
      <c r="CU119" s="249">
        <f>Table2821115[[#This Row],[D28 - BR/18]]/Table2821115[[#This Row],[D0 - BR/18]]</f>
        <v>4</v>
      </c>
      <c r="CV119" s="248">
        <f>Table2821115[[#This Row],[D28 - KS/17]]/Table2821115[[#This Row],[D0 - KS/17]]</f>
        <v>2</v>
      </c>
      <c r="CW119" s="248">
        <f>Table2821115[[#This Row],[D28 - Phu/13]]/Table2821115[[#This Row],[D0 - Phu/13]]</f>
        <v>1</v>
      </c>
      <c r="CX119" s="248">
        <f>Table2821115[[#This Row],[D28 - CO/17]]/Table2821115[[#This Row],[D0 - CO/17]]</f>
        <v>2</v>
      </c>
      <c r="CY119" s="248">
        <f>LOG(Table2821115[[#This Row],[BR/18 Fold]],2)</f>
        <v>2</v>
      </c>
      <c r="CZ119" s="248">
        <f>LOG(Table2821115[[#This Row],[KS/17 Fold]],2)</f>
        <v>1</v>
      </c>
      <c r="DA119" s="248">
        <f>LOG(Table2821115[[#This Row],[Phu/13 Fold]],2)</f>
        <v>0</v>
      </c>
      <c r="DB119" s="248">
        <f>LOG(Table2821115[[#This Row],[CO/17 Fold]],2)</f>
        <v>1</v>
      </c>
      <c r="DC119" s="248">
        <f>SUM(Table2821115[[#This Row],[BR/18 Log2]:[CO/17 Log2]])</f>
        <v>4</v>
      </c>
    </row>
    <row r="120" spans="1:107" ht="24" customHeight="1">
      <c r="A120" s="318">
        <v>277</v>
      </c>
      <c r="B120" s="180">
        <v>25250</v>
      </c>
      <c r="C120" s="180">
        <v>43738</v>
      </c>
      <c r="D120" s="179">
        <v>50</v>
      </c>
      <c r="E120" s="4" t="s">
        <v>58</v>
      </c>
      <c r="F120" s="143" t="s">
        <v>117</v>
      </c>
      <c r="G120" s="142">
        <v>26.005968300926199</v>
      </c>
      <c r="H120" s="11" t="s">
        <v>59</v>
      </c>
      <c r="I120" s="277" t="s">
        <v>60</v>
      </c>
      <c r="J120" s="260">
        <v>5</v>
      </c>
      <c r="K120" s="260">
        <v>5</v>
      </c>
      <c r="L120" s="260"/>
      <c r="M120" s="260"/>
      <c r="N120" s="260"/>
      <c r="O120" s="260"/>
      <c r="P120" s="260"/>
      <c r="Q120" s="260"/>
      <c r="R120" s="260"/>
      <c r="S120" s="260"/>
      <c r="T120" s="260"/>
      <c r="U120" s="260"/>
      <c r="V120" s="260">
        <v>5</v>
      </c>
      <c r="W120" s="260">
        <v>5</v>
      </c>
      <c r="X120" s="260">
        <v>5</v>
      </c>
      <c r="Y120" s="260">
        <v>80</v>
      </c>
      <c r="Z120" s="260">
        <v>5</v>
      </c>
      <c r="AA120" s="260">
        <v>160</v>
      </c>
      <c r="AB120" s="260">
        <v>5</v>
      </c>
      <c r="AC120" s="260">
        <v>80</v>
      </c>
      <c r="AD120" s="260"/>
      <c r="AE120" s="260"/>
      <c r="AF120" s="260"/>
      <c r="AG120" s="260"/>
      <c r="AH120" s="195">
        <v>277</v>
      </c>
      <c r="AI120" s="272">
        <v>5</v>
      </c>
      <c r="AJ120" s="271">
        <v>10</v>
      </c>
      <c r="AK120" s="260"/>
      <c r="AL120" s="260"/>
      <c r="AM120" s="260"/>
      <c r="AN120" s="260"/>
      <c r="AO120" s="260"/>
      <c r="AP120" s="260"/>
      <c r="AQ120" s="260"/>
      <c r="AR120" s="260"/>
      <c r="AS120" s="260"/>
      <c r="AT120" s="260"/>
      <c r="AU120" s="260">
        <v>5</v>
      </c>
      <c r="AV120" s="271">
        <v>10</v>
      </c>
      <c r="AW120" s="260">
        <v>5</v>
      </c>
      <c r="AX120" s="271">
        <v>10</v>
      </c>
      <c r="AY120" s="260">
        <v>5</v>
      </c>
      <c r="AZ120" s="271">
        <v>5</v>
      </c>
      <c r="BA120" s="276">
        <v>5</v>
      </c>
      <c r="BB120" s="276">
        <v>5</v>
      </c>
      <c r="BC120" s="276"/>
      <c r="BD120" s="276"/>
      <c r="BE120" s="276">
        <v>5</v>
      </c>
      <c r="BF120" s="276">
        <v>5</v>
      </c>
      <c r="BG120" s="260">
        <v>5</v>
      </c>
      <c r="BH120" s="271">
        <v>10</v>
      </c>
      <c r="BI120" s="276"/>
      <c r="BJ120" s="276"/>
      <c r="BK120" s="276"/>
      <c r="BL120" s="275"/>
      <c r="BM120" s="316">
        <v>277</v>
      </c>
      <c r="BN120" s="272">
        <v>5</v>
      </c>
      <c r="BO120" s="270">
        <v>5</v>
      </c>
      <c r="BP120" s="272"/>
      <c r="BQ120" s="260"/>
      <c r="BR120" s="260"/>
      <c r="BS120" s="260"/>
      <c r="BT120" s="260"/>
      <c r="BU120" s="260"/>
      <c r="BV120" s="260">
        <v>5</v>
      </c>
      <c r="BW120" s="260">
        <v>5</v>
      </c>
      <c r="BX120" s="260"/>
      <c r="BY120" s="260"/>
      <c r="BZ120" s="260"/>
      <c r="CA120" s="260"/>
      <c r="CB120" s="260"/>
      <c r="CC120" s="260"/>
      <c r="CD120" s="260">
        <v>5</v>
      </c>
      <c r="CE120" s="260">
        <v>40</v>
      </c>
      <c r="CF120" s="272"/>
      <c r="CG120" s="260"/>
      <c r="CH120" s="260"/>
      <c r="CI120" s="260"/>
      <c r="CJ120" s="260"/>
      <c r="CK120" s="260"/>
      <c r="CL120" s="260"/>
      <c r="CM120" s="260"/>
      <c r="CN120" s="260">
        <v>5</v>
      </c>
      <c r="CO120" s="260">
        <v>40</v>
      </c>
      <c r="CP120" s="260">
        <v>5</v>
      </c>
      <c r="CQ120" s="260">
        <v>160</v>
      </c>
      <c r="CR120" s="260">
        <v>5</v>
      </c>
      <c r="CS120" s="270">
        <v>80</v>
      </c>
      <c r="CT120" s="315">
        <v>277</v>
      </c>
      <c r="CU120" s="249">
        <f>Table2821115[[#This Row],[D28 - BR/18]]/Table2821115[[#This Row],[D0 - BR/18]]</f>
        <v>16</v>
      </c>
      <c r="CV120" s="248">
        <f>Table2821115[[#This Row],[D28 - KS/17]]/Table2821115[[#This Row],[D0 - KS/17]]</f>
        <v>1</v>
      </c>
      <c r="CW120" s="248">
        <f>Table2821115[[#This Row],[D28 - Phu/13]]/Table2821115[[#This Row],[D0 - Phu/13]]</f>
        <v>8</v>
      </c>
      <c r="CX120" s="248">
        <f>Table2821115[[#This Row],[D28 - CO/17]]/Table2821115[[#This Row],[D0 - CO/17]]</f>
        <v>32</v>
      </c>
      <c r="CY120" s="248">
        <f>LOG(Table2821115[[#This Row],[BR/18 Fold]],2)</f>
        <v>4</v>
      </c>
      <c r="CZ120" s="248">
        <f>LOG(Table2821115[[#This Row],[KS/17 Fold]],2)</f>
        <v>0</v>
      </c>
      <c r="DA120" s="248">
        <f>LOG(Table2821115[[#This Row],[Phu/13 Fold]],2)</f>
        <v>3</v>
      </c>
      <c r="DB120" s="248">
        <f>LOG(Table2821115[[#This Row],[CO/17 Fold]],2)</f>
        <v>5</v>
      </c>
      <c r="DC120" s="248">
        <f>SUM(Table2821115[[#This Row],[BR/18 Log2]:[CO/17 Log2]])</f>
        <v>12</v>
      </c>
    </row>
    <row r="121" spans="1:107" ht="24" customHeight="1">
      <c r="A121" s="318">
        <v>278</v>
      </c>
      <c r="B121" s="180">
        <v>20148</v>
      </c>
      <c r="C121" s="180">
        <v>43740</v>
      </c>
      <c r="D121" s="179">
        <v>64</v>
      </c>
      <c r="E121" s="4" t="s">
        <v>58</v>
      </c>
      <c r="F121" s="143" t="s">
        <v>116</v>
      </c>
      <c r="G121" s="142">
        <v>21.054282626572196</v>
      </c>
      <c r="H121" s="11" t="s">
        <v>59</v>
      </c>
      <c r="I121" s="277" t="s">
        <v>60</v>
      </c>
      <c r="J121" s="260">
        <v>5</v>
      </c>
      <c r="K121" s="260">
        <v>5</v>
      </c>
      <c r="L121" s="260"/>
      <c r="M121" s="260"/>
      <c r="N121" s="260"/>
      <c r="O121" s="260"/>
      <c r="P121" s="260"/>
      <c r="Q121" s="260"/>
      <c r="R121" s="260"/>
      <c r="S121" s="260"/>
      <c r="T121" s="260"/>
      <c r="U121" s="260"/>
      <c r="V121" s="260">
        <v>5</v>
      </c>
      <c r="W121" s="260">
        <v>5</v>
      </c>
      <c r="X121" s="260">
        <v>5</v>
      </c>
      <c r="Y121" s="260">
        <v>40</v>
      </c>
      <c r="Z121" s="260">
        <v>40</v>
      </c>
      <c r="AA121" s="260">
        <v>80</v>
      </c>
      <c r="AB121" s="260">
        <v>5</v>
      </c>
      <c r="AC121" s="260">
        <v>5</v>
      </c>
      <c r="AD121" s="260"/>
      <c r="AE121" s="260"/>
      <c r="AF121" s="260"/>
      <c r="AG121" s="260"/>
      <c r="AH121" s="195">
        <v>278</v>
      </c>
      <c r="AI121" s="272">
        <v>5</v>
      </c>
      <c r="AJ121" s="271">
        <v>5</v>
      </c>
      <c r="AK121" s="260"/>
      <c r="AL121" s="260"/>
      <c r="AM121" s="260"/>
      <c r="AN121" s="260"/>
      <c r="AO121" s="260"/>
      <c r="AP121" s="260"/>
      <c r="AQ121" s="260"/>
      <c r="AR121" s="260"/>
      <c r="AS121" s="260"/>
      <c r="AT121" s="260"/>
      <c r="AU121" s="260">
        <v>40</v>
      </c>
      <c r="AV121" s="271">
        <v>80</v>
      </c>
      <c r="AW121" s="260">
        <v>40</v>
      </c>
      <c r="AX121" s="271">
        <v>40</v>
      </c>
      <c r="AY121" s="260">
        <v>5</v>
      </c>
      <c r="AZ121" s="271">
        <v>40</v>
      </c>
      <c r="BA121" s="276">
        <v>40</v>
      </c>
      <c r="BB121" s="276">
        <v>40</v>
      </c>
      <c r="BC121" s="276"/>
      <c r="BD121" s="276"/>
      <c r="BE121" s="276">
        <v>5</v>
      </c>
      <c r="BF121" s="276">
        <v>5</v>
      </c>
      <c r="BG121" s="260">
        <v>40</v>
      </c>
      <c r="BH121" s="271">
        <v>80</v>
      </c>
      <c r="BI121" s="276"/>
      <c r="BJ121" s="276"/>
      <c r="BK121" s="276"/>
      <c r="BL121" s="275"/>
      <c r="BM121" s="316">
        <v>278</v>
      </c>
      <c r="BN121" s="272">
        <v>5</v>
      </c>
      <c r="BO121" s="270">
        <v>5</v>
      </c>
      <c r="BP121" s="272"/>
      <c r="BQ121" s="260"/>
      <c r="BR121" s="260"/>
      <c r="BS121" s="260"/>
      <c r="BT121" s="260"/>
      <c r="BU121" s="260"/>
      <c r="BV121" s="260">
        <v>5</v>
      </c>
      <c r="BW121" s="260">
        <v>5</v>
      </c>
      <c r="BX121" s="260"/>
      <c r="BY121" s="260"/>
      <c r="BZ121" s="260"/>
      <c r="CA121" s="260"/>
      <c r="CB121" s="260"/>
      <c r="CC121" s="260"/>
      <c r="CD121" s="260">
        <v>5</v>
      </c>
      <c r="CE121" s="260">
        <v>5</v>
      </c>
      <c r="CF121" s="272"/>
      <c r="CG121" s="260"/>
      <c r="CH121" s="260"/>
      <c r="CI121" s="260"/>
      <c r="CJ121" s="260"/>
      <c r="CK121" s="260"/>
      <c r="CL121" s="260"/>
      <c r="CM121" s="260"/>
      <c r="CN121" s="260">
        <v>5</v>
      </c>
      <c r="CO121" s="260">
        <v>5</v>
      </c>
      <c r="CP121" s="260">
        <v>5</v>
      </c>
      <c r="CQ121" s="260">
        <v>5</v>
      </c>
      <c r="CR121" s="260">
        <v>5</v>
      </c>
      <c r="CS121" s="270">
        <v>5</v>
      </c>
      <c r="CT121" s="315">
        <v>278</v>
      </c>
      <c r="CU121" s="249">
        <f>Table2821115[[#This Row],[D28 - BR/18]]/Table2821115[[#This Row],[D0 - BR/18]]</f>
        <v>1</v>
      </c>
      <c r="CV121" s="248">
        <f>Table2821115[[#This Row],[D28 - KS/17]]/Table2821115[[#This Row],[D0 - KS/17]]</f>
        <v>1</v>
      </c>
      <c r="CW121" s="248">
        <f>Table2821115[[#This Row],[D28 - Phu/13]]/Table2821115[[#This Row],[D0 - Phu/13]]</f>
        <v>1</v>
      </c>
      <c r="CX121" s="248">
        <f>Table2821115[[#This Row],[D28 - CO/17]]/Table2821115[[#This Row],[D0 - CO/17]]</f>
        <v>1</v>
      </c>
      <c r="CY121" s="248">
        <f>LOG(Table2821115[[#This Row],[BR/18 Fold]],2)</f>
        <v>0</v>
      </c>
      <c r="CZ121" s="248">
        <f>LOG(Table2821115[[#This Row],[KS/17 Fold]],2)</f>
        <v>0</v>
      </c>
      <c r="DA121" s="248">
        <f>LOG(Table2821115[[#This Row],[Phu/13 Fold]],2)</f>
        <v>0</v>
      </c>
      <c r="DB121" s="248">
        <f>LOG(Table2821115[[#This Row],[CO/17 Fold]],2)</f>
        <v>0</v>
      </c>
      <c r="DC121" s="248">
        <f>SUM(Table2821115[[#This Row],[BR/18 Log2]:[CO/17 Log2]])</f>
        <v>0</v>
      </c>
    </row>
    <row r="122" spans="1:107" ht="24" customHeight="1">
      <c r="A122" s="324">
        <v>279</v>
      </c>
      <c r="B122" s="190">
        <v>29090</v>
      </c>
      <c r="C122" s="190">
        <v>43736</v>
      </c>
      <c r="D122" s="189">
        <v>40</v>
      </c>
      <c r="E122" s="3" t="s">
        <v>61</v>
      </c>
      <c r="F122" s="143" t="s">
        <v>116</v>
      </c>
      <c r="G122" s="142">
        <v>27.407185390986346</v>
      </c>
      <c r="H122" s="11" t="s">
        <v>59</v>
      </c>
      <c r="I122" s="277" t="s">
        <v>60</v>
      </c>
      <c r="J122" s="260">
        <v>5</v>
      </c>
      <c r="K122" s="260">
        <v>5</v>
      </c>
      <c r="L122" s="260"/>
      <c r="M122" s="260"/>
      <c r="N122" s="260"/>
      <c r="O122" s="260"/>
      <c r="P122" s="260"/>
      <c r="Q122" s="260"/>
      <c r="R122" s="260"/>
      <c r="S122" s="260"/>
      <c r="T122" s="260"/>
      <c r="U122" s="260"/>
      <c r="V122" s="260">
        <v>5</v>
      </c>
      <c r="W122" s="260">
        <v>5</v>
      </c>
      <c r="X122" s="260">
        <v>80</v>
      </c>
      <c r="Y122" s="260">
        <v>80</v>
      </c>
      <c r="Z122" s="260">
        <v>40</v>
      </c>
      <c r="AA122" s="260">
        <v>80</v>
      </c>
      <c r="AB122" s="260">
        <v>40</v>
      </c>
      <c r="AC122" s="260">
        <v>40</v>
      </c>
      <c r="AD122" s="260"/>
      <c r="AE122" s="260"/>
      <c r="AF122" s="260"/>
      <c r="AG122" s="260"/>
      <c r="AH122" s="198">
        <v>279</v>
      </c>
      <c r="AI122" s="272">
        <v>5</v>
      </c>
      <c r="AJ122" s="271">
        <v>5</v>
      </c>
      <c r="AK122" s="260"/>
      <c r="AL122" s="260"/>
      <c r="AM122" s="260"/>
      <c r="AN122" s="260"/>
      <c r="AO122" s="260"/>
      <c r="AP122" s="260"/>
      <c r="AQ122" s="260"/>
      <c r="AR122" s="260"/>
      <c r="AS122" s="260"/>
      <c r="AT122" s="260"/>
      <c r="AU122" s="260">
        <v>40</v>
      </c>
      <c r="AV122" s="271">
        <v>320</v>
      </c>
      <c r="AW122" s="260">
        <v>40</v>
      </c>
      <c r="AX122" s="271">
        <v>320</v>
      </c>
      <c r="AY122" s="260">
        <v>5</v>
      </c>
      <c r="AZ122" s="271">
        <v>40</v>
      </c>
      <c r="BA122" s="276">
        <v>10</v>
      </c>
      <c r="BB122" s="276">
        <v>80</v>
      </c>
      <c r="BC122" s="276"/>
      <c r="BD122" s="276"/>
      <c r="BE122" s="276">
        <v>10</v>
      </c>
      <c r="BF122" s="276">
        <v>160</v>
      </c>
      <c r="BG122" s="260">
        <v>20</v>
      </c>
      <c r="BH122" s="271">
        <v>80</v>
      </c>
      <c r="BI122" s="276"/>
      <c r="BJ122" s="276"/>
      <c r="BK122" s="276"/>
      <c r="BL122" s="275"/>
      <c r="BM122" s="323">
        <v>279</v>
      </c>
      <c r="BN122" s="272">
        <v>20</v>
      </c>
      <c r="BO122" s="270">
        <v>40</v>
      </c>
      <c r="BP122" s="272"/>
      <c r="BQ122" s="260"/>
      <c r="BR122" s="260"/>
      <c r="BS122" s="260"/>
      <c r="BT122" s="260"/>
      <c r="BU122" s="260"/>
      <c r="BV122" s="260">
        <v>5</v>
      </c>
      <c r="BW122" s="260">
        <v>20</v>
      </c>
      <c r="BX122" s="260"/>
      <c r="BY122" s="260"/>
      <c r="BZ122" s="260"/>
      <c r="CA122" s="260"/>
      <c r="CB122" s="260"/>
      <c r="CC122" s="260"/>
      <c r="CD122" s="260">
        <v>10</v>
      </c>
      <c r="CE122" s="260">
        <v>20</v>
      </c>
      <c r="CF122" s="272"/>
      <c r="CG122" s="260"/>
      <c r="CH122" s="260"/>
      <c r="CI122" s="260"/>
      <c r="CJ122" s="260"/>
      <c r="CK122" s="260"/>
      <c r="CL122" s="260"/>
      <c r="CM122" s="260"/>
      <c r="CN122" s="260">
        <v>5</v>
      </c>
      <c r="CO122" s="260">
        <v>20</v>
      </c>
      <c r="CP122" s="260">
        <v>5</v>
      </c>
      <c r="CQ122" s="260">
        <v>20</v>
      </c>
      <c r="CR122" s="260">
        <v>5</v>
      </c>
      <c r="CS122" s="270">
        <v>10</v>
      </c>
      <c r="CT122" s="322">
        <v>279</v>
      </c>
      <c r="CU122" s="249">
        <f>Table2821115[[#This Row],[D28 - BR/18]]/Table2821115[[#This Row],[D0 - BR/18]]</f>
        <v>1</v>
      </c>
      <c r="CV122" s="248">
        <f>Table2821115[[#This Row],[D28 - KS/17]]/Table2821115[[#This Row],[D0 - KS/17]]</f>
        <v>16</v>
      </c>
      <c r="CW122" s="248">
        <f>Table2821115[[#This Row],[D28 - Phu/13]]/Table2821115[[#This Row],[D0 - Phu/13]]</f>
        <v>2</v>
      </c>
      <c r="CX122" s="248">
        <f>Table2821115[[#This Row],[D28 - CO/17]]/Table2821115[[#This Row],[D0 - CO/17]]</f>
        <v>4</v>
      </c>
      <c r="CY122" s="248">
        <f>LOG(Table2821115[[#This Row],[BR/18 Fold]],2)</f>
        <v>0</v>
      </c>
      <c r="CZ122" s="248">
        <f>LOG(Table2821115[[#This Row],[KS/17 Fold]],2)</f>
        <v>4</v>
      </c>
      <c r="DA122" s="248">
        <f>LOG(Table2821115[[#This Row],[Phu/13 Fold]],2)</f>
        <v>1</v>
      </c>
      <c r="DB122" s="248">
        <f>LOG(Table2821115[[#This Row],[CO/17 Fold]],2)</f>
        <v>2</v>
      </c>
      <c r="DC122" s="248">
        <f>SUM(Table2821115[[#This Row],[BR/18 Log2]:[CO/17 Log2]])</f>
        <v>7</v>
      </c>
    </row>
    <row r="123" spans="1:107" ht="24" customHeight="1">
      <c r="A123" s="324">
        <v>280</v>
      </c>
      <c r="B123" s="190">
        <v>27927</v>
      </c>
      <c r="C123" s="190">
        <v>43756</v>
      </c>
      <c r="D123" s="189">
        <v>43</v>
      </c>
      <c r="E123" s="3" t="s">
        <v>61</v>
      </c>
      <c r="F123" s="143" t="s">
        <v>116</v>
      </c>
      <c r="G123" s="142">
        <v>22.254292127431388</v>
      </c>
      <c r="H123" s="11" t="s">
        <v>59</v>
      </c>
      <c r="I123" s="277" t="s">
        <v>60</v>
      </c>
      <c r="J123" s="260">
        <v>5</v>
      </c>
      <c r="K123" s="260">
        <v>5</v>
      </c>
      <c r="L123" s="260"/>
      <c r="M123" s="260"/>
      <c r="N123" s="260"/>
      <c r="O123" s="260"/>
      <c r="P123" s="260"/>
      <c r="Q123" s="260"/>
      <c r="R123" s="260"/>
      <c r="S123" s="260"/>
      <c r="T123" s="260"/>
      <c r="U123" s="260"/>
      <c r="V123" s="260">
        <v>5</v>
      </c>
      <c r="W123" s="260">
        <v>5</v>
      </c>
      <c r="X123" s="260">
        <v>20</v>
      </c>
      <c r="Y123" s="260">
        <v>160</v>
      </c>
      <c r="Z123" s="260">
        <v>20</v>
      </c>
      <c r="AA123" s="260">
        <v>320</v>
      </c>
      <c r="AB123" s="260">
        <v>5</v>
      </c>
      <c r="AC123" s="260">
        <v>160</v>
      </c>
      <c r="AD123" s="260"/>
      <c r="AE123" s="260"/>
      <c r="AF123" s="260"/>
      <c r="AG123" s="260"/>
      <c r="AH123" s="198">
        <v>280</v>
      </c>
      <c r="AI123" s="272">
        <v>20</v>
      </c>
      <c r="AJ123" s="271">
        <v>20</v>
      </c>
      <c r="AK123" s="260"/>
      <c r="AL123" s="260"/>
      <c r="AM123" s="260"/>
      <c r="AN123" s="260"/>
      <c r="AO123" s="260"/>
      <c r="AP123" s="260"/>
      <c r="AQ123" s="260"/>
      <c r="AR123" s="260"/>
      <c r="AS123" s="260"/>
      <c r="AT123" s="260"/>
      <c r="AU123" s="260">
        <v>10</v>
      </c>
      <c r="AV123" s="271">
        <v>20</v>
      </c>
      <c r="AW123" s="260">
        <v>20</v>
      </c>
      <c r="AX123" s="271">
        <v>40</v>
      </c>
      <c r="AY123" s="260">
        <v>5</v>
      </c>
      <c r="AZ123" s="271">
        <v>20</v>
      </c>
      <c r="BA123" s="276">
        <v>5</v>
      </c>
      <c r="BB123" s="276">
        <v>20</v>
      </c>
      <c r="BC123" s="276"/>
      <c r="BD123" s="276"/>
      <c r="BE123" s="276">
        <v>10</v>
      </c>
      <c r="BF123" s="276">
        <v>40</v>
      </c>
      <c r="BG123" s="260">
        <v>10</v>
      </c>
      <c r="BH123" s="271">
        <v>20</v>
      </c>
      <c r="BI123" s="276"/>
      <c r="BJ123" s="276"/>
      <c r="BK123" s="276"/>
      <c r="BL123" s="275"/>
      <c r="BM123" s="323">
        <v>280</v>
      </c>
      <c r="BN123" s="272">
        <v>20</v>
      </c>
      <c r="BO123" s="270">
        <v>40</v>
      </c>
      <c r="BP123" s="272"/>
      <c r="BQ123" s="260"/>
      <c r="BR123" s="260"/>
      <c r="BS123" s="260"/>
      <c r="BT123" s="260"/>
      <c r="BU123" s="260"/>
      <c r="BV123" s="260">
        <v>5</v>
      </c>
      <c r="BW123" s="260">
        <v>5</v>
      </c>
      <c r="BX123" s="260"/>
      <c r="BY123" s="260"/>
      <c r="BZ123" s="260"/>
      <c r="CA123" s="260"/>
      <c r="CB123" s="260"/>
      <c r="CC123" s="260"/>
      <c r="CD123" s="260">
        <v>5</v>
      </c>
      <c r="CE123" s="260">
        <v>5</v>
      </c>
      <c r="CF123" s="272"/>
      <c r="CG123" s="260"/>
      <c r="CH123" s="260"/>
      <c r="CI123" s="260"/>
      <c r="CJ123" s="260"/>
      <c r="CK123" s="260"/>
      <c r="CL123" s="260"/>
      <c r="CM123" s="260"/>
      <c r="CN123" s="260">
        <v>10</v>
      </c>
      <c r="CO123" s="260">
        <v>40</v>
      </c>
      <c r="CP123" s="260">
        <v>5</v>
      </c>
      <c r="CQ123" s="260">
        <v>80</v>
      </c>
      <c r="CR123" s="260">
        <v>20</v>
      </c>
      <c r="CS123" s="270">
        <v>80</v>
      </c>
      <c r="CT123" s="322">
        <v>280</v>
      </c>
      <c r="CU123" s="249">
        <f>Table2821115[[#This Row],[D28 - BR/18]]/Table2821115[[#This Row],[D0 - BR/18]]</f>
        <v>32</v>
      </c>
      <c r="CV123" s="248">
        <f>Table2821115[[#This Row],[D28 - KS/17]]/Table2821115[[#This Row],[D0 - KS/17]]</f>
        <v>4</v>
      </c>
      <c r="CW123" s="248">
        <f>Table2821115[[#This Row],[D28 - Phu/13]]/Table2821115[[#This Row],[D0 - Phu/13]]</f>
        <v>1</v>
      </c>
      <c r="CX123" s="248">
        <f>Table2821115[[#This Row],[D28 - CO/17]]/Table2821115[[#This Row],[D0 - CO/17]]</f>
        <v>16</v>
      </c>
      <c r="CY123" s="248">
        <f>LOG(Table2821115[[#This Row],[BR/18 Fold]],2)</f>
        <v>5</v>
      </c>
      <c r="CZ123" s="248">
        <f>LOG(Table2821115[[#This Row],[KS/17 Fold]],2)</f>
        <v>2</v>
      </c>
      <c r="DA123" s="248">
        <f>LOG(Table2821115[[#This Row],[Phu/13 Fold]],2)</f>
        <v>0</v>
      </c>
      <c r="DB123" s="248">
        <f>LOG(Table2821115[[#This Row],[CO/17 Fold]],2)</f>
        <v>4</v>
      </c>
      <c r="DC123" s="248">
        <f>SUM(Table2821115[[#This Row],[BR/18 Log2]:[CO/17 Log2]])</f>
        <v>11</v>
      </c>
    </row>
    <row r="124" spans="1:107" ht="24" customHeight="1">
      <c r="A124" s="321">
        <v>281</v>
      </c>
      <c r="B124" s="183">
        <v>33493</v>
      </c>
      <c r="C124" s="183">
        <v>43739</v>
      </c>
      <c r="D124" s="182">
        <v>28</v>
      </c>
      <c r="E124" s="3" t="s">
        <v>61</v>
      </c>
      <c r="F124" s="143" t="s">
        <v>116</v>
      </c>
      <c r="G124" s="142">
        <v>22.864647151592614</v>
      </c>
      <c r="H124" s="11" t="s">
        <v>59</v>
      </c>
      <c r="I124" s="277" t="s">
        <v>60</v>
      </c>
      <c r="J124" s="260">
        <v>5</v>
      </c>
      <c r="K124" s="260">
        <v>5</v>
      </c>
      <c r="L124" s="260"/>
      <c r="M124" s="260"/>
      <c r="N124" s="260"/>
      <c r="O124" s="260"/>
      <c r="P124" s="260"/>
      <c r="Q124" s="260"/>
      <c r="R124" s="260"/>
      <c r="S124" s="260"/>
      <c r="T124" s="260"/>
      <c r="U124" s="260"/>
      <c r="V124" s="260">
        <v>5</v>
      </c>
      <c r="W124" s="260">
        <v>5</v>
      </c>
      <c r="X124" s="260">
        <v>80</v>
      </c>
      <c r="Y124" s="260">
        <v>320</v>
      </c>
      <c r="Z124" s="260">
        <v>80</v>
      </c>
      <c r="AA124" s="260">
        <v>320</v>
      </c>
      <c r="AB124" s="260">
        <v>40</v>
      </c>
      <c r="AC124" s="260">
        <v>320</v>
      </c>
      <c r="AD124" s="260"/>
      <c r="AE124" s="260"/>
      <c r="AF124" s="260"/>
      <c r="AG124" s="260"/>
      <c r="AH124" s="32">
        <v>281</v>
      </c>
      <c r="AI124" s="272">
        <v>40</v>
      </c>
      <c r="AJ124" s="271">
        <v>80</v>
      </c>
      <c r="AK124" s="260"/>
      <c r="AL124" s="260"/>
      <c r="AM124" s="260"/>
      <c r="AN124" s="260"/>
      <c r="AO124" s="260"/>
      <c r="AP124" s="260"/>
      <c r="AQ124" s="260"/>
      <c r="AR124" s="260"/>
      <c r="AS124" s="260"/>
      <c r="AT124" s="260"/>
      <c r="AU124" s="260">
        <v>10</v>
      </c>
      <c r="AV124" s="271">
        <v>80</v>
      </c>
      <c r="AW124" s="260">
        <v>5</v>
      </c>
      <c r="AX124" s="271">
        <v>40</v>
      </c>
      <c r="AY124" s="260">
        <v>5</v>
      </c>
      <c r="AZ124" s="271">
        <v>40</v>
      </c>
      <c r="BA124" s="276">
        <v>5</v>
      </c>
      <c r="BB124" s="276">
        <v>40</v>
      </c>
      <c r="BC124" s="276"/>
      <c r="BD124" s="276"/>
      <c r="BE124" s="276">
        <v>5</v>
      </c>
      <c r="BF124" s="276">
        <v>40</v>
      </c>
      <c r="BG124" s="260">
        <v>5</v>
      </c>
      <c r="BH124" s="271">
        <v>40</v>
      </c>
      <c r="BI124" s="276"/>
      <c r="BJ124" s="276"/>
      <c r="BK124" s="276"/>
      <c r="BL124" s="275"/>
      <c r="BM124" s="320">
        <v>281</v>
      </c>
      <c r="BN124" s="272">
        <v>20</v>
      </c>
      <c r="BO124" s="270">
        <v>160</v>
      </c>
      <c r="BP124" s="272"/>
      <c r="BQ124" s="260"/>
      <c r="BR124" s="260"/>
      <c r="BS124" s="260"/>
      <c r="BT124" s="260"/>
      <c r="BU124" s="260"/>
      <c r="BV124" s="260">
        <v>20</v>
      </c>
      <c r="BW124" s="260">
        <v>320</v>
      </c>
      <c r="BX124" s="260"/>
      <c r="BY124" s="260"/>
      <c r="BZ124" s="260"/>
      <c r="CA124" s="260"/>
      <c r="CB124" s="260"/>
      <c r="CC124" s="260"/>
      <c r="CD124" s="260">
        <v>40</v>
      </c>
      <c r="CE124" s="260">
        <v>320</v>
      </c>
      <c r="CF124" s="272"/>
      <c r="CG124" s="260"/>
      <c r="CH124" s="260"/>
      <c r="CI124" s="260"/>
      <c r="CJ124" s="260"/>
      <c r="CK124" s="260"/>
      <c r="CL124" s="260"/>
      <c r="CM124" s="260"/>
      <c r="CN124" s="260">
        <v>10</v>
      </c>
      <c r="CO124" s="260">
        <v>80</v>
      </c>
      <c r="CP124" s="260">
        <v>10</v>
      </c>
      <c r="CQ124" s="260">
        <v>80</v>
      </c>
      <c r="CR124" s="260">
        <v>5</v>
      </c>
      <c r="CS124" s="270">
        <v>10</v>
      </c>
      <c r="CT124" s="319">
        <v>281</v>
      </c>
      <c r="CU124" s="249">
        <f>Table2821115[[#This Row],[D28 - BR/18]]/Table2821115[[#This Row],[D0 - BR/18]]</f>
        <v>8</v>
      </c>
      <c r="CV124" s="248">
        <f>Table2821115[[#This Row],[D28 - KS/17]]/Table2821115[[#This Row],[D0 - KS/17]]</f>
        <v>8</v>
      </c>
      <c r="CW124" s="248">
        <f>Table2821115[[#This Row],[D28 - Phu/13]]/Table2821115[[#This Row],[D0 - Phu/13]]</f>
        <v>8</v>
      </c>
      <c r="CX124" s="248">
        <f>Table2821115[[#This Row],[D28 - CO/17]]/Table2821115[[#This Row],[D0 - CO/17]]</f>
        <v>8</v>
      </c>
      <c r="CY124" s="248">
        <f>LOG(Table2821115[[#This Row],[BR/18 Fold]],2)</f>
        <v>3</v>
      </c>
      <c r="CZ124" s="248">
        <f>LOG(Table2821115[[#This Row],[KS/17 Fold]],2)</f>
        <v>3</v>
      </c>
      <c r="DA124" s="248">
        <f>LOG(Table2821115[[#This Row],[Phu/13 Fold]],2)</f>
        <v>3</v>
      </c>
      <c r="DB124" s="248">
        <f>LOG(Table2821115[[#This Row],[CO/17 Fold]],2)</f>
        <v>3</v>
      </c>
      <c r="DC124" s="248">
        <f>SUM(Table2821115[[#This Row],[BR/18 Log2]:[CO/17 Log2]])</f>
        <v>12</v>
      </c>
    </row>
    <row r="125" spans="1:107" ht="24" customHeight="1">
      <c r="A125" s="321">
        <v>282</v>
      </c>
      <c r="B125" s="183">
        <v>35048</v>
      </c>
      <c r="C125" s="183">
        <v>43741</v>
      </c>
      <c r="D125" s="182">
        <v>23</v>
      </c>
      <c r="E125" s="3" t="s">
        <v>61</v>
      </c>
      <c r="F125" s="143" t="s">
        <v>118</v>
      </c>
      <c r="G125" s="142">
        <v>20.54787323674535</v>
      </c>
      <c r="H125" s="11" t="s">
        <v>59</v>
      </c>
      <c r="I125" s="277" t="s">
        <v>60</v>
      </c>
      <c r="J125" s="260">
        <v>5</v>
      </c>
      <c r="K125" s="260">
        <v>5</v>
      </c>
      <c r="L125" s="260"/>
      <c r="M125" s="260"/>
      <c r="N125" s="260"/>
      <c r="O125" s="260"/>
      <c r="P125" s="260"/>
      <c r="Q125" s="260"/>
      <c r="R125" s="260"/>
      <c r="S125" s="260"/>
      <c r="T125" s="260"/>
      <c r="U125" s="260"/>
      <c r="V125" s="260">
        <v>40</v>
      </c>
      <c r="W125" s="260">
        <v>40</v>
      </c>
      <c r="X125" s="260">
        <v>80</v>
      </c>
      <c r="Y125" s="260">
        <v>160</v>
      </c>
      <c r="Z125" s="260">
        <v>80</v>
      </c>
      <c r="AA125" s="260">
        <v>320</v>
      </c>
      <c r="AB125" s="260">
        <v>40</v>
      </c>
      <c r="AC125" s="260">
        <v>160</v>
      </c>
      <c r="AD125" s="260"/>
      <c r="AE125" s="260"/>
      <c r="AF125" s="260"/>
      <c r="AG125" s="260"/>
      <c r="AH125" s="32">
        <v>282</v>
      </c>
      <c r="AI125" s="272">
        <v>40</v>
      </c>
      <c r="AJ125" s="271">
        <v>40</v>
      </c>
      <c r="AK125" s="260"/>
      <c r="AL125" s="260"/>
      <c r="AM125" s="260"/>
      <c r="AN125" s="260"/>
      <c r="AO125" s="260"/>
      <c r="AP125" s="260"/>
      <c r="AQ125" s="260"/>
      <c r="AR125" s="260"/>
      <c r="AS125" s="260"/>
      <c r="AT125" s="260"/>
      <c r="AU125" s="260">
        <v>80</v>
      </c>
      <c r="AV125" s="271">
        <v>80</v>
      </c>
      <c r="AW125" s="260">
        <v>40</v>
      </c>
      <c r="AX125" s="271">
        <v>40</v>
      </c>
      <c r="AY125" s="260">
        <v>20</v>
      </c>
      <c r="AZ125" s="271">
        <v>40</v>
      </c>
      <c r="BA125" s="276">
        <v>20</v>
      </c>
      <c r="BB125" s="276">
        <v>40</v>
      </c>
      <c r="BC125" s="276"/>
      <c r="BD125" s="276"/>
      <c r="BE125" s="276">
        <v>5</v>
      </c>
      <c r="BF125" s="276">
        <v>20</v>
      </c>
      <c r="BG125" s="260">
        <v>80</v>
      </c>
      <c r="BH125" s="271">
        <v>80</v>
      </c>
      <c r="BI125" s="276"/>
      <c r="BJ125" s="276"/>
      <c r="BK125" s="276"/>
      <c r="BL125" s="275"/>
      <c r="BM125" s="320">
        <v>282</v>
      </c>
      <c r="BN125" s="272">
        <v>160</v>
      </c>
      <c r="BO125" s="270">
        <v>160</v>
      </c>
      <c r="BP125" s="272"/>
      <c r="BQ125" s="260"/>
      <c r="BR125" s="260"/>
      <c r="BS125" s="260"/>
      <c r="BT125" s="260"/>
      <c r="BU125" s="260"/>
      <c r="BV125" s="260">
        <v>80</v>
      </c>
      <c r="BW125" s="260">
        <v>80</v>
      </c>
      <c r="BX125" s="260"/>
      <c r="BY125" s="260"/>
      <c r="BZ125" s="260"/>
      <c r="CA125" s="260"/>
      <c r="CB125" s="260"/>
      <c r="CC125" s="260"/>
      <c r="CD125" s="260">
        <v>80</v>
      </c>
      <c r="CE125" s="260">
        <v>160</v>
      </c>
      <c r="CF125" s="272"/>
      <c r="CG125" s="260"/>
      <c r="CH125" s="260"/>
      <c r="CI125" s="260"/>
      <c r="CJ125" s="260"/>
      <c r="CK125" s="260"/>
      <c r="CL125" s="260"/>
      <c r="CM125" s="260"/>
      <c r="CN125" s="260">
        <v>40</v>
      </c>
      <c r="CO125" s="260">
        <v>80</v>
      </c>
      <c r="CP125" s="260">
        <v>80</v>
      </c>
      <c r="CQ125" s="260">
        <v>160</v>
      </c>
      <c r="CR125" s="260">
        <v>40</v>
      </c>
      <c r="CS125" s="270">
        <v>80</v>
      </c>
      <c r="CT125" s="319">
        <v>282</v>
      </c>
      <c r="CU125" s="249">
        <f>Table2821115[[#This Row],[D28 - BR/18]]/Table2821115[[#This Row],[D0 - BR/18]]</f>
        <v>4</v>
      </c>
      <c r="CV125" s="248">
        <f>Table2821115[[#This Row],[D28 - KS/17]]/Table2821115[[#This Row],[D0 - KS/17]]</f>
        <v>4</v>
      </c>
      <c r="CW125" s="248">
        <f>Table2821115[[#This Row],[D28 - Phu/13]]/Table2821115[[#This Row],[D0 - Phu/13]]</f>
        <v>2</v>
      </c>
      <c r="CX125" s="248">
        <f>Table2821115[[#This Row],[D28 - CO/17]]/Table2821115[[#This Row],[D0 - CO/17]]</f>
        <v>2</v>
      </c>
      <c r="CY125" s="248">
        <f>LOG(Table2821115[[#This Row],[BR/18 Fold]],2)</f>
        <v>2</v>
      </c>
      <c r="CZ125" s="248">
        <f>LOG(Table2821115[[#This Row],[KS/17 Fold]],2)</f>
        <v>2</v>
      </c>
      <c r="DA125" s="248">
        <f>LOG(Table2821115[[#This Row],[Phu/13 Fold]],2)</f>
        <v>1</v>
      </c>
      <c r="DB125" s="248">
        <f>LOG(Table2821115[[#This Row],[CO/17 Fold]],2)</f>
        <v>1</v>
      </c>
      <c r="DC125" s="248">
        <f>SUM(Table2821115[[#This Row],[BR/18 Log2]:[CO/17 Log2]])</f>
        <v>6</v>
      </c>
    </row>
    <row r="126" spans="1:107" ht="24" customHeight="1">
      <c r="A126" s="330">
        <v>283</v>
      </c>
      <c r="B126" s="210">
        <v>19659</v>
      </c>
      <c r="C126" s="210">
        <v>43742</v>
      </c>
      <c r="D126" s="209">
        <v>65</v>
      </c>
      <c r="E126" s="3" t="s">
        <v>61</v>
      </c>
      <c r="F126" s="143" t="s">
        <v>116</v>
      </c>
      <c r="G126" s="142">
        <v>24.077403927808767</v>
      </c>
      <c r="H126" s="5" t="s">
        <v>64</v>
      </c>
      <c r="I126" s="277" t="s">
        <v>60</v>
      </c>
      <c r="J126" s="260">
        <v>5</v>
      </c>
      <c r="K126" s="260">
        <v>5</v>
      </c>
      <c r="L126" s="260"/>
      <c r="M126" s="260"/>
      <c r="N126" s="260"/>
      <c r="O126" s="260"/>
      <c r="P126" s="260"/>
      <c r="Q126" s="260"/>
      <c r="R126" s="260"/>
      <c r="S126" s="260"/>
      <c r="T126" s="260"/>
      <c r="U126" s="260"/>
      <c r="V126" s="260">
        <v>5</v>
      </c>
      <c r="W126" s="260">
        <v>5</v>
      </c>
      <c r="X126" s="260">
        <v>20</v>
      </c>
      <c r="Y126" s="260">
        <v>40</v>
      </c>
      <c r="Z126" s="260">
        <v>20</v>
      </c>
      <c r="AA126" s="260">
        <v>40</v>
      </c>
      <c r="AB126" s="260">
        <v>20</v>
      </c>
      <c r="AC126" s="260">
        <v>20</v>
      </c>
      <c r="AD126" s="260"/>
      <c r="AE126" s="260"/>
      <c r="AF126" s="260"/>
      <c r="AG126" s="260"/>
      <c r="AH126" s="208">
        <v>283</v>
      </c>
      <c r="AI126" s="272">
        <v>5</v>
      </c>
      <c r="AJ126" s="271">
        <v>10</v>
      </c>
      <c r="AK126" s="260"/>
      <c r="AL126" s="260"/>
      <c r="AM126" s="260"/>
      <c r="AN126" s="260"/>
      <c r="AO126" s="260"/>
      <c r="AP126" s="260"/>
      <c r="AQ126" s="260"/>
      <c r="AR126" s="260"/>
      <c r="AS126" s="260"/>
      <c r="AT126" s="260"/>
      <c r="AU126" s="260">
        <v>40</v>
      </c>
      <c r="AV126" s="271">
        <v>80</v>
      </c>
      <c r="AW126" s="260">
        <v>10</v>
      </c>
      <c r="AX126" s="271">
        <v>40</v>
      </c>
      <c r="AY126" s="260">
        <v>20</v>
      </c>
      <c r="AZ126" s="271">
        <v>40</v>
      </c>
      <c r="BA126" s="276">
        <v>20</v>
      </c>
      <c r="BB126" s="276">
        <v>40</v>
      </c>
      <c r="BC126" s="276"/>
      <c r="BD126" s="276"/>
      <c r="BE126" s="276">
        <v>5</v>
      </c>
      <c r="BF126" s="276">
        <v>10</v>
      </c>
      <c r="BG126" s="260">
        <v>20</v>
      </c>
      <c r="BH126" s="271">
        <v>40</v>
      </c>
      <c r="BI126" s="276"/>
      <c r="BJ126" s="276"/>
      <c r="BK126" s="276"/>
      <c r="BL126" s="275"/>
      <c r="BM126" s="329">
        <v>283</v>
      </c>
      <c r="BN126" s="272">
        <v>40</v>
      </c>
      <c r="BO126" s="270">
        <v>80</v>
      </c>
      <c r="BP126" s="272"/>
      <c r="BQ126" s="260"/>
      <c r="BR126" s="260"/>
      <c r="BS126" s="260"/>
      <c r="BT126" s="260"/>
      <c r="BU126" s="260"/>
      <c r="BV126" s="260">
        <v>40</v>
      </c>
      <c r="BW126" s="260">
        <v>80</v>
      </c>
      <c r="BX126" s="260"/>
      <c r="BY126" s="260"/>
      <c r="BZ126" s="260"/>
      <c r="CA126" s="260"/>
      <c r="CB126" s="260"/>
      <c r="CC126" s="260"/>
      <c r="CD126" s="260">
        <v>40</v>
      </c>
      <c r="CE126" s="260">
        <v>80</v>
      </c>
      <c r="CF126" s="272"/>
      <c r="CG126" s="260"/>
      <c r="CH126" s="260"/>
      <c r="CI126" s="260"/>
      <c r="CJ126" s="260"/>
      <c r="CK126" s="260"/>
      <c r="CL126" s="260"/>
      <c r="CM126" s="260"/>
      <c r="CN126" s="260">
        <v>20</v>
      </c>
      <c r="CO126" s="260">
        <v>40</v>
      </c>
      <c r="CP126" s="260">
        <v>20</v>
      </c>
      <c r="CQ126" s="260">
        <v>40</v>
      </c>
      <c r="CR126" s="260">
        <v>20</v>
      </c>
      <c r="CS126" s="270">
        <v>40</v>
      </c>
      <c r="CT126" s="328">
        <v>283</v>
      </c>
      <c r="CU126" s="249">
        <f>Table2821115[[#This Row],[D28 - BR/18]]/Table2821115[[#This Row],[D0 - BR/18]]</f>
        <v>1</v>
      </c>
      <c r="CV126" s="248">
        <f>Table2821115[[#This Row],[D28 - KS/17]]/Table2821115[[#This Row],[D0 - KS/17]]</f>
        <v>2</v>
      </c>
      <c r="CW126" s="248">
        <f>Table2821115[[#This Row],[D28 - Phu/13]]/Table2821115[[#This Row],[D0 - Phu/13]]</f>
        <v>2</v>
      </c>
      <c r="CX126" s="248">
        <f>Table2821115[[#This Row],[D28 - CO/17]]/Table2821115[[#This Row],[D0 - CO/17]]</f>
        <v>2</v>
      </c>
      <c r="CY126" s="248">
        <f>LOG(Table2821115[[#This Row],[BR/18 Fold]],2)</f>
        <v>0</v>
      </c>
      <c r="CZ126" s="248">
        <f>LOG(Table2821115[[#This Row],[KS/17 Fold]],2)</f>
        <v>1</v>
      </c>
      <c r="DA126" s="248">
        <f>LOG(Table2821115[[#This Row],[Phu/13 Fold]],2)</f>
        <v>1</v>
      </c>
      <c r="DB126" s="248">
        <f>LOG(Table2821115[[#This Row],[CO/17 Fold]],2)</f>
        <v>1</v>
      </c>
      <c r="DC126" s="248">
        <f>SUM(Table2821115[[#This Row],[BR/18 Log2]:[CO/17 Log2]])</f>
        <v>3</v>
      </c>
    </row>
    <row r="127" spans="1:107" ht="24" customHeight="1">
      <c r="A127" s="330">
        <v>284</v>
      </c>
      <c r="B127" s="210">
        <v>17267</v>
      </c>
      <c r="C127" s="210">
        <v>43740</v>
      </c>
      <c r="D127" s="209">
        <v>72</v>
      </c>
      <c r="E127" s="4" t="s">
        <v>58</v>
      </c>
      <c r="F127" s="143" t="s">
        <v>116</v>
      </c>
      <c r="G127" s="142">
        <v>33.963719152811933</v>
      </c>
      <c r="H127" s="5" t="s">
        <v>64</v>
      </c>
      <c r="I127" s="277" t="s">
        <v>60</v>
      </c>
      <c r="J127" s="260">
        <v>5</v>
      </c>
      <c r="K127" s="260">
        <v>5</v>
      </c>
      <c r="L127" s="260"/>
      <c r="M127" s="260"/>
      <c r="N127" s="260"/>
      <c r="O127" s="260"/>
      <c r="P127" s="260"/>
      <c r="Q127" s="260"/>
      <c r="R127" s="260"/>
      <c r="S127" s="260"/>
      <c r="T127" s="260"/>
      <c r="U127" s="260"/>
      <c r="V127" s="260">
        <v>5</v>
      </c>
      <c r="W127" s="260">
        <v>5</v>
      </c>
      <c r="X127" s="260">
        <v>5</v>
      </c>
      <c r="Y127" s="260">
        <v>10</v>
      </c>
      <c r="Z127" s="260">
        <v>5</v>
      </c>
      <c r="AA127" s="260">
        <v>10</v>
      </c>
      <c r="AB127" s="260">
        <v>5</v>
      </c>
      <c r="AC127" s="260">
        <v>10</v>
      </c>
      <c r="AD127" s="260"/>
      <c r="AE127" s="260"/>
      <c r="AF127" s="260"/>
      <c r="AG127" s="260"/>
      <c r="AH127" s="208">
        <v>284</v>
      </c>
      <c r="AI127" s="272">
        <v>5</v>
      </c>
      <c r="AJ127" s="271">
        <v>5</v>
      </c>
      <c r="AK127" s="260"/>
      <c r="AL127" s="260"/>
      <c r="AM127" s="260"/>
      <c r="AN127" s="260"/>
      <c r="AO127" s="260"/>
      <c r="AP127" s="260"/>
      <c r="AQ127" s="260"/>
      <c r="AR127" s="260"/>
      <c r="AS127" s="260"/>
      <c r="AT127" s="260"/>
      <c r="AU127" s="260">
        <v>40</v>
      </c>
      <c r="AV127" s="271">
        <v>80</v>
      </c>
      <c r="AW127" s="260">
        <v>40</v>
      </c>
      <c r="AX127" s="271">
        <v>80</v>
      </c>
      <c r="AY127" s="260">
        <v>5</v>
      </c>
      <c r="AZ127" s="271">
        <v>40</v>
      </c>
      <c r="BA127" s="276">
        <v>20</v>
      </c>
      <c r="BB127" s="276">
        <v>40</v>
      </c>
      <c r="BC127" s="276"/>
      <c r="BD127" s="276"/>
      <c r="BE127" s="276">
        <v>5</v>
      </c>
      <c r="BF127" s="276">
        <v>10</v>
      </c>
      <c r="BG127" s="260">
        <v>40</v>
      </c>
      <c r="BH127" s="271">
        <v>80</v>
      </c>
      <c r="BI127" s="276"/>
      <c r="BJ127" s="276"/>
      <c r="BK127" s="276"/>
      <c r="BL127" s="275"/>
      <c r="BM127" s="329">
        <v>284</v>
      </c>
      <c r="BN127" s="272">
        <v>40</v>
      </c>
      <c r="BO127" s="270">
        <v>40</v>
      </c>
      <c r="BP127" s="272"/>
      <c r="BQ127" s="260"/>
      <c r="BR127" s="260"/>
      <c r="BS127" s="260"/>
      <c r="BT127" s="260"/>
      <c r="BU127" s="260"/>
      <c r="BV127" s="260">
        <v>5</v>
      </c>
      <c r="BW127" s="260">
        <v>20</v>
      </c>
      <c r="BX127" s="260"/>
      <c r="BY127" s="260"/>
      <c r="BZ127" s="260"/>
      <c r="CA127" s="260"/>
      <c r="CB127" s="260"/>
      <c r="CC127" s="260"/>
      <c r="CD127" s="260">
        <v>80</v>
      </c>
      <c r="CE127" s="260">
        <v>40</v>
      </c>
      <c r="CF127" s="272"/>
      <c r="CG127" s="260"/>
      <c r="CH127" s="260"/>
      <c r="CI127" s="260"/>
      <c r="CJ127" s="260"/>
      <c r="CK127" s="260"/>
      <c r="CL127" s="260"/>
      <c r="CM127" s="260"/>
      <c r="CN127" s="260">
        <v>20</v>
      </c>
      <c r="CO127" s="260">
        <v>20</v>
      </c>
      <c r="CP127" s="260">
        <v>20</v>
      </c>
      <c r="CQ127" s="260">
        <v>20</v>
      </c>
      <c r="CR127" s="260">
        <v>20</v>
      </c>
      <c r="CS127" s="270">
        <v>20</v>
      </c>
      <c r="CT127" s="328">
        <v>284</v>
      </c>
      <c r="CU127" s="249">
        <f>Table2821115[[#This Row],[D28 - BR/18]]/Table2821115[[#This Row],[D0 - BR/18]]</f>
        <v>2</v>
      </c>
      <c r="CV127" s="248">
        <f>Table2821115[[#This Row],[D28 - KS/17]]/Table2821115[[#This Row],[D0 - KS/17]]</f>
        <v>2</v>
      </c>
      <c r="CW127" s="248">
        <f>Table2821115[[#This Row],[D28 - Phu/13]]/Table2821115[[#This Row],[D0 - Phu/13]]</f>
        <v>0.5</v>
      </c>
      <c r="CX127" s="248">
        <f>Table2821115[[#This Row],[D28 - CO/17]]/Table2821115[[#This Row],[D0 - CO/17]]</f>
        <v>1</v>
      </c>
      <c r="CY127" s="248">
        <f>LOG(Table2821115[[#This Row],[BR/18 Fold]],2)</f>
        <v>1</v>
      </c>
      <c r="CZ127" s="248">
        <f>LOG(Table2821115[[#This Row],[KS/17 Fold]],2)</f>
        <v>1</v>
      </c>
      <c r="DA127" s="248">
        <f>LOG(Table2821115[[#This Row],[Phu/13 Fold]],2)</f>
        <v>-1</v>
      </c>
      <c r="DB127" s="248">
        <f>LOG(Table2821115[[#This Row],[CO/17 Fold]],2)</f>
        <v>0</v>
      </c>
      <c r="DC127" s="248">
        <f>SUM(Table2821115[[#This Row],[BR/18 Log2]:[CO/17 Log2]])</f>
        <v>1</v>
      </c>
    </row>
    <row r="128" spans="1:107" ht="24" customHeight="1">
      <c r="A128" s="330">
        <v>285</v>
      </c>
      <c r="B128" s="210">
        <v>17193</v>
      </c>
      <c r="C128" s="210">
        <v>43740</v>
      </c>
      <c r="D128" s="209">
        <v>72</v>
      </c>
      <c r="E128" s="3" t="s">
        <v>61</v>
      </c>
      <c r="F128" s="143" t="s">
        <v>116</v>
      </c>
      <c r="G128" s="142">
        <v>33.201840894148582</v>
      </c>
      <c r="H128" s="5" t="s">
        <v>64</v>
      </c>
      <c r="I128" s="277" t="s">
        <v>60</v>
      </c>
      <c r="J128" s="260">
        <v>5</v>
      </c>
      <c r="K128" s="260">
        <v>5</v>
      </c>
      <c r="L128" s="260"/>
      <c r="M128" s="260"/>
      <c r="N128" s="260"/>
      <c r="O128" s="260"/>
      <c r="P128" s="260"/>
      <c r="Q128" s="260"/>
      <c r="R128" s="260"/>
      <c r="S128" s="260"/>
      <c r="T128" s="260"/>
      <c r="U128" s="260"/>
      <c r="V128" s="260">
        <v>5</v>
      </c>
      <c r="W128" s="260">
        <v>5</v>
      </c>
      <c r="X128" s="260">
        <v>40</v>
      </c>
      <c r="Y128" s="260">
        <v>80</v>
      </c>
      <c r="Z128" s="260">
        <v>40</v>
      </c>
      <c r="AA128" s="260">
        <v>80</v>
      </c>
      <c r="AB128" s="260">
        <v>40</v>
      </c>
      <c r="AC128" s="260">
        <v>80</v>
      </c>
      <c r="AD128" s="260"/>
      <c r="AE128" s="260"/>
      <c r="AF128" s="260"/>
      <c r="AG128" s="260"/>
      <c r="AH128" s="208">
        <v>285</v>
      </c>
      <c r="AI128" s="272">
        <v>5</v>
      </c>
      <c r="AJ128" s="271">
        <v>5</v>
      </c>
      <c r="AK128" s="260"/>
      <c r="AL128" s="260"/>
      <c r="AM128" s="260"/>
      <c r="AN128" s="260"/>
      <c r="AO128" s="260"/>
      <c r="AP128" s="260"/>
      <c r="AQ128" s="260"/>
      <c r="AR128" s="260"/>
      <c r="AS128" s="260"/>
      <c r="AT128" s="260"/>
      <c r="AU128" s="260">
        <v>80</v>
      </c>
      <c r="AV128" s="271">
        <v>80</v>
      </c>
      <c r="AW128" s="260">
        <v>80</v>
      </c>
      <c r="AX128" s="271">
        <v>80</v>
      </c>
      <c r="AY128" s="260">
        <v>40</v>
      </c>
      <c r="AZ128" s="271">
        <v>80</v>
      </c>
      <c r="BA128" s="276">
        <v>40</v>
      </c>
      <c r="BB128" s="276">
        <v>40</v>
      </c>
      <c r="BC128" s="276"/>
      <c r="BD128" s="276"/>
      <c r="BE128" s="276">
        <v>5</v>
      </c>
      <c r="BF128" s="276">
        <v>20</v>
      </c>
      <c r="BG128" s="260">
        <v>40</v>
      </c>
      <c r="BH128" s="271">
        <v>40</v>
      </c>
      <c r="BI128" s="276"/>
      <c r="BJ128" s="276"/>
      <c r="BK128" s="276"/>
      <c r="BL128" s="275"/>
      <c r="BM128" s="329">
        <v>285</v>
      </c>
      <c r="BN128" s="272">
        <v>80</v>
      </c>
      <c r="BO128" s="270">
        <v>80</v>
      </c>
      <c r="BP128" s="272"/>
      <c r="BQ128" s="260"/>
      <c r="BR128" s="260"/>
      <c r="BS128" s="260"/>
      <c r="BT128" s="260"/>
      <c r="BU128" s="260"/>
      <c r="BV128" s="260">
        <v>80</v>
      </c>
      <c r="BW128" s="260">
        <v>80</v>
      </c>
      <c r="BX128" s="260"/>
      <c r="BY128" s="260"/>
      <c r="BZ128" s="260"/>
      <c r="CA128" s="260"/>
      <c r="CB128" s="260"/>
      <c r="CC128" s="260"/>
      <c r="CD128" s="260">
        <v>160</v>
      </c>
      <c r="CE128" s="260">
        <v>160</v>
      </c>
      <c r="CF128" s="272"/>
      <c r="CG128" s="260"/>
      <c r="CH128" s="260"/>
      <c r="CI128" s="260"/>
      <c r="CJ128" s="260"/>
      <c r="CK128" s="260"/>
      <c r="CL128" s="260"/>
      <c r="CM128" s="260"/>
      <c r="CN128" s="260">
        <v>40</v>
      </c>
      <c r="CO128" s="260">
        <v>40</v>
      </c>
      <c r="CP128" s="260">
        <v>40</v>
      </c>
      <c r="CQ128" s="260">
        <v>80</v>
      </c>
      <c r="CR128" s="260">
        <v>40</v>
      </c>
      <c r="CS128" s="270">
        <v>40</v>
      </c>
      <c r="CT128" s="328">
        <v>285</v>
      </c>
      <c r="CU128" s="249">
        <f>Table2821115[[#This Row],[D28 - BR/18]]/Table2821115[[#This Row],[D0 - BR/18]]</f>
        <v>2</v>
      </c>
      <c r="CV128" s="248">
        <f>Table2821115[[#This Row],[D28 - KS/17]]/Table2821115[[#This Row],[D0 - KS/17]]</f>
        <v>4</v>
      </c>
      <c r="CW128" s="248">
        <f>Table2821115[[#This Row],[D28 - Phu/13]]/Table2821115[[#This Row],[D0 - Phu/13]]</f>
        <v>1</v>
      </c>
      <c r="CX128" s="248">
        <f>Table2821115[[#This Row],[D28 - CO/17]]/Table2821115[[#This Row],[D0 - CO/17]]</f>
        <v>2</v>
      </c>
      <c r="CY128" s="248">
        <f>LOG(Table2821115[[#This Row],[BR/18 Fold]],2)</f>
        <v>1</v>
      </c>
      <c r="CZ128" s="248">
        <f>LOG(Table2821115[[#This Row],[KS/17 Fold]],2)</f>
        <v>2</v>
      </c>
      <c r="DA128" s="248">
        <f>LOG(Table2821115[[#This Row],[Phu/13 Fold]],2)</f>
        <v>0</v>
      </c>
      <c r="DB128" s="248">
        <f>LOG(Table2821115[[#This Row],[CO/17 Fold]],2)</f>
        <v>1</v>
      </c>
      <c r="DC128" s="248">
        <f>SUM(Table2821115[[#This Row],[BR/18 Log2]:[CO/17 Log2]])</f>
        <v>4</v>
      </c>
    </row>
    <row r="129" spans="1:107" ht="24" customHeight="1">
      <c r="A129" s="327">
        <v>286</v>
      </c>
      <c r="B129" s="205">
        <v>18115</v>
      </c>
      <c r="C129" s="205">
        <v>43740</v>
      </c>
      <c r="D129" s="204">
        <v>70</v>
      </c>
      <c r="E129" s="4" t="s">
        <v>58</v>
      </c>
      <c r="F129" s="143" t="s">
        <v>116</v>
      </c>
      <c r="G129" s="142">
        <v>36.216271673335392</v>
      </c>
      <c r="H129" s="11" t="s">
        <v>59</v>
      </c>
      <c r="I129" s="277" t="s">
        <v>60</v>
      </c>
      <c r="J129" s="260">
        <v>10</v>
      </c>
      <c r="K129" s="260">
        <v>10</v>
      </c>
      <c r="L129" s="260"/>
      <c r="M129" s="260"/>
      <c r="N129" s="260"/>
      <c r="O129" s="260"/>
      <c r="P129" s="260"/>
      <c r="Q129" s="260"/>
      <c r="R129" s="260"/>
      <c r="S129" s="260"/>
      <c r="T129" s="260"/>
      <c r="U129" s="260"/>
      <c r="V129" s="260">
        <v>5</v>
      </c>
      <c r="W129" s="260">
        <v>5</v>
      </c>
      <c r="X129" s="260">
        <v>20</v>
      </c>
      <c r="Y129" s="260">
        <v>10</v>
      </c>
      <c r="Z129" s="260">
        <v>20</v>
      </c>
      <c r="AA129" s="260">
        <v>20</v>
      </c>
      <c r="AB129" s="260">
        <v>20</v>
      </c>
      <c r="AC129" s="260">
        <v>20</v>
      </c>
      <c r="AD129" s="260"/>
      <c r="AE129" s="260"/>
      <c r="AF129" s="260"/>
      <c r="AG129" s="260"/>
      <c r="AH129" s="203">
        <v>286</v>
      </c>
      <c r="AI129" s="272">
        <v>5</v>
      </c>
      <c r="AJ129" s="271">
        <v>5</v>
      </c>
      <c r="AK129" s="260"/>
      <c r="AL129" s="260"/>
      <c r="AM129" s="260"/>
      <c r="AN129" s="260"/>
      <c r="AO129" s="260"/>
      <c r="AP129" s="260"/>
      <c r="AQ129" s="260"/>
      <c r="AR129" s="260"/>
      <c r="AS129" s="260"/>
      <c r="AT129" s="260"/>
      <c r="AU129" s="260">
        <v>40</v>
      </c>
      <c r="AV129" s="271">
        <v>40</v>
      </c>
      <c r="AW129" s="260">
        <v>10</v>
      </c>
      <c r="AX129" s="271">
        <v>10</v>
      </c>
      <c r="AY129" s="260">
        <v>20</v>
      </c>
      <c r="AZ129" s="271">
        <v>20</v>
      </c>
      <c r="BA129" s="276">
        <v>20</v>
      </c>
      <c r="BB129" s="276">
        <v>20</v>
      </c>
      <c r="BC129" s="276"/>
      <c r="BD129" s="276"/>
      <c r="BE129" s="276">
        <v>10</v>
      </c>
      <c r="BF129" s="276">
        <v>10</v>
      </c>
      <c r="BG129" s="260">
        <v>40</v>
      </c>
      <c r="BH129" s="271">
        <v>20</v>
      </c>
      <c r="BI129" s="276"/>
      <c r="BJ129" s="276"/>
      <c r="BK129" s="276"/>
      <c r="BL129" s="275"/>
      <c r="BM129" s="326">
        <v>286</v>
      </c>
      <c r="BN129" s="272">
        <v>20</v>
      </c>
      <c r="BO129" s="270">
        <v>20</v>
      </c>
      <c r="BP129" s="272"/>
      <c r="BQ129" s="260"/>
      <c r="BR129" s="260"/>
      <c r="BS129" s="260"/>
      <c r="BT129" s="260"/>
      <c r="BU129" s="260"/>
      <c r="BV129" s="260">
        <v>5</v>
      </c>
      <c r="BW129" s="260">
        <v>10</v>
      </c>
      <c r="BX129" s="260"/>
      <c r="BY129" s="260"/>
      <c r="BZ129" s="260"/>
      <c r="CA129" s="260"/>
      <c r="CB129" s="260"/>
      <c r="CC129" s="260"/>
      <c r="CD129" s="260">
        <v>20</v>
      </c>
      <c r="CE129" s="260">
        <v>10</v>
      </c>
      <c r="CF129" s="272"/>
      <c r="CG129" s="260"/>
      <c r="CH129" s="260"/>
      <c r="CI129" s="260"/>
      <c r="CJ129" s="260"/>
      <c r="CK129" s="260"/>
      <c r="CL129" s="260"/>
      <c r="CM129" s="260"/>
      <c r="CN129" s="260">
        <v>5</v>
      </c>
      <c r="CO129" s="260">
        <v>5</v>
      </c>
      <c r="CP129" s="260">
        <v>5</v>
      </c>
      <c r="CQ129" s="260">
        <v>10</v>
      </c>
      <c r="CR129" s="260">
        <v>5</v>
      </c>
      <c r="CS129" s="270">
        <v>5</v>
      </c>
      <c r="CT129" s="325">
        <v>286</v>
      </c>
      <c r="CU129" s="249">
        <f>Table2821115[[#This Row],[D28 - BR/18]]/Table2821115[[#This Row],[D0 - BR/18]]</f>
        <v>1</v>
      </c>
      <c r="CV129" s="248">
        <f>Table2821115[[#This Row],[D28 - KS/17]]/Table2821115[[#This Row],[D0 - KS/17]]</f>
        <v>1</v>
      </c>
      <c r="CW129" s="248">
        <f>Table2821115[[#This Row],[D28 - Phu/13]]/Table2821115[[#This Row],[D0 - Phu/13]]</f>
        <v>0.5</v>
      </c>
      <c r="CX129" s="248">
        <f>Table2821115[[#This Row],[D28 - CO/17]]/Table2821115[[#This Row],[D0 - CO/17]]</f>
        <v>2</v>
      </c>
      <c r="CY129" s="248">
        <f>LOG(Table2821115[[#This Row],[BR/18 Fold]],2)</f>
        <v>0</v>
      </c>
      <c r="CZ129" s="248">
        <f>LOG(Table2821115[[#This Row],[KS/17 Fold]],2)</f>
        <v>0</v>
      </c>
      <c r="DA129" s="248">
        <f>LOG(Table2821115[[#This Row],[Phu/13 Fold]],2)</f>
        <v>-1</v>
      </c>
      <c r="DB129" s="248">
        <f>LOG(Table2821115[[#This Row],[CO/17 Fold]],2)</f>
        <v>1</v>
      </c>
      <c r="DC129" s="248">
        <f>SUM(Table2821115[[#This Row],[BR/18 Log2]:[CO/17 Log2]])</f>
        <v>0</v>
      </c>
    </row>
    <row r="130" spans="1:107" ht="24" customHeight="1">
      <c r="A130" s="327">
        <v>287</v>
      </c>
      <c r="B130" s="205">
        <v>17716</v>
      </c>
      <c r="C130" s="205">
        <v>43741</v>
      </c>
      <c r="D130" s="204">
        <v>71</v>
      </c>
      <c r="E130" s="4" t="s">
        <v>58</v>
      </c>
      <c r="F130" s="143" t="s">
        <v>123</v>
      </c>
      <c r="G130" s="142">
        <v>27.607544475516153</v>
      </c>
      <c r="H130" s="11" t="s">
        <v>59</v>
      </c>
      <c r="I130" s="277" t="s">
        <v>60</v>
      </c>
      <c r="J130" s="260">
        <v>5</v>
      </c>
      <c r="K130" s="260">
        <v>10</v>
      </c>
      <c r="L130" s="260"/>
      <c r="M130" s="260"/>
      <c r="N130" s="260"/>
      <c r="O130" s="260"/>
      <c r="P130" s="260"/>
      <c r="Q130" s="260"/>
      <c r="R130" s="260"/>
      <c r="S130" s="260"/>
      <c r="T130" s="260"/>
      <c r="U130" s="260"/>
      <c r="V130" s="260">
        <v>5</v>
      </c>
      <c r="W130" s="260">
        <v>10</v>
      </c>
      <c r="X130" s="260">
        <v>5</v>
      </c>
      <c r="Y130" s="260">
        <v>20</v>
      </c>
      <c r="Z130" s="260">
        <v>10</v>
      </c>
      <c r="AA130" s="260">
        <v>20</v>
      </c>
      <c r="AB130" s="260">
        <v>10</v>
      </c>
      <c r="AC130" s="260">
        <v>20</v>
      </c>
      <c r="AD130" s="260"/>
      <c r="AE130" s="260"/>
      <c r="AF130" s="260"/>
      <c r="AG130" s="260"/>
      <c r="AH130" s="203">
        <v>287</v>
      </c>
      <c r="AI130" s="272">
        <v>20</v>
      </c>
      <c r="AJ130" s="271">
        <v>20</v>
      </c>
      <c r="AK130" s="260"/>
      <c r="AL130" s="260"/>
      <c r="AM130" s="260"/>
      <c r="AN130" s="260"/>
      <c r="AO130" s="260"/>
      <c r="AP130" s="260"/>
      <c r="AQ130" s="260"/>
      <c r="AR130" s="260"/>
      <c r="AS130" s="260"/>
      <c r="AT130" s="260"/>
      <c r="AU130" s="260">
        <v>40</v>
      </c>
      <c r="AV130" s="271">
        <v>80</v>
      </c>
      <c r="AW130" s="260">
        <v>40</v>
      </c>
      <c r="AX130" s="271">
        <v>80</v>
      </c>
      <c r="AY130" s="260">
        <v>5</v>
      </c>
      <c r="AZ130" s="271">
        <v>40</v>
      </c>
      <c r="BA130" s="276">
        <v>40</v>
      </c>
      <c r="BB130" s="276">
        <v>40</v>
      </c>
      <c r="BC130" s="276"/>
      <c r="BD130" s="276"/>
      <c r="BE130" s="276">
        <v>5</v>
      </c>
      <c r="BF130" s="276">
        <v>40</v>
      </c>
      <c r="BG130" s="260">
        <v>40</v>
      </c>
      <c r="BH130" s="271">
        <v>80</v>
      </c>
      <c r="BI130" s="276"/>
      <c r="BJ130" s="276"/>
      <c r="BK130" s="276"/>
      <c r="BL130" s="275"/>
      <c r="BM130" s="326">
        <v>287</v>
      </c>
      <c r="BN130" s="272">
        <v>160</v>
      </c>
      <c r="BO130" s="270">
        <v>160</v>
      </c>
      <c r="BP130" s="272"/>
      <c r="BQ130" s="260"/>
      <c r="BR130" s="260"/>
      <c r="BS130" s="260"/>
      <c r="BT130" s="260"/>
      <c r="BU130" s="260"/>
      <c r="BV130" s="260">
        <v>5</v>
      </c>
      <c r="BW130" s="260">
        <v>10</v>
      </c>
      <c r="BX130" s="260"/>
      <c r="BY130" s="260"/>
      <c r="BZ130" s="260"/>
      <c r="CA130" s="260"/>
      <c r="CB130" s="260"/>
      <c r="CC130" s="260"/>
      <c r="CD130" s="260">
        <v>10</v>
      </c>
      <c r="CE130" s="260">
        <v>20</v>
      </c>
      <c r="CF130" s="272"/>
      <c r="CG130" s="260"/>
      <c r="CH130" s="260"/>
      <c r="CI130" s="260"/>
      <c r="CJ130" s="260"/>
      <c r="CK130" s="260"/>
      <c r="CL130" s="260"/>
      <c r="CM130" s="260"/>
      <c r="CN130" s="260">
        <v>20</v>
      </c>
      <c r="CO130" s="260">
        <v>40</v>
      </c>
      <c r="CP130" s="260">
        <v>20</v>
      </c>
      <c r="CQ130" s="260">
        <v>20</v>
      </c>
      <c r="CR130" s="260">
        <v>5</v>
      </c>
      <c r="CS130" s="270">
        <v>10</v>
      </c>
      <c r="CT130" s="325">
        <v>287</v>
      </c>
      <c r="CU130" s="249">
        <f>Table2821115[[#This Row],[D28 - BR/18]]/Table2821115[[#This Row],[D0 - BR/18]]</f>
        <v>2</v>
      </c>
      <c r="CV130" s="248">
        <f>Table2821115[[#This Row],[D28 - KS/17]]/Table2821115[[#This Row],[D0 - KS/17]]</f>
        <v>8</v>
      </c>
      <c r="CW130" s="248">
        <f>Table2821115[[#This Row],[D28 - Phu/13]]/Table2821115[[#This Row],[D0 - Phu/13]]</f>
        <v>2</v>
      </c>
      <c r="CX130" s="248">
        <f>Table2821115[[#This Row],[D28 - CO/17]]/Table2821115[[#This Row],[D0 - CO/17]]</f>
        <v>1</v>
      </c>
      <c r="CY130" s="248">
        <f>LOG(Table2821115[[#This Row],[BR/18 Fold]],2)</f>
        <v>1</v>
      </c>
      <c r="CZ130" s="248">
        <f>LOG(Table2821115[[#This Row],[KS/17 Fold]],2)</f>
        <v>3</v>
      </c>
      <c r="DA130" s="248">
        <f>LOG(Table2821115[[#This Row],[Phu/13 Fold]],2)</f>
        <v>1</v>
      </c>
      <c r="DB130" s="248">
        <f>LOG(Table2821115[[#This Row],[CO/17 Fold]],2)</f>
        <v>0</v>
      </c>
      <c r="DC130" s="248">
        <f>SUM(Table2821115[[#This Row],[BR/18 Log2]:[CO/17 Log2]])</f>
        <v>5</v>
      </c>
    </row>
    <row r="131" spans="1:107" ht="24" customHeight="1">
      <c r="A131" s="318">
        <v>288</v>
      </c>
      <c r="B131" s="180">
        <v>21574</v>
      </c>
      <c r="C131" s="180">
        <v>43752</v>
      </c>
      <c r="D131" s="179">
        <v>60</v>
      </c>
      <c r="E131" s="3" t="s">
        <v>61</v>
      </c>
      <c r="F131" s="143" t="s">
        <v>117</v>
      </c>
      <c r="G131" s="142">
        <v>32.257848573039972</v>
      </c>
      <c r="H131" s="11" t="s">
        <v>59</v>
      </c>
      <c r="I131" s="277" t="s">
        <v>60</v>
      </c>
      <c r="J131" s="260">
        <v>5</v>
      </c>
      <c r="K131" s="260">
        <v>5</v>
      </c>
      <c r="L131" s="260"/>
      <c r="M131" s="260"/>
      <c r="N131" s="260"/>
      <c r="O131" s="260"/>
      <c r="P131" s="260"/>
      <c r="Q131" s="260"/>
      <c r="R131" s="260"/>
      <c r="S131" s="260"/>
      <c r="T131" s="260"/>
      <c r="U131" s="260"/>
      <c r="V131" s="260">
        <v>5</v>
      </c>
      <c r="W131" s="260">
        <v>5</v>
      </c>
      <c r="X131" s="260">
        <v>10</v>
      </c>
      <c r="Y131" s="260">
        <v>20</v>
      </c>
      <c r="Z131" s="260">
        <v>20</v>
      </c>
      <c r="AA131" s="260">
        <v>20</v>
      </c>
      <c r="AB131" s="260">
        <v>10</v>
      </c>
      <c r="AC131" s="260">
        <v>20</v>
      </c>
      <c r="AD131" s="260"/>
      <c r="AE131" s="260"/>
      <c r="AF131" s="260"/>
      <c r="AG131" s="260"/>
      <c r="AH131" s="195">
        <v>288</v>
      </c>
      <c r="AI131" s="272">
        <v>5</v>
      </c>
      <c r="AJ131" s="271">
        <v>5</v>
      </c>
      <c r="AK131" s="260"/>
      <c r="AL131" s="260"/>
      <c r="AM131" s="260"/>
      <c r="AN131" s="260"/>
      <c r="AO131" s="260"/>
      <c r="AP131" s="260"/>
      <c r="AQ131" s="260"/>
      <c r="AR131" s="260"/>
      <c r="AS131" s="260"/>
      <c r="AT131" s="260"/>
      <c r="AU131" s="260">
        <v>10</v>
      </c>
      <c r="AV131" s="271">
        <v>20</v>
      </c>
      <c r="AW131" s="260">
        <v>10</v>
      </c>
      <c r="AX131" s="271">
        <v>40</v>
      </c>
      <c r="AY131" s="260">
        <v>5</v>
      </c>
      <c r="AZ131" s="271">
        <v>20</v>
      </c>
      <c r="BA131" s="276">
        <v>5</v>
      </c>
      <c r="BB131" s="276">
        <v>20</v>
      </c>
      <c r="BC131" s="276"/>
      <c r="BD131" s="276"/>
      <c r="BE131" s="276">
        <v>5</v>
      </c>
      <c r="BF131" s="276">
        <v>10</v>
      </c>
      <c r="BG131" s="260">
        <v>10</v>
      </c>
      <c r="BH131" s="271">
        <v>20</v>
      </c>
      <c r="BI131" s="276"/>
      <c r="BJ131" s="276"/>
      <c r="BK131" s="276"/>
      <c r="BL131" s="275"/>
      <c r="BM131" s="316">
        <v>288</v>
      </c>
      <c r="BN131" s="272">
        <v>10</v>
      </c>
      <c r="BO131" s="270">
        <v>20</v>
      </c>
      <c r="BP131" s="272"/>
      <c r="BQ131" s="260"/>
      <c r="BR131" s="260"/>
      <c r="BS131" s="260"/>
      <c r="BT131" s="260"/>
      <c r="BU131" s="260"/>
      <c r="BV131" s="260">
        <v>10</v>
      </c>
      <c r="BW131" s="260">
        <v>40</v>
      </c>
      <c r="BX131" s="260"/>
      <c r="BY131" s="260"/>
      <c r="BZ131" s="260"/>
      <c r="CA131" s="260"/>
      <c r="CB131" s="260"/>
      <c r="CC131" s="260"/>
      <c r="CD131" s="260">
        <v>40</v>
      </c>
      <c r="CE131" s="260">
        <v>40</v>
      </c>
      <c r="CF131" s="272"/>
      <c r="CG131" s="260"/>
      <c r="CH131" s="260"/>
      <c r="CI131" s="260"/>
      <c r="CJ131" s="260"/>
      <c r="CK131" s="260"/>
      <c r="CL131" s="260"/>
      <c r="CM131" s="260"/>
      <c r="CN131" s="260">
        <v>5</v>
      </c>
      <c r="CO131" s="260">
        <v>10</v>
      </c>
      <c r="CP131" s="260">
        <v>5</v>
      </c>
      <c r="CQ131" s="260">
        <v>20</v>
      </c>
      <c r="CR131" s="260">
        <v>5</v>
      </c>
      <c r="CS131" s="270">
        <v>10</v>
      </c>
      <c r="CT131" s="315">
        <v>288</v>
      </c>
      <c r="CU131" s="249">
        <f>Table2821115[[#This Row],[D28 - BR/18]]/Table2821115[[#This Row],[D0 - BR/18]]</f>
        <v>2</v>
      </c>
      <c r="CV131" s="248">
        <f>Table2821115[[#This Row],[D28 - KS/17]]/Table2821115[[#This Row],[D0 - KS/17]]</f>
        <v>2</v>
      </c>
      <c r="CW131" s="248">
        <f>Table2821115[[#This Row],[D28 - Phu/13]]/Table2821115[[#This Row],[D0 - Phu/13]]</f>
        <v>1</v>
      </c>
      <c r="CX131" s="248">
        <f>Table2821115[[#This Row],[D28 - CO/17]]/Table2821115[[#This Row],[D0 - CO/17]]</f>
        <v>4</v>
      </c>
      <c r="CY131" s="248">
        <f>LOG(Table2821115[[#This Row],[BR/18 Fold]],2)</f>
        <v>1</v>
      </c>
      <c r="CZ131" s="248">
        <f>LOG(Table2821115[[#This Row],[KS/17 Fold]],2)</f>
        <v>1</v>
      </c>
      <c r="DA131" s="248">
        <f>LOG(Table2821115[[#This Row],[Phu/13 Fold]],2)</f>
        <v>0</v>
      </c>
      <c r="DB131" s="248">
        <f>LOG(Table2821115[[#This Row],[CO/17 Fold]],2)</f>
        <v>2</v>
      </c>
      <c r="DC131" s="248">
        <f>SUM(Table2821115[[#This Row],[BR/18 Log2]:[CO/17 Log2]])</f>
        <v>4</v>
      </c>
    </row>
    <row r="132" spans="1:107" ht="24" customHeight="1">
      <c r="A132" s="330">
        <v>289</v>
      </c>
      <c r="B132" s="210">
        <v>18040</v>
      </c>
      <c r="C132" s="210">
        <v>43746</v>
      </c>
      <c r="D132" s="209">
        <v>70</v>
      </c>
      <c r="E132" s="3" t="s">
        <v>61</v>
      </c>
      <c r="F132" s="143" t="s">
        <v>116</v>
      </c>
      <c r="G132" s="142">
        <v>20.512789516491267</v>
      </c>
      <c r="H132" s="5" t="s">
        <v>64</v>
      </c>
      <c r="I132" s="277" t="s">
        <v>60</v>
      </c>
      <c r="J132" s="260">
        <v>5</v>
      </c>
      <c r="K132" s="260">
        <v>5</v>
      </c>
      <c r="L132" s="260"/>
      <c r="M132" s="260"/>
      <c r="N132" s="260"/>
      <c r="O132" s="260"/>
      <c r="P132" s="260"/>
      <c r="Q132" s="260"/>
      <c r="R132" s="260"/>
      <c r="S132" s="260"/>
      <c r="T132" s="260"/>
      <c r="U132" s="260"/>
      <c r="V132" s="260">
        <v>5</v>
      </c>
      <c r="W132" s="260">
        <v>5</v>
      </c>
      <c r="X132" s="260">
        <v>10</v>
      </c>
      <c r="Y132" s="260">
        <v>20</v>
      </c>
      <c r="Z132" s="260">
        <v>20</v>
      </c>
      <c r="AA132" s="260">
        <v>40</v>
      </c>
      <c r="AB132" s="260">
        <v>10</v>
      </c>
      <c r="AC132" s="260">
        <v>20</v>
      </c>
      <c r="AD132" s="260"/>
      <c r="AE132" s="260"/>
      <c r="AF132" s="260"/>
      <c r="AG132" s="260"/>
      <c r="AH132" s="208">
        <v>289</v>
      </c>
      <c r="AI132" s="272">
        <v>5</v>
      </c>
      <c r="AJ132" s="271">
        <v>5</v>
      </c>
      <c r="AK132" s="260"/>
      <c r="AL132" s="260"/>
      <c r="AM132" s="260"/>
      <c r="AN132" s="260"/>
      <c r="AO132" s="260"/>
      <c r="AP132" s="260"/>
      <c r="AQ132" s="260"/>
      <c r="AR132" s="260"/>
      <c r="AS132" s="260"/>
      <c r="AT132" s="260"/>
      <c r="AU132" s="260">
        <v>10</v>
      </c>
      <c r="AV132" s="271">
        <v>40</v>
      </c>
      <c r="AW132" s="260">
        <v>20</v>
      </c>
      <c r="AX132" s="271">
        <v>80</v>
      </c>
      <c r="AY132" s="260">
        <v>5</v>
      </c>
      <c r="AZ132" s="271">
        <v>10</v>
      </c>
      <c r="BA132" s="276">
        <v>5</v>
      </c>
      <c r="BB132" s="276">
        <v>10</v>
      </c>
      <c r="BC132" s="276"/>
      <c r="BD132" s="276"/>
      <c r="BE132" s="276">
        <v>10</v>
      </c>
      <c r="BF132" s="276">
        <v>40</v>
      </c>
      <c r="BG132" s="260">
        <v>10</v>
      </c>
      <c r="BH132" s="271">
        <v>40</v>
      </c>
      <c r="BI132" s="276"/>
      <c r="BJ132" s="276"/>
      <c r="BK132" s="276"/>
      <c r="BL132" s="275"/>
      <c r="BM132" s="329">
        <v>289</v>
      </c>
      <c r="BN132" s="272">
        <v>10</v>
      </c>
      <c r="BO132" s="270">
        <v>20</v>
      </c>
      <c r="BP132" s="272"/>
      <c r="BQ132" s="260"/>
      <c r="BR132" s="260"/>
      <c r="BS132" s="260"/>
      <c r="BT132" s="260"/>
      <c r="BU132" s="260"/>
      <c r="BV132" s="260">
        <v>10</v>
      </c>
      <c r="BW132" s="260">
        <v>20</v>
      </c>
      <c r="BX132" s="260"/>
      <c r="BY132" s="260"/>
      <c r="BZ132" s="260"/>
      <c r="CA132" s="260"/>
      <c r="CB132" s="260"/>
      <c r="CC132" s="260"/>
      <c r="CD132" s="260">
        <v>20</v>
      </c>
      <c r="CE132" s="260">
        <v>40</v>
      </c>
      <c r="CF132" s="272"/>
      <c r="CG132" s="260"/>
      <c r="CH132" s="260"/>
      <c r="CI132" s="260"/>
      <c r="CJ132" s="260"/>
      <c r="CK132" s="260"/>
      <c r="CL132" s="260"/>
      <c r="CM132" s="260"/>
      <c r="CN132" s="260">
        <v>10</v>
      </c>
      <c r="CO132" s="260">
        <v>20</v>
      </c>
      <c r="CP132" s="260">
        <v>20</v>
      </c>
      <c r="CQ132" s="260">
        <v>40</v>
      </c>
      <c r="CR132" s="260">
        <v>20</v>
      </c>
      <c r="CS132" s="270">
        <v>40</v>
      </c>
      <c r="CT132" s="328">
        <v>289</v>
      </c>
      <c r="CU132" s="249">
        <f>Table2821115[[#This Row],[D28 - BR/18]]/Table2821115[[#This Row],[D0 - BR/18]]</f>
        <v>2</v>
      </c>
      <c r="CV132" s="248">
        <f>Table2821115[[#This Row],[D28 - KS/17]]/Table2821115[[#This Row],[D0 - KS/17]]</f>
        <v>4</v>
      </c>
      <c r="CW132" s="248">
        <f>Table2821115[[#This Row],[D28 - Phu/13]]/Table2821115[[#This Row],[D0 - Phu/13]]</f>
        <v>2</v>
      </c>
      <c r="CX132" s="248">
        <f>Table2821115[[#This Row],[D28 - CO/17]]/Table2821115[[#This Row],[D0 - CO/17]]</f>
        <v>2</v>
      </c>
      <c r="CY132" s="248">
        <f>LOG(Table2821115[[#This Row],[BR/18 Fold]],2)</f>
        <v>1</v>
      </c>
      <c r="CZ132" s="248">
        <f>LOG(Table2821115[[#This Row],[KS/17 Fold]],2)</f>
        <v>2</v>
      </c>
      <c r="DA132" s="248">
        <f>LOG(Table2821115[[#This Row],[Phu/13 Fold]],2)</f>
        <v>1</v>
      </c>
      <c r="DB132" s="248">
        <f>LOG(Table2821115[[#This Row],[CO/17 Fold]],2)</f>
        <v>1</v>
      </c>
      <c r="DC132" s="248">
        <f>SUM(Table2821115[[#This Row],[BR/18 Log2]:[CO/17 Log2]])</f>
        <v>5</v>
      </c>
    </row>
    <row r="133" spans="1:107" ht="24" customHeight="1">
      <c r="A133" s="324">
        <v>290</v>
      </c>
      <c r="B133" s="190">
        <v>28856</v>
      </c>
      <c r="C133" s="190">
        <v>43746</v>
      </c>
      <c r="D133" s="189">
        <v>40</v>
      </c>
      <c r="E133" s="4" t="s">
        <v>58</v>
      </c>
      <c r="F133" s="143" t="s">
        <v>116</v>
      </c>
      <c r="G133" s="142">
        <v>29.126530612244899</v>
      </c>
      <c r="H133" s="11" t="s">
        <v>59</v>
      </c>
      <c r="I133" s="277" t="s">
        <v>60</v>
      </c>
      <c r="J133" s="260">
        <v>5</v>
      </c>
      <c r="K133" s="260">
        <v>5</v>
      </c>
      <c r="L133" s="260"/>
      <c r="M133" s="260"/>
      <c r="N133" s="260"/>
      <c r="O133" s="260"/>
      <c r="P133" s="260"/>
      <c r="Q133" s="260"/>
      <c r="R133" s="260"/>
      <c r="S133" s="260"/>
      <c r="T133" s="260"/>
      <c r="U133" s="260"/>
      <c r="V133" s="260">
        <v>5</v>
      </c>
      <c r="W133" s="260">
        <v>10</v>
      </c>
      <c r="X133" s="260">
        <v>80</v>
      </c>
      <c r="Y133" s="260">
        <v>40</v>
      </c>
      <c r="Z133" s="260">
        <v>20</v>
      </c>
      <c r="AA133" s="260">
        <v>40</v>
      </c>
      <c r="AB133" s="260">
        <v>20</v>
      </c>
      <c r="AC133" s="260">
        <v>20</v>
      </c>
      <c r="AD133" s="260"/>
      <c r="AE133" s="260"/>
      <c r="AF133" s="260"/>
      <c r="AG133" s="260"/>
      <c r="AH133" s="198">
        <v>290</v>
      </c>
      <c r="AI133" s="272">
        <v>40</v>
      </c>
      <c r="AJ133" s="271">
        <v>40</v>
      </c>
      <c r="AK133" s="260"/>
      <c r="AL133" s="260"/>
      <c r="AM133" s="260"/>
      <c r="AN133" s="260"/>
      <c r="AO133" s="260"/>
      <c r="AP133" s="260"/>
      <c r="AQ133" s="260"/>
      <c r="AR133" s="260"/>
      <c r="AS133" s="260"/>
      <c r="AT133" s="260"/>
      <c r="AU133" s="260">
        <v>40</v>
      </c>
      <c r="AV133" s="271">
        <v>40</v>
      </c>
      <c r="AW133" s="260">
        <v>20</v>
      </c>
      <c r="AX133" s="271">
        <v>40</v>
      </c>
      <c r="AY133" s="260">
        <v>10</v>
      </c>
      <c r="AZ133" s="271">
        <v>10</v>
      </c>
      <c r="BA133" s="276">
        <v>20</v>
      </c>
      <c r="BB133" s="276">
        <v>20</v>
      </c>
      <c r="BC133" s="276"/>
      <c r="BD133" s="276"/>
      <c r="BE133" s="276">
        <v>5</v>
      </c>
      <c r="BF133" s="276">
        <v>20</v>
      </c>
      <c r="BG133" s="260">
        <v>40</v>
      </c>
      <c r="BH133" s="271">
        <v>40</v>
      </c>
      <c r="BI133" s="276"/>
      <c r="BJ133" s="276"/>
      <c r="BK133" s="276"/>
      <c r="BL133" s="275"/>
      <c r="BM133" s="323">
        <v>290</v>
      </c>
      <c r="BN133" s="272">
        <v>40</v>
      </c>
      <c r="BO133" s="270">
        <v>80</v>
      </c>
      <c r="BP133" s="272"/>
      <c r="BQ133" s="260"/>
      <c r="BR133" s="260"/>
      <c r="BS133" s="260"/>
      <c r="BT133" s="260"/>
      <c r="BU133" s="260"/>
      <c r="BV133" s="260">
        <v>5</v>
      </c>
      <c r="BW133" s="260">
        <v>5</v>
      </c>
      <c r="BX133" s="260"/>
      <c r="BY133" s="260"/>
      <c r="BZ133" s="260"/>
      <c r="CA133" s="260"/>
      <c r="CB133" s="260"/>
      <c r="CC133" s="260"/>
      <c r="CD133" s="260">
        <v>80</v>
      </c>
      <c r="CE133" s="260">
        <v>80</v>
      </c>
      <c r="CF133" s="272"/>
      <c r="CG133" s="260"/>
      <c r="CH133" s="260"/>
      <c r="CI133" s="260"/>
      <c r="CJ133" s="260"/>
      <c r="CK133" s="260"/>
      <c r="CL133" s="260"/>
      <c r="CM133" s="260"/>
      <c r="CN133" s="260">
        <v>10</v>
      </c>
      <c r="CO133" s="260">
        <v>10</v>
      </c>
      <c r="CP133" s="260">
        <v>20</v>
      </c>
      <c r="CQ133" s="260">
        <v>40</v>
      </c>
      <c r="CR133" s="260">
        <v>10</v>
      </c>
      <c r="CS133" s="270">
        <v>40</v>
      </c>
      <c r="CT133" s="322">
        <v>290</v>
      </c>
      <c r="CU133" s="249">
        <f>Table2821115[[#This Row],[D28 - BR/18]]/Table2821115[[#This Row],[D0 - BR/18]]</f>
        <v>1</v>
      </c>
      <c r="CV133" s="248">
        <f>Table2821115[[#This Row],[D28 - KS/17]]/Table2821115[[#This Row],[D0 - KS/17]]</f>
        <v>4</v>
      </c>
      <c r="CW133" s="248">
        <f>Table2821115[[#This Row],[D28 - Phu/13]]/Table2821115[[#This Row],[D0 - Phu/13]]</f>
        <v>1</v>
      </c>
      <c r="CX133" s="248">
        <f>Table2821115[[#This Row],[D28 - CO/17]]/Table2821115[[#This Row],[D0 - CO/17]]</f>
        <v>2</v>
      </c>
      <c r="CY133" s="248">
        <f>LOG(Table2821115[[#This Row],[BR/18 Fold]],2)</f>
        <v>0</v>
      </c>
      <c r="CZ133" s="248">
        <f>LOG(Table2821115[[#This Row],[KS/17 Fold]],2)</f>
        <v>2</v>
      </c>
      <c r="DA133" s="248">
        <f>LOG(Table2821115[[#This Row],[Phu/13 Fold]],2)</f>
        <v>0</v>
      </c>
      <c r="DB133" s="248">
        <f>LOG(Table2821115[[#This Row],[CO/17 Fold]],2)</f>
        <v>1</v>
      </c>
      <c r="DC133" s="248">
        <f>SUM(Table2821115[[#This Row],[BR/18 Log2]:[CO/17 Log2]])</f>
        <v>3</v>
      </c>
    </row>
    <row r="134" spans="1:107" ht="24" customHeight="1">
      <c r="A134" s="330">
        <v>291</v>
      </c>
      <c r="B134" s="210">
        <v>15595</v>
      </c>
      <c r="C134" s="210">
        <v>43740</v>
      </c>
      <c r="D134" s="209">
        <v>77</v>
      </c>
      <c r="E134" s="3" t="s">
        <v>61</v>
      </c>
      <c r="F134" s="143" t="s">
        <v>116</v>
      </c>
      <c r="G134" s="142">
        <v>22.93337068029831</v>
      </c>
      <c r="H134" s="5" t="s">
        <v>64</v>
      </c>
      <c r="I134" s="277" t="s">
        <v>60</v>
      </c>
      <c r="J134" s="260">
        <v>5</v>
      </c>
      <c r="K134" s="260">
        <v>5</v>
      </c>
      <c r="L134" s="260"/>
      <c r="M134" s="260"/>
      <c r="N134" s="260"/>
      <c r="O134" s="260"/>
      <c r="P134" s="260"/>
      <c r="Q134" s="260"/>
      <c r="R134" s="260"/>
      <c r="S134" s="260"/>
      <c r="T134" s="260"/>
      <c r="U134" s="260"/>
      <c r="V134" s="260">
        <v>5</v>
      </c>
      <c r="W134" s="260">
        <v>10</v>
      </c>
      <c r="X134" s="260">
        <v>5</v>
      </c>
      <c r="Y134" s="260">
        <v>5</v>
      </c>
      <c r="Z134" s="260">
        <v>5</v>
      </c>
      <c r="AA134" s="260">
        <v>80</v>
      </c>
      <c r="AB134" s="260">
        <v>5</v>
      </c>
      <c r="AC134" s="260">
        <v>40</v>
      </c>
      <c r="AD134" s="260"/>
      <c r="AE134" s="260"/>
      <c r="AF134" s="260"/>
      <c r="AG134" s="260"/>
      <c r="AH134" s="208">
        <v>291</v>
      </c>
      <c r="AI134" s="272">
        <v>10</v>
      </c>
      <c r="AJ134" s="271">
        <v>20</v>
      </c>
      <c r="AK134" s="260"/>
      <c r="AL134" s="260"/>
      <c r="AM134" s="260"/>
      <c r="AN134" s="260"/>
      <c r="AO134" s="260"/>
      <c r="AP134" s="260"/>
      <c r="AQ134" s="260"/>
      <c r="AR134" s="260"/>
      <c r="AS134" s="260"/>
      <c r="AT134" s="260"/>
      <c r="AU134" s="260">
        <v>40</v>
      </c>
      <c r="AV134" s="271">
        <v>160</v>
      </c>
      <c r="AW134" s="260">
        <v>20</v>
      </c>
      <c r="AX134" s="271">
        <v>160</v>
      </c>
      <c r="AY134" s="260">
        <v>10</v>
      </c>
      <c r="AZ134" s="271">
        <v>40</v>
      </c>
      <c r="BA134" s="276">
        <v>20</v>
      </c>
      <c r="BB134" s="276">
        <v>80</v>
      </c>
      <c r="BC134" s="276"/>
      <c r="BD134" s="276"/>
      <c r="BE134" s="276">
        <v>10</v>
      </c>
      <c r="BF134" s="276">
        <v>80</v>
      </c>
      <c r="BG134" s="260">
        <v>20</v>
      </c>
      <c r="BH134" s="271">
        <v>40</v>
      </c>
      <c r="BI134" s="276"/>
      <c r="BJ134" s="276"/>
      <c r="BK134" s="276"/>
      <c r="BL134" s="275"/>
      <c r="BM134" s="329">
        <v>291</v>
      </c>
      <c r="BN134" s="272">
        <v>20</v>
      </c>
      <c r="BO134" s="270">
        <v>20</v>
      </c>
      <c r="BP134" s="272"/>
      <c r="BQ134" s="260"/>
      <c r="BR134" s="260"/>
      <c r="BS134" s="260"/>
      <c r="BT134" s="260"/>
      <c r="BU134" s="260"/>
      <c r="BV134" s="260">
        <v>10</v>
      </c>
      <c r="BW134" s="260">
        <v>40</v>
      </c>
      <c r="BX134" s="260"/>
      <c r="BY134" s="260"/>
      <c r="BZ134" s="260"/>
      <c r="CA134" s="260"/>
      <c r="CB134" s="260"/>
      <c r="CC134" s="260"/>
      <c r="CD134" s="260">
        <v>40</v>
      </c>
      <c r="CE134" s="260">
        <v>40</v>
      </c>
      <c r="CF134" s="272"/>
      <c r="CG134" s="260"/>
      <c r="CH134" s="260"/>
      <c r="CI134" s="260"/>
      <c r="CJ134" s="260"/>
      <c r="CK134" s="260"/>
      <c r="CL134" s="260"/>
      <c r="CM134" s="260"/>
      <c r="CN134" s="260">
        <v>10</v>
      </c>
      <c r="CO134" s="260">
        <v>10</v>
      </c>
      <c r="CP134" s="260">
        <v>10</v>
      </c>
      <c r="CQ134" s="260">
        <v>20</v>
      </c>
      <c r="CR134" s="260">
        <v>5</v>
      </c>
      <c r="CS134" s="270">
        <v>10</v>
      </c>
      <c r="CT134" s="328">
        <v>291</v>
      </c>
      <c r="CU134" s="249">
        <f>Table2821115[[#This Row],[D28 - BR/18]]/Table2821115[[#This Row],[D0 - BR/18]]</f>
        <v>8</v>
      </c>
      <c r="CV134" s="248">
        <f>Table2821115[[#This Row],[D28 - KS/17]]/Table2821115[[#This Row],[D0 - KS/17]]</f>
        <v>8</v>
      </c>
      <c r="CW134" s="248">
        <f>Table2821115[[#This Row],[D28 - Phu/13]]/Table2821115[[#This Row],[D0 - Phu/13]]</f>
        <v>1</v>
      </c>
      <c r="CX134" s="248">
        <f>Table2821115[[#This Row],[D28 - CO/17]]/Table2821115[[#This Row],[D0 - CO/17]]</f>
        <v>2</v>
      </c>
      <c r="CY134" s="248">
        <f>LOG(Table2821115[[#This Row],[BR/18 Fold]],2)</f>
        <v>3</v>
      </c>
      <c r="CZ134" s="248">
        <f>LOG(Table2821115[[#This Row],[KS/17 Fold]],2)</f>
        <v>3</v>
      </c>
      <c r="DA134" s="248">
        <f>LOG(Table2821115[[#This Row],[Phu/13 Fold]],2)</f>
        <v>0</v>
      </c>
      <c r="DB134" s="248">
        <f>LOG(Table2821115[[#This Row],[CO/17 Fold]],2)</f>
        <v>1</v>
      </c>
      <c r="DC134" s="248">
        <f>SUM(Table2821115[[#This Row],[BR/18 Log2]:[CO/17 Log2]])</f>
        <v>7</v>
      </c>
    </row>
    <row r="135" spans="1:107" ht="24" customHeight="1">
      <c r="A135" s="330">
        <v>292</v>
      </c>
      <c r="B135" s="210">
        <v>17821</v>
      </c>
      <c r="C135" s="210">
        <v>43748</v>
      </c>
      <c r="D135" s="209">
        <v>70</v>
      </c>
      <c r="E135" s="4" t="s">
        <v>58</v>
      </c>
      <c r="F135" s="143" t="s">
        <v>116</v>
      </c>
      <c r="G135" s="142">
        <v>29.843893480257119</v>
      </c>
      <c r="H135" s="5" t="s">
        <v>64</v>
      </c>
      <c r="I135" s="277" t="s">
        <v>60</v>
      </c>
      <c r="J135" s="260">
        <v>5</v>
      </c>
      <c r="K135" s="260">
        <v>20</v>
      </c>
      <c r="L135" s="260"/>
      <c r="M135" s="260"/>
      <c r="N135" s="260"/>
      <c r="O135" s="260"/>
      <c r="P135" s="260"/>
      <c r="Q135" s="260"/>
      <c r="R135" s="260"/>
      <c r="S135" s="260"/>
      <c r="T135" s="260"/>
      <c r="U135" s="260"/>
      <c r="V135" s="260">
        <v>5</v>
      </c>
      <c r="W135" s="260">
        <v>5</v>
      </c>
      <c r="X135" s="260">
        <v>20</v>
      </c>
      <c r="Y135" s="260">
        <v>40</v>
      </c>
      <c r="Z135" s="260">
        <v>20</v>
      </c>
      <c r="AA135" s="260">
        <v>40</v>
      </c>
      <c r="AB135" s="260">
        <v>5</v>
      </c>
      <c r="AC135" s="260">
        <v>20</v>
      </c>
      <c r="AD135" s="260"/>
      <c r="AE135" s="260"/>
      <c r="AF135" s="260"/>
      <c r="AG135" s="260"/>
      <c r="AH135" s="208">
        <v>292</v>
      </c>
      <c r="AI135" s="272">
        <v>5</v>
      </c>
      <c r="AJ135" s="271">
        <v>10</v>
      </c>
      <c r="AK135" s="260"/>
      <c r="AL135" s="260"/>
      <c r="AM135" s="260"/>
      <c r="AN135" s="260"/>
      <c r="AO135" s="260"/>
      <c r="AP135" s="260"/>
      <c r="AQ135" s="260"/>
      <c r="AR135" s="260"/>
      <c r="AS135" s="260"/>
      <c r="AT135" s="260"/>
      <c r="AU135" s="260">
        <v>5</v>
      </c>
      <c r="AV135" s="271">
        <v>10</v>
      </c>
      <c r="AW135" s="260">
        <v>5</v>
      </c>
      <c r="AX135" s="271">
        <v>20</v>
      </c>
      <c r="AY135" s="260">
        <v>5</v>
      </c>
      <c r="AZ135" s="271">
        <v>320</v>
      </c>
      <c r="BA135" s="276">
        <v>5</v>
      </c>
      <c r="BB135" s="276">
        <v>5</v>
      </c>
      <c r="BC135" s="276"/>
      <c r="BD135" s="276"/>
      <c r="BE135" s="276">
        <v>5</v>
      </c>
      <c r="BF135" s="276">
        <v>5</v>
      </c>
      <c r="BG135" s="260">
        <v>5</v>
      </c>
      <c r="BH135" s="271">
        <v>10</v>
      </c>
      <c r="BI135" s="276"/>
      <c r="BJ135" s="276"/>
      <c r="BK135" s="276"/>
      <c r="BL135" s="275"/>
      <c r="BM135" s="329">
        <v>292</v>
      </c>
      <c r="BN135" s="272">
        <v>320</v>
      </c>
      <c r="BO135" s="270">
        <v>640</v>
      </c>
      <c r="BP135" s="272"/>
      <c r="BQ135" s="260"/>
      <c r="BR135" s="260"/>
      <c r="BS135" s="260"/>
      <c r="BT135" s="260"/>
      <c r="BU135" s="260"/>
      <c r="BV135" s="260">
        <v>80</v>
      </c>
      <c r="BW135" s="260">
        <v>160</v>
      </c>
      <c r="BX135" s="260"/>
      <c r="BY135" s="260"/>
      <c r="BZ135" s="260"/>
      <c r="CA135" s="260"/>
      <c r="CB135" s="260"/>
      <c r="CC135" s="260"/>
      <c r="CD135" s="260">
        <v>320</v>
      </c>
      <c r="CE135" s="260">
        <v>320</v>
      </c>
      <c r="CF135" s="272"/>
      <c r="CG135" s="260"/>
      <c r="CH135" s="260"/>
      <c r="CI135" s="260"/>
      <c r="CJ135" s="260"/>
      <c r="CK135" s="260"/>
      <c r="CL135" s="260"/>
      <c r="CM135" s="260"/>
      <c r="CN135" s="260">
        <v>20</v>
      </c>
      <c r="CO135" s="260">
        <v>40</v>
      </c>
      <c r="CP135" s="260">
        <v>20</v>
      </c>
      <c r="CQ135" s="260">
        <v>40</v>
      </c>
      <c r="CR135" s="260">
        <v>20</v>
      </c>
      <c r="CS135" s="270">
        <v>40</v>
      </c>
      <c r="CT135" s="328">
        <v>292</v>
      </c>
      <c r="CU135" s="249">
        <f>Table2821115[[#This Row],[D28 - BR/18]]/Table2821115[[#This Row],[D0 - BR/18]]</f>
        <v>4</v>
      </c>
      <c r="CV135" s="248">
        <f>Table2821115[[#This Row],[D28 - KS/17]]/Table2821115[[#This Row],[D0 - KS/17]]</f>
        <v>1</v>
      </c>
      <c r="CW135" s="248">
        <f>Table2821115[[#This Row],[D28 - Phu/13]]/Table2821115[[#This Row],[D0 - Phu/13]]</f>
        <v>1</v>
      </c>
      <c r="CX135" s="248">
        <f>Table2821115[[#This Row],[D28 - CO/17]]/Table2821115[[#This Row],[D0 - CO/17]]</f>
        <v>2</v>
      </c>
      <c r="CY135" s="248">
        <f>LOG(Table2821115[[#This Row],[BR/18 Fold]],2)</f>
        <v>2</v>
      </c>
      <c r="CZ135" s="248">
        <f>LOG(Table2821115[[#This Row],[KS/17 Fold]],2)</f>
        <v>0</v>
      </c>
      <c r="DA135" s="248">
        <f>LOG(Table2821115[[#This Row],[Phu/13 Fold]],2)</f>
        <v>0</v>
      </c>
      <c r="DB135" s="248">
        <f>LOG(Table2821115[[#This Row],[CO/17 Fold]],2)</f>
        <v>1</v>
      </c>
      <c r="DC135" s="248">
        <f>SUM(Table2821115[[#This Row],[BR/18 Log2]:[CO/17 Log2]])</f>
        <v>3</v>
      </c>
    </row>
    <row r="136" spans="1:107" ht="24" customHeight="1">
      <c r="A136" s="318">
        <v>293</v>
      </c>
      <c r="B136" s="180">
        <v>20059</v>
      </c>
      <c r="C136" s="180">
        <v>43746</v>
      </c>
      <c r="D136" s="179">
        <v>64</v>
      </c>
      <c r="E136" s="3" t="s">
        <v>61</v>
      </c>
      <c r="F136" s="143" t="s">
        <v>116</v>
      </c>
      <c r="G136" s="142">
        <v>27.587238797944522</v>
      </c>
      <c r="H136" s="11" t="s">
        <v>59</v>
      </c>
      <c r="I136" s="277" t="s">
        <v>62</v>
      </c>
      <c r="J136" s="260">
        <v>5</v>
      </c>
      <c r="K136" s="260">
        <v>5</v>
      </c>
      <c r="L136" s="260"/>
      <c r="M136" s="260"/>
      <c r="N136" s="260"/>
      <c r="O136" s="260"/>
      <c r="P136" s="260"/>
      <c r="Q136" s="260"/>
      <c r="R136" s="260"/>
      <c r="S136" s="260"/>
      <c r="T136" s="260"/>
      <c r="U136" s="260"/>
      <c r="V136" s="260">
        <v>5</v>
      </c>
      <c r="W136" s="260">
        <v>20</v>
      </c>
      <c r="X136" s="260">
        <v>5</v>
      </c>
      <c r="Y136" s="260">
        <v>5</v>
      </c>
      <c r="Z136" s="260">
        <v>5</v>
      </c>
      <c r="AA136" s="260">
        <v>5</v>
      </c>
      <c r="AB136" s="260">
        <v>5</v>
      </c>
      <c r="AC136" s="260">
        <v>5</v>
      </c>
      <c r="AD136" s="260"/>
      <c r="AE136" s="260"/>
      <c r="AF136" s="260"/>
      <c r="AG136" s="260"/>
      <c r="AH136" s="195">
        <v>293</v>
      </c>
      <c r="AI136" s="272">
        <v>5</v>
      </c>
      <c r="AJ136" s="271">
        <v>5</v>
      </c>
      <c r="AK136" s="260"/>
      <c r="AL136" s="260"/>
      <c r="AM136" s="260"/>
      <c r="AN136" s="260"/>
      <c r="AO136" s="260"/>
      <c r="AP136" s="260"/>
      <c r="AQ136" s="260"/>
      <c r="AR136" s="260"/>
      <c r="AS136" s="260"/>
      <c r="AT136" s="260"/>
      <c r="AU136" s="260">
        <v>5</v>
      </c>
      <c r="AV136" s="271">
        <v>80</v>
      </c>
      <c r="AW136" s="260">
        <v>5</v>
      </c>
      <c r="AX136" s="271">
        <v>160</v>
      </c>
      <c r="AY136" s="260">
        <v>5</v>
      </c>
      <c r="AZ136" s="271">
        <v>40</v>
      </c>
      <c r="BA136" s="276">
        <v>5</v>
      </c>
      <c r="BB136" s="276">
        <v>80</v>
      </c>
      <c r="BC136" s="276"/>
      <c r="BD136" s="276"/>
      <c r="BE136" s="276">
        <v>5</v>
      </c>
      <c r="BF136" s="276">
        <v>80</v>
      </c>
      <c r="BG136" s="260">
        <v>5</v>
      </c>
      <c r="BH136" s="271">
        <v>80</v>
      </c>
      <c r="BI136" s="276"/>
      <c r="BJ136" s="276"/>
      <c r="BK136" s="276"/>
      <c r="BL136" s="275"/>
      <c r="BM136" s="316">
        <v>293</v>
      </c>
      <c r="BN136" s="272">
        <v>5</v>
      </c>
      <c r="BO136" s="270">
        <v>5</v>
      </c>
      <c r="BP136" s="272"/>
      <c r="BQ136" s="260"/>
      <c r="BR136" s="260"/>
      <c r="BS136" s="260"/>
      <c r="BT136" s="260"/>
      <c r="BU136" s="260"/>
      <c r="BV136" s="260">
        <v>40</v>
      </c>
      <c r="BW136" s="260">
        <v>320</v>
      </c>
      <c r="BX136" s="260"/>
      <c r="BY136" s="260"/>
      <c r="BZ136" s="260"/>
      <c r="CA136" s="260"/>
      <c r="CB136" s="260"/>
      <c r="CC136" s="260"/>
      <c r="CD136" s="260">
        <v>40</v>
      </c>
      <c r="CE136" s="260">
        <v>320</v>
      </c>
      <c r="CF136" s="272"/>
      <c r="CG136" s="260"/>
      <c r="CH136" s="260"/>
      <c r="CI136" s="260"/>
      <c r="CJ136" s="260"/>
      <c r="CK136" s="260"/>
      <c r="CL136" s="260"/>
      <c r="CM136" s="260"/>
      <c r="CN136" s="260">
        <v>5</v>
      </c>
      <c r="CO136" s="260">
        <v>5</v>
      </c>
      <c r="CP136" s="260">
        <v>5</v>
      </c>
      <c r="CQ136" s="260">
        <v>5</v>
      </c>
      <c r="CR136" s="260">
        <v>5</v>
      </c>
      <c r="CS136" s="270">
        <v>5</v>
      </c>
      <c r="CT136" s="315">
        <v>293</v>
      </c>
      <c r="CU136" s="249">
        <f>Table2821115[[#This Row],[D28 - BR/18]]/Table2821115[[#This Row],[D0 - BR/18]]</f>
        <v>1</v>
      </c>
      <c r="CV136" s="248">
        <f>Table2821115[[#This Row],[D28 - KS/17]]/Table2821115[[#This Row],[D0 - KS/17]]</f>
        <v>16</v>
      </c>
      <c r="CW136" s="248">
        <f>Table2821115[[#This Row],[D28 - Phu/13]]/Table2821115[[#This Row],[D0 - Phu/13]]</f>
        <v>8</v>
      </c>
      <c r="CX136" s="248">
        <f>Table2821115[[#This Row],[D28 - CO/17]]/Table2821115[[#This Row],[D0 - CO/17]]</f>
        <v>1</v>
      </c>
      <c r="CY136" s="248">
        <f>LOG(Table2821115[[#This Row],[BR/18 Fold]],2)</f>
        <v>0</v>
      </c>
      <c r="CZ136" s="248">
        <f>LOG(Table2821115[[#This Row],[KS/17 Fold]],2)</f>
        <v>4</v>
      </c>
      <c r="DA136" s="248">
        <f>LOG(Table2821115[[#This Row],[Phu/13 Fold]],2)</f>
        <v>3</v>
      </c>
      <c r="DB136" s="248">
        <f>LOG(Table2821115[[#This Row],[CO/17 Fold]],2)</f>
        <v>0</v>
      </c>
      <c r="DC136" s="248">
        <f>SUM(Table2821115[[#This Row],[BR/18 Log2]:[CO/17 Log2]])</f>
        <v>7</v>
      </c>
    </row>
    <row r="137" spans="1:107" ht="24" customHeight="1">
      <c r="A137" s="330">
        <v>294</v>
      </c>
      <c r="B137" s="210">
        <v>18315</v>
      </c>
      <c r="C137" s="210">
        <v>43746</v>
      </c>
      <c r="D137" s="209">
        <v>69</v>
      </c>
      <c r="E137" s="3" t="s">
        <v>61</v>
      </c>
      <c r="F137" s="143" t="s">
        <v>116</v>
      </c>
      <c r="G137" s="142">
        <v>23.1520428231495</v>
      </c>
      <c r="H137" s="5" t="s">
        <v>64</v>
      </c>
      <c r="I137" s="277" t="s">
        <v>60</v>
      </c>
      <c r="J137" s="260">
        <v>5</v>
      </c>
      <c r="K137" s="260">
        <v>5</v>
      </c>
      <c r="L137" s="260"/>
      <c r="M137" s="260"/>
      <c r="N137" s="260"/>
      <c r="O137" s="260"/>
      <c r="P137" s="260"/>
      <c r="Q137" s="260"/>
      <c r="R137" s="260"/>
      <c r="S137" s="260"/>
      <c r="T137" s="260"/>
      <c r="U137" s="260"/>
      <c r="V137" s="260">
        <v>5</v>
      </c>
      <c r="W137" s="260">
        <v>5</v>
      </c>
      <c r="X137" s="260">
        <v>10</v>
      </c>
      <c r="Y137" s="260">
        <v>40</v>
      </c>
      <c r="Z137" s="260">
        <v>20</v>
      </c>
      <c r="AA137" s="260">
        <v>40</v>
      </c>
      <c r="AB137" s="260">
        <v>10</v>
      </c>
      <c r="AC137" s="260">
        <v>20</v>
      </c>
      <c r="AD137" s="260"/>
      <c r="AE137" s="260"/>
      <c r="AF137" s="260"/>
      <c r="AG137" s="260"/>
      <c r="AH137" s="208">
        <v>294</v>
      </c>
      <c r="AI137" s="272">
        <v>5</v>
      </c>
      <c r="AJ137" s="271">
        <v>10</v>
      </c>
      <c r="AK137" s="260"/>
      <c r="AL137" s="260"/>
      <c r="AM137" s="260"/>
      <c r="AN137" s="260"/>
      <c r="AO137" s="260"/>
      <c r="AP137" s="260"/>
      <c r="AQ137" s="260"/>
      <c r="AR137" s="260"/>
      <c r="AS137" s="260"/>
      <c r="AT137" s="260"/>
      <c r="AU137" s="260">
        <v>40</v>
      </c>
      <c r="AV137" s="271">
        <v>80</v>
      </c>
      <c r="AW137" s="260">
        <v>40</v>
      </c>
      <c r="AX137" s="271">
        <v>160</v>
      </c>
      <c r="AY137" s="260">
        <v>20</v>
      </c>
      <c r="AZ137" s="271">
        <v>20</v>
      </c>
      <c r="BA137" s="276">
        <v>20</v>
      </c>
      <c r="BB137" s="276">
        <v>80</v>
      </c>
      <c r="BC137" s="276"/>
      <c r="BD137" s="276"/>
      <c r="BE137" s="276">
        <v>10</v>
      </c>
      <c r="BF137" s="276">
        <v>40</v>
      </c>
      <c r="BG137" s="260">
        <v>20</v>
      </c>
      <c r="BH137" s="271">
        <v>40</v>
      </c>
      <c r="BI137" s="276"/>
      <c r="BJ137" s="276"/>
      <c r="BK137" s="276"/>
      <c r="BL137" s="275"/>
      <c r="BM137" s="329">
        <v>294</v>
      </c>
      <c r="BN137" s="272">
        <v>40</v>
      </c>
      <c r="BO137" s="270">
        <v>40</v>
      </c>
      <c r="BP137" s="272"/>
      <c r="BQ137" s="260"/>
      <c r="BR137" s="260"/>
      <c r="BS137" s="260"/>
      <c r="BT137" s="260"/>
      <c r="BU137" s="260"/>
      <c r="BV137" s="260">
        <v>40</v>
      </c>
      <c r="BW137" s="260">
        <v>80</v>
      </c>
      <c r="BX137" s="260"/>
      <c r="BY137" s="260"/>
      <c r="BZ137" s="260"/>
      <c r="CA137" s="260"/>
      <c r="CB137" s="260"/>
      <c r="CC137" s="260"/>
      <c r="CD137" s="260">
        <v>80</v>
      </c>
      <c r="CE137" s="260">
        <v>80</v>
      </c>
      <c r="CF137" s="272"/>
      <c r="CG137" s="260"/>
      <c r="CH137" s="260"/>
      <c r="CI137" s="260"/>
      <c r="CJ137" s="260"/>
      <c r="CK137" s="260"/>
      <c r="CL137" s="260"/>
      <c r="CM137" s="260"/>
      <c r="CN137" s="260">
        <v>10</v>
      </c>
      <c r="CO137" s="260">
        <v>40</v>
      </c>
      <c r="CP137" s="260">
        <v>20</v>
      </c>
      <c r="CQ137" s="260">
        <v>40</v>
      </c>
      <c r="CR137" s="260">
        <v>20</v>
      </c>
      <c r="CS137" s="270">
        <v>40</v>
      </c>
      <c r="CT137" s="328">
        <v>294</v>
      </c>
      <c r="CU137" s="249">
        <f>Table2821115[[#This Row],[D28 - BR/18]]/Table2821115[[#This Row],[D0 - BR/18]]</f>
        <v>2</v>
      </c>
      <c r="CV137" s="248">
        <f>Table2821115[[#This Row],[D28 - KS/17]]/Table2821115[[#This Row],[D0 - KS/17]]</f>
        <v>4</v>
      </c>
      <c r="CW137" s="248">
        <f>Table2821115[[#This Row],[D28 - Phu/13]]/Table2821115[[#This Row],[D0 - Phu/13]]</f>
        <v>1</v>
      </c>
      <c r="CX137" s="248">
        <f>Table2821115[[#This Row],[D28 - CO/17]]/Table2821115[[#This Row],[D0 - CO/17]]</f>
        <v>2</v>
      </c>
      <c r="CY137" s="248">
        <f>LOG(Table2821115[[#This Row],[BR/18 Fold]],2)</f>
        <v>1</v>
      </c>
      <c r="CZ137" s="248">
        <f>LOG(Table2821115[[#This Row],[KS/17 Fold]],2)</f>
        <v>2</v>
      </c>
      <c r="DA137" s="248">
        <f>LOG(Table2821115[[#This Row],[Phu/13 Fold]],2)</f>
        <v>0</v>
      </c>
      <c r="DB137" s="248">
        <f>LOG(Table2821115[[#This Row],[CO/17 Fold]],2)</f>
        <v>1</v>
      </c>
      <c r="DC137" s="248">
        <f>SUM(Table2821115[[#This Row],[BR/18 Log2]:[CO/17 Log2]])</f>
        <v>4</v>
      </c>
    </row>
    <row r="138" spans="1:107" ht="24" customHeight="1">
      <c r="A138" s="330">
        <v>295</v>
      </c>
      <c r="B138" s="210">
        <v>19464</v>
      </c>
      <c r="C138" s="210">
        <v>43752</v>
      </c>
      <c r="D138" s="209">
        <v>66</v>
      </c>
      <c r="E138" s="3" t="s">
        <v>61</v>
      </c>
      <c r="F138" s="143" t="s">
        <v>116</v>
      </c>
      <c r="G138" s="142">
        <v>21.659231826726145</v>
      </c>
      <c r="H138" s="5" t="s">
        <v>64</v>
      </c>
      <c r="I138" s="277" t="s">
        <v>60</v>
      </c>
      <c r="J138" s="260">
        <v>5</v>
      </c>
      <c r="K138" s="260">
        <v>5</v>
      </c>
      <c r="L138" s="260"/>
      <c r="M138" s="260"/>
      <c r="N138" s="260"/>
      <c r="O138" s="260"/>
      <c r="P138" s="260"/>
      <c r="Q138" s="260"/>
      <c r="R138" s="260"/>
      <c r="S138" s="260"/>
      <c r="T138" s="260"/>
      <c r="U138" s="260"/>
      <c r="V138" s="260">
        <v>5</v>
      </c>
      <c r="W138" s="260">
        <v>5</v>
      </c>
      <c r="X138" s="260">
        <v>80</v>
      </c>
      <c r="Y138" s="260">
        <v>160</v>
      </c>
      <c r="Z138" s="260">
        <v>80</v>
      </c>
      <c r="AA138" s="260">
        <v>160</v>
      </c>
      <c r="AB138" s="260">
        <v>80</v>
      </c>
      <c r="AC138" s="260">
        <v>160</v>
      </c>
      <c r="AD138" s="260"/>
      <c r="AE138" s="260"/>
      <c r="AF138" s="260"/>
      <c r="AG138" s="260"/>
      <c r="AH138" s="208">
        <v>295</v>
      </c>
      <c r="AI138" s="272">
        <v>20</v>
      </c>
      <c r="AJ138" s="271">
        <v>40</v>
      </c>
      <c r="AK138" s="260"/>
      <c r="AL138" s="260"/>
      <c r="AM138" s="260"/>
      <c r="AN138" s="260"/>
      <c r="AO138" s="260"/>
      <c r="AP138" s="260"/>
      <c r="AQ138" s="260"/>
      <c r="AR138" s="260"/>
      <c r="AS138" s="260"/>
      <c r="AT138" s="260"/>
      <c r="AU138" s="260">
        <v>40</v>
      </c>
      <c r="AV138" s="271">
        <v>80</v>
      </c>
      <c r="AW138" s="260">
        <v>20</v>
      </c>
      <c r="AX138" s="271">
        <v>80</v>
      </c>
      <c r="AY138" s="260">
        <v>5</v>
      </c>
      <c r="AZ138" s="271">
        <v>20</v>
      </c>
      <c r="BA138" s="276">
        <v>5</v>
      </c>
      <c r="BB138" s="276">
        <v>40</v>
      </c>
      <c r="BC138" s="276"/>
      <c r="BD138" s="276"/>
      <c r="BE138" s="276">
        <v>20</v>
      </c>
      <c r="BF138" s="276">
        <v>80</v>
      </c>
      <c r="BG138" s="260">
        <v>40</v>
      </c>
      <c r="BH138" s="271">
        <v>80</v>
      </c>
      <c r="BI138" s="276"/>
      <c r="BJ138" s="276"/>
      <c r="BK138" s="276"/>
      <c r="BL138" s="275"/>
      <c r="BM138" s="329">
        <v>295</v>
      </c>
      <c r="BN138" s="272">
        <v>160</v>
      </c>
      <c r="BO138" s="270">
        <v>320</v>
      </c>
      <c r="BP138" s="272"/>
      <c r="BQ138" s="260"/>
      <c r="BR138" s="260"/>
      <c r="BS138" s="260"/>
      <c r="BT138" s="260"/>
      <c r="BU138" s="260"/>
      <c r="BV138" s="260">
        <v>10</v>
      </c>
      <c r="BW138" s="260">
        <v>10</v>
      </c>
      <c r="BX138" s="260"/>
      <c r="BY138" s="260"/>
      <c r="BZ138" s="260"/>
      <c r="CA138" s="260"/>
      <c r="CB138" s="260"/>
      <c r="CC138" s="260"/>
      <c r="CD138" s="260">
        <v>40</v>
      </c>
      <c r="CE138" s="260">
        <v>80</v>
      </c>
      <c r="CF138" s="272"/>
      <c r="CG138" s="260"/>
      <c r="CH138" s="260"/>
      <c r="CI138" s="260"/>
      <c r="CJ138" s="260"/>
      <c r="CK138" s="260"/>
      <c r="CL138" s="260"/>
      <c r="CM138" s="260"/>
      <c r="CN138" s="260">
        <v>20</v>
      </c>
      <c r="CO138" s="260">
        <v>80</v>
      </c>
      <c r="CP138" s="260">
        <v>40</v>
      </c>
      <c r="CQ138" s="260">
        <v>160</v>
      </c>
      <c r="CR138" s="260">
        <v>20</v>
      </c>
      <c r="CS138" s="270">
        <v>80</v>
      </c>
      <c r="CT138" s="328">
        <v>295</v>
      </c>
      <c r="CU138" s="249">
        <f>Table2821115[[#This Row],[D28 - BR/18]]/Table2821115[[#This Row],[D0 - BR/18]]</f>
        <v>2</v>
      </c>
      <c r="CV138" s="248">
        <f>Table2821115[[#This Row],[D28 - KS/17]]/Table2821115[[#This Row],[D0 - KS/17]]</f>
        <v>4</v>
      </c>
      <c r="CW138" s="248">
        <f>Table2821115[[#This Row],[D28 - Phu/13]]/Table2821115[[#This Row],[D0 - Phu/13]]</f>
        <v>2</v>
      </c>
      <c r="CX138" s="248">
        <f>Table2821115[[#This Row],[D28 - CO/17]]/Table2821115[[#This Row],[D0 - CO/17]]</f>
        <v>4</v>
      </c>
      <c r="CY138" s="248">
        <f>LOG(Table2821115[[#This Row],[BR/18 Fold]],2)</f>
        <v>1</v>
      </c>
      <c r="CZ138" s="248">
        <f>LOG(Table2821115[[#This Row],[KS/17 Fold]],2)</f>
        <v>2</v>
      </c>
      <c r="DA138" s="248">
        <f>LOG(Table2821115[[#This Row],[Phu/13 Fold]],2)</f>
        <v>1</v>
      </c>
      <c r="DB138" s="248">
        <f>LOG(Table2821115[[#This Row],[CO/17 Fold]],2)</f>
        <v>2</v>
      </c>
      <c r="DC138" s="248">
        <f>SUM(Table2821115[[#This Row],[BR/18 Log2]:[CO/17 Log2]])</f>
        <v>6</v>
      </c>
    </row>
    <row r="139" spans="1:107" ht="24" customHeight="1">
      <c r="A139" s="330">
        <v>296</v>
      </c>
      <c r="B139" s="210">
        <v>19264</v>
      </c>
      <c r="C139" s="210">
        <v>43752</v>
      </c>
      <c r="D139" s="209">
        <v>67</v>
      </c>
      <c r="E139" s="4" t="s">
        <v>58</v>
      </c>
      <c r="F139" s="143" t="s">
        <v>116</v>
      </c>
      <c r="G139" s="142">
        <v>21.072334259147443</v>
      </c>
      <c r="H139" s="5" t="s">
        <v>64</v>
      </c>
      <c r="I139" s="277" t="s">
        <v>60</v>
      </c>
      <c r="J139" s="260">
        <v>5</v>
      </c>
      <c r="K139" s="260">
        <v>5</v>
      </c>
      <c r="L139" s="260"/>
      <c r="M139" s="260"/>
      <c r="N139" s="260"/>
      <c r="O139" s="260"/>
      <c r="P139" s="260"/>
      <c r="Q139" s="260"/>
      <c r="R139" s="260"/>
      <c r="S139" s="260"/>
      <c r="T139" s="260"/>
      <c r="U139" s="260"/>
      <c r="V139" s="260">
        <v>5</v>
      </c>
      <c r="W139" s="260">
        <v>5</v>
      </c>
      <c r="X139" s="260">
        <v>20</v>
      </c>
      <c r="Y139" s="260">
        <v>40</v>
      </c>
      <c r="Z139" s="260">
        <v>20</v>
      </c>
      <c r="AA139" s="260">
        <v>80</v>
      </c>
      <c r="AB139" s="260">
        <v>20</v>
      </c>
      <c r="AC139" s="260">
        <v>40</v>
      </c>
      <c r="AD139" s="260"/>
      <c r="AE139" s="260"/>
      <c r="AF139" s="260"/>
      <c r="AG139" s="260"/>
      <c r="AH139" s="208">
        <v>296</v>
      </c>
      <c r="AI139" s="272">
        <v>5</v>
      </c>
      <c r="AJ139" s="271">
        <v>10</v>
      </c>
      <c r="AK139" s="260"/>
      <c r="AL139" s="260"/>
      <c r="AM139" s="260"/>
      <c r="AN139" s="260"/>
      <c r="AO139" s="260"/>
      <c r="AP139" s="260"/>
      <c r="AQ139" s="260"/>
      <c r="AR139" s="260"/>
      <c r="AS139" s="260"/>
      <c r="AT139" s="260"/>
      <c r="AU139" s="260">
        <v>10</v>
      </c>
      <c r="AV139" s="271">
        <v>20</v>
      </c>
      <c r="AW139" s="260">
        <v>5</v>
      </c>
      <c r="AX139" s="271">
        <v>20</v>
      </c>
      <c r="AY139" s="260">
        <v>5</v>
      </c>
      <c r="AZ139" s="271">
        <v>80</v>
      </c>
      <c r="BA139" s="276">
        <v>5</v>
      </c>
      <c r="BB139" s="276">
        <v>10</v>
      </c>
      <c r="BC139" s="276"/>
      <c r="BD139" s="276"/>
      <c r="BE139" s="276">
        <v>5</v>
      </c>
      <c r="BF139" s="276">
        <v>10</v>
      </c>
      <c r="BG139" s="260">
        <v>5</v>
      </c>
      <c r="BH139" s="271">
        <v>20</v>
      </c>
      <c r="BI139" s="276"/>
      <c r="BJ139" s="276"/>
      <c r="BK139" s="276"/>
      <c r="BL139" s="275"/>
      <c r="BM139" s="329">
        <v>296</v>
      </c>
      <c r="BN139" s="272">
        <v>20</v>
      </c>
      <c r="BO139" s="270">
        <v>80</v>
      </c>
      <c r="BP139" s="272"/>
      <c r="BQ139" s="260"/>
      <c r="BR139" s="260"/>
      <c r="BS139" s="260"/>
      <c r="BT139" s="260"/>
      <c r="BU139" s="260"/>
      <c r="BV139" s="260">
        <v>10</v>
      </c>
      <c r="BW139" s="260">
        <v>40</v>
      </c>
      <c r="BX139" s="260"/>
      <c r="BY139" s="260"/>
      <c r="BZ139" s="260"/>
      <c r="CA139" s="260"/>
      <c r="CB139" s="260"/>
      <c r="CC139" s="260"/>
      <c r="CD139" s="260">
        <v>10</v>
      </c>
      <c r="CE139" s="260">
        <v>40</v>
      </c>
      <c r="CF139" s="272"/>
      <c r="CG139" s="260"/>
      <c r="CH139" s="260"/>
      <c r="CI139" s="260"/>
      <c r="CJ139" s="260"/>
      <c r="CK139" s="260"/>
      <c r="CL139" s="260"/>
      <c r="CM139" s="260"/>
      <c r="CN139" s="260">
        <v>80</v>
      </c>
      <c r="CO139" s="260">
        <v>160</v>
      </c>
      <c r="CP139" s="260">
        <v>10</v>
      </c>
      <c r="CQ139" s="260">
        <v>40</v>
      </c>
      <c r="CR139" s="260">
        <v>10</v>
      </c>
      <c r="CS139" s="270">
        <v>40</v>
      </c>
      <c r="CT139" s="328">
        <v>296</v>
      </c>
      <c r="CU139" s="249">
        <f>Table2821115[[#This Row],[D28 - BR/18]]/Table2821115[[#This Row],[D0 - BR/18]]</f>
        <v>2</v>
      </c>
      <c r="CV139" s="248">
        <f>Table2821115[[#This Row],[D28 - KS/17]]/Table2821115[[#This Row],[D0 - KS/17]]</f>
        <v>2</v>
      </c>
      <c r="CW139" s="248">
        <f>Table2821115[[#This Row],[D28 - Phu/13]]/Table2821115[[#This Row],[D0 - Phu/13]]</f>
        <v>4</v>
      </c>
      <c r="CX139" s="248">
        <f>Table2821115[[#This Row],[D28 - CO/17]]/Table2821115[[#This Row],[D0 - CO/17]]</f>
        <v>4</v>
      </c>
      <c r="CY139" s="248">
        <f>LOG(Table2821115[[#This Row],[BR/18 Fold]],2)</f>
        <v>1</v>
      </c>
      <c r="CZ139" s="248">
        <f>LOG(Table2821115[[#This Row],[KS/17 Fold]],2)</f>
        <v>1</v>
      </c>
      <c r="DA139" s="248">
        <f>LOG(Table2821115[[#This Row],[Phu/13 Fold]],2)</f>
        <v>2</v>
      </c>
      <c r="DB139" s="248">
        <f>LOG(Table2821115[[#This Row],[CO/17 Fold]],2)</f>
        <v>2</v>
      </c>
      <c r="DC139" s="248">
        <f>SUM(Table2821115[[#This Row],[BR/18 Log2]:[CO/17 Log2]])</f>
        <v>6</v>
      </c>
    </row>
    <row r="140" spans="1:107" ht="24" customHeight="1">
      <c r="A140" s="318">
        <v>297</v>
      </c>
      <c r="B140" s="180">
        <v>23013</v>
      </c>
      <c r="C140" s="180">
        <v>43749</v>
      </c>
      <c r="D140" s="179">
        <v>56</v>
      </c>
      <c r="E140" s="3" t="s">
        <v>61</v>
      </c>
      <c r="F140" s="143" t="s">
        <v>116</v>
      </c>
      <c r="G140" s="142">
        <v>27.977334265001311</v>
      </c>
      <c r="H140" s="11" t="s">
        <v>59</v>
      </c>
      <c r="I140" s="277" t="s">
        <v>60</v>
      </c>
      <c r="J140" s="260">
        <v>5</v>
      </c>
      <c r="K140" s="260">
        <v>5</v>
      </c>
      <c r="L140" s="260"/>
      <c r="M140" s="260"/>
      <c r="N140" s="260"/>
      <c r="O140" s="260"/>
      <c r="P140" s="260"/>
      <c r="Q140" s="260"/>
      <c r="R140" s="260"/>
      <c r="S140" s="260"/>
      <c r="T140" s="260"/>
      <c r="U140" s="260"/>
      <c r="V140" s="260">
        <v>5</v>
      </c>
      <c r="W140" s="260">
        <v>5</v>
      </c>
      <c r="X140" s="260">
        <v>5</v>
      </c>
      <c r="Y140" s="260">
        <v>40</v>
      </c>
      <c r="Z140" s="260">
        <v>10</v>
      </c>
      <c r="AA140" s="260">
        <v>40</v>
      </c>
      <c r="AB140" s="260">
        <v>5</v>
      </c>
      <c r="AC140" s="260">
        <v>5</v>
      </c>
      <c r="AD140" s="260"/>
      <c r="AE140" s="260"/>
      <c r="AF140" s="260"/>
      <c r="AG140" s="260"/>
      <c r="AH140" s="195">
        <v>297</v>
      </c>
      <c r="AI140" s="272">
        <v>5</v>
      </c>
      <c r="AJ140" s="271">
        <v>5</v>
      </c>
      <c r="AK140" s="260"/>
      <c r="AL140" s="260"/>
      <c r="AM140" s="260"/>
      <c r="AN140" s="260"/>
      <c r="AO140" s="260"/>
      <c r="AP140" s="260"/>
      <c r="AQ140" s="260"/>
      <c r="AR140" s="260"/>
      <c r="AS140" s="260"/>
      <c r="AT140" s="260"/>
      <c r="AU140" s="260">
        <v>5</v>
      </c>
      <c r="AV140" s="271">
        <v>20</v>
      </c>
      <c r="AW140" s="260">
        <v>5</v>
      </c>
      <c r="AX140" s="271">
        <v>20</v>
      </c>
      <c r="AY140" s="260">
        <v>5</v>
      </c>
      <c r="AZ140" s="271">
        <v>5</v>
      </c>
      <c r="BA140" s="276">
        <v>5</v>
      </c>
      <c r="BB140" s="276">
        <v>5</v>
      </c>
      <c r="BC140" s="276"/>
      <c r="BD140" s="276"/>
      <c r="BE140" s="276">
        <v>5</v>
      </c>
      <c r="BF140" s="276">
        <v>10</v>
      </c>
      <c r="BG140" s="260">
        <v>5</v>
      </c>
      <c r="BH140" s="271">
        <v>20</v>
      </c>
      <c r="BI140" s="276"/>
      <c r="BJ140" s="276"/>
      <c r="BK140" s="276"/>
      <c r="BL140" s="275"/>
      <c r="BM140" s="316">
        <v>297</v>
      </c>
      <c r="BN140" s="272">
        <v>5</v>
      </c>
      <c r="BO140" s="270">
        <v>40</v>
      </c>
      <c r="BP140" s="272"/>
      <c r="BQ140" s="260"/>
      <c r="BR140" s="260"/>
      <c r="BS140" s="260"/>
      <c r="BT140" s="260"/>
      <c r="BU140" s="260"/>
      <c r="BV140" s="260">
        <v>5</v>
      </c>
      <c r="BW140" s="260">
        <v>5</v>
      </c>
      <c r="BX140" s="260"/>
      <c r="BY140" s="260"/>
      <c r="BZ140" s="260"/>
      <c r="CA140" s="260"/>
      <c r="CB140" s="260"/>
      <c r="CC140" s="260"/>
      <c r="CD140" s="260">
        <v>5</v>
      </c>
      <c r="CE140" s="260">
        <v>40</v>
      </c>
      <c r="CF140" s="272"/>
      <c r="CG140" s="260"/>
      <c r="CH140" s="260"/>
      <c r="CI140" s="260"/>
      <c r="CJ140" s="260"/>
      <c r="CK140" s="260"/>
      <c r="CL140" s="260"/>
      <c r="CM140" s="260"/>
      <c r="CN140" s="260">
        <v>5</v>
      </c>
      <c r="CO140" s="260">
        <v>10</v>
      </c>
      <c r="CP140" s="260">
        <v>5</v>
      </c>
      <c r="CQ140" s="260">
        <v>5</v>
      </c>
      <c r="CR140" s="260">
        <v>5</v>
      </c>
      <c r="CS140" s="270">
        <v>10</v>
      </c>
      <c r="CT140" s="315">
        <v>297</v>
      </c>
      <c r="CU140" s="249">
        <f>Table2821115[[#This Row],[D28 - BR/18]]/Table2821115[[#This Row],[D0 - BR/18]]</f>
        <v>1</v>
      </c>
      <c r="CV140" s="248">
        <f>Table2821115[[#This Row],[D28 - KS/17]]/Table2821115[[#This Row],[D0 - KS/17]]</f>
        <v>2</v>
      </c>
      <c r="CW140" s="248">
        <f>Table2821115[[#This Row],[D28 - Phu/13]]/Table2821115[[#This Row],[D0 - Phu/13]]</f>
        <v>8</v>
      </c>
      <c r="CX140" s="248">
        <f>Table2821115[[#This Row],[D28 - CO/17]]/Table2821115[[#This Row],[D0 - CO/17]]</f>
        <v>1</v>
      </c>
      <c r="CY140" s="248">
        <f>LOG(Table2821115[[#This Row],[BR/18 Fold]],2)</f>
        <v>0</v>
      </c>
      <c r="CZ140" s="248">
        <f>LOG(Table2821115[[#This Row],[KS/17 Fold]],2)</f>
        <v>1</v>
      </c>
      <c r="DA140" s="248">
        <f>LOG(Table2821115[[#This Row],[Phu/13 Fold]],2)</f>
        <v>3</v>
      </c>
      <c r="DB140" s="248">
        <f>LOG(Table2821115[[#This Row],[CO/17 Fold]],2)</f>
        <v>0</v>
      </c>
      <c r="DC140" s="248">
        <f>SUM(Table2821115[[#This Row],[BR/18 Log2]:[CO/17 Log2]])</f>
        <v>4</v>
      </c>
    </row>
    <row r="141" spans="1:107" ht="24" customHeight="1">
      <c r="A141" s="330">
        <v>298</v>
      </c>
      <c r="B141" s="210">
        <v>14321</v>
      </c>
      <c r="C141" s="210">
        <v>43749</v>
      </c>
      <c r="D141" s="209">
        <v>80</v>
      </c>
      <c r="E141" s="3" t="s">
        <v>61</v>
      </c>
      <c r="F141" s="143" t="s">
        <v>116</v>
      </c>
      <c r="G141" s="142">
        <v>31.35900406080799</v>
      </c>
      <c r="H141" s="5" t="s">
        <v>64</v>
      </c>
      <c r="I141" s="277" t="s">
        <v>62</v>
      </c>
      <c r="J141" s="260">
        <v>5</v>
      </c>
      <c r="K141" s="260">
        <v>5</v>
      </c>
      <c r="L141" s="260"/>
      <c r="M141" s="260"/>
      <c r="N141" s="260"/>
      <c r="O141" s="260"/>
      <c r="P141" s="260"/>
      <c r="Q141" s="260"/>
      <c r="R141" s="260"/>
      <c r="S141" s="260"/>
      <c r="T141" s="260"/>
      <c r="U141" s="260"/>
      <c r="V141" s="260">
        <v>5</v>
      </c>
      <c r="W141" s="260">
        <v>5</v>
      </c>
      <c r="X141" s="260">
        <v>10</v>
      </c>
      <c r="Y141" s="260">
        <v>20</v>
      </c>
      <c r="Z141" s="260">
        <v>20</v>
      </c>
      <c r="AA141" s="260">
        <v>20</v>
      </c>
      <c r="AB141" s="260">
        <v>10</v>
      </c>
      <c r="AC141" s="260">
        <v>20</v>
      </c>
      <c r="AD141" s="260"/>
      <c r="AE141" s="260"/>
      <c r="AF141" s="260"/>
      <c r="AG141" s="260"/>
      <c r="AH141" s="208">
        <v>298</v>
      </c>
      <c r="AI141" s="272">
        <v>10</v>
      </c>
      <c r="AJ141" s="271">
        <v>10</v>
      </c>
      <c r="AK141" s="260"/>
      <c r="AL141" s="260"/>
      <c r="AM141" s="260"/>
      <c r="AN141" s="260"/>
      <c r="AO141" s="260"/>
      <c r="AP141" s="260"/>
      <c r="AQ141" s="260"/>
      <c r="AR141" s="260"/>
      <c r="AS141" s="260"/>
      <c r="AT141" s="260"/>
      <c r="AU141" s="260">
        <v>160</v>
      </c>
      <c r="AV141" s="271">
        <v>160</v>
      </c>
      <c r="AW141" s="260">
        <v>40</v>
      </c>
      <c r="AX141" s="271">
        <v>80</v>
      </c>
      <c r="AY141" s="260">
        <v>80</v>
      </c>
      <c r="AZ141" s="271">
        <v>5</v>
      </c>
      <c r="BA141" s="276">
        <v>80</v>
      </c>
      <c r="BB141" s="276">
        <v>80</v>
      </c>
      <c r="BC141" s="276"/>
      <c r="BD141" s="276"/>
      <c r="BE141" s="276">
        <v>5</v>
      </c>
      <c r="BF141" s="276">
        <v>5</v>
      </c>
      <c r="BG141" s="260">
        <v>160</v>
      </c>
      <c r="BH141" s="271">
        <v>160</v>
      </c>
      <c r="BI141" s="276"/>
      <c r="BJ141" s="276"/>
      <c r="BK141" s="276"/>
      <c r="BL141" s="275"/>
      <c r="BM141" s="329">
        <v>298</v>
      </c>
      <c r="BN141" s="272">
        <v>80</v>
      </c>
      <c r="BO141" s="270">
        <v>80</v>
      </c>
      <c r="BP141" s="272"/>
      <c r="BQ141" s="260"/>
      <c r="BR141" s="260"/>
      <c r="BS141" s="260"/>
      <c r="BT141" s="260"/>
      <c r="BU141" s="260"/>
      <c r="BV141" s="260">
        <v>40</v>
      </c>
      <c r="BW141" s="260">
        <v>40</v>
      </c>
      <c r="BX141" s="260"/>
      <c r="BY141" s="260"/>
      <c r="BZ141" s="260"/>
      <c r="CA141" s="260"/>
      <c r="CB141" s="260"/>
      <c r="CC141" s="260"/>
      <c r="CD141" s="260">
        <v>80</v>
      </c>
      <c r="CE141" s="260">
        <v>40</v>
      </c>
      <c r="CF141" s="272"/>
      <c r="CG141" s="260"/>
      <c r="CH141" s="260"/>
      <c r="CI141" s="260"/>
      <c r="CJ141" s="260"/>
      <c r="CK141" s="260"/>
      <c r="CL141" s="260"/>
      <c r="CM141" s="260"/>
      <c r="CN141" s="260">
        <v>10</v>
      </c>
      <c r="CO141" s="260">
        <v>20</v>
      </c>
      <c r="CP141" s="260">
        <v>20</v>
      </c>
      <c r="CQ141" s="260">
        <v>40</v>
      </c>
      <c r="CR141" s="260">
        <v>20</v>
      </c>
      <c r="CS141" s="270">
        <v>20</v>
      </c>
      <c r="CT141" s="328">
        <v>298</v>
      </c>
      <c r="CU141" s="249">
        <f>Table2821115[[#This Row],[D28 - BR/18]]/Table2821115[[#This Row],[D0 - BR/18]]</f>
        <v>2</v>
      </c>
      <c r="CV141" s="248">
        <f>Table2821115[[#This Row],[D28 - KS/17]]/Table2821115[[#This Row],[D0 - KS/17]]</f>
        <v>1</v>
      </c>
      <c r="CW141" s="248">
        <f>Table2821115[[#This Row],[D28 - Phu/13]]/Table2821115[[#This Row],[D0 - Phu/13]]</f>
        <v>0.5</v>
      </c>
      <c r="CX141" s="248">
        <f>Table2821115[[#This Row],[D28 - CO/17]]/Table2821115[[#This Row],[D0 - CO/17]]</f>
        <v>2</v>
      </c>
      <c r="CY141" s="248">
        <f>LOG(Table2821115[[#This Row],[BR/18 Fold]],2)</f>
        <v>1</v>
      </c>
      <c r="CZ141" s="248">
        <f>LOG(Table2821115[[#This Row],[KS/17 Fold]],2)</f>
        <v>0</v>
      </c>
      <c r="DA141" s="248">
        <f>LOG(Table2821115[[#This Row],[Phu/13 Fold]],2)</f>
        <v>-1</v>
      </c>
      <c r="DB141" s="248">
        <f>LOG(Table2821115[[#This Row],[CO/17 Fold]],2)</f>
        <v>1</v>
      </c>
      <c r="DC141" s="248">
        <f>SUM(Table2821115[[#This Row],[BR/18 Log2]:[CO/17 Log2]])</f>
        <v>1</v>
      </c>
    </row>
    <row r="142" spans="1:107" ht="24" customHeight="1">
      <c r="A142" s="330">
        <v>299</v>
      </c>
      <c r="B142" s="210">
        <v>19191</v>
      </c>
      <c r="C142" s="210">
        <v>43752</v>
      </c>
      <c r="D142" s="209">
        <v>67</v>
      </c>
      <c r="E142" s="3" t="s">
        <v>61</v>
      </c>
      <c r="F142" s="143" t="s">
        <v>116</v>
      </c>
      <c r="G142" s="142">
        <v>41.763085399449039</v>
      </c>
      <c r="H142" s="5" t="s">
        <v>64</v>
      </c>
      <c r="I142" s="277" t="s">
        <v>60</v>
      </c>
      <c r="J142" s="260">
        <v>5</v>
      </c>
      <c r="K142" s="260">
        <v>5</v>
      </c>
      <c r="L142" s="260"/>
      <c r="M142" s="260"/>
      <c r="N142" s="260"/>
      <c r="O142" s="260"/>
      <c r="P142" s="260"/>
      <c r="Q142" s="260"/>
      <c r="R142" s="260"/>
      <c r="S142" s="260"/>
      <c r="T142" s="260"/>
      <c r="U142" s="260"/>
      <c r="V142" s="260">
        <v>5</v>
      </c>
      <c r="W142" s="260">
        <v>5</v>
      </c>
      <c r="X142" s="260">
        <v>20</v>
      </c>
      <c r="Y142" s="260">
        <v>40</v>
      </c>
      <c r="Z142" s="260">
        <v>40</v>
      </c>
      <c r="AA142" s="260">
        <v>80</v>
      </c>
      <c r="AB142" s="260">
        <v>20</v>
      </c>
      <c r="AC142" s="260">
        <v>40</v>
      </c>
      <c r="AD142" s="260"/>
      <c r="AE142" s="260"/>
      <c r="AF142" s="260"/>
      <c r="AG142" s="260"/>
      <c r="AH142" s="208">
        <v>299</v>
      </c>
      <c r="AI142" s="272">
        <v>5</v>
      </c>
      <c r="AJ142" s="271">
        <v>10</v>
      </c>
      <c r="AK142" s="260"/>
      <c r="AL142" s="260"/>
      <c r="AM142" s="260"/>
      <c r="AN142" s="260"/>
      <c r="AO142" s="260"/>
      <c r="AP142" s="260"/>
      <c r="AQ142" s="260"/>
      <c r="AR142" s="260"/>
      <c r="AS142" s="260"/>
      <c r="AT142" s="260"/>
      <c r="AU142" s="260">
        <v>80</v>
      </c>
      <c r="AV142" s="271">
        <v>320</v>
      </c>
      <c r="AW142" s="260">
        <v>80</v>
      </c>
      <c r="AX142" s="271">
        <v>640</v>
      </c>
      <c r="AY142" s="260">
        <v>10</v>
      </c>
      <c r="AZ142" s="271">
        <v>10</v>
      </c>
      <c r="BA142" s="276">
        <v>20</v>
      </c>
      <c r="BB142" s="276">
        <v>320</v>
      </c>
      <c r="BC142" s="276"/>
      <c r="BD142" s="276"/>
      <c r="BE142" s="276">
        <v>5</v>
      </c>
      <c r="BF142" s="276">
        <v>160</v>
      </c>
      <c r="BG142" s="260">
        <v>40</v>
      </c>
      <c r="BH142" s="271">
        <v>320</v>
      </c>
      <c r="BI142" s="276"/>
      <c r="BJ142" s="276"/>
      <c r="BK142" s="276"/>
      <c r="BL142" s="275"/>
      <c r="BM142" s="329">
        <v>299</v>
      </c>
      <c r="BN142" s="272">
        <v>320</v>
      </c>
      <c r="BO142" s="270">
        <v>640</v>
      </c>
      <c r="BP142" s="272"/>
      <c r="BQ142" s="260"/>
      <c r="BR142" s="260"/>
      <c r="BS142" s="260"/>
      <c r="BT142" s="260"/>
      <c r="BU142" s="260"/>
      <c r="BV142" s="260">
        <v>320</v>
      </c>
      <c r="BW142" s="260">
        <v>640</v>
      </c>
      <c r="BX142" s="260"/>
      <c r="BY142" s="260"/>
      <c r="BZ142" s="260"/>
      <c r="CA142" s="260"/>
      <c r="CB142" s="260"/>
      <c r="CC142" s="260"/>
      <c r="CD142" s="260">
        <v>320</v>
      </c>
      <c r="CE142" s="260">
        <v>640</v>
      </c>
      <c r="CF142" s="272"/>
      <c r="CG142" s="260"/>
      <c r="CH142" s="260"/>
      <c r="CI142" s="260"/>
      <c r="CJ142" s="260"/>
      <c r="CK142" s="260"/>
      <c r="CL142" s="260"/>
      <c r="CM142" s="260"/>
      <c r="CN142" s="260">
        <v>80</v>
      </c>
      <c r="CO142" s="260">
        <v>160</v>
      </c>
      <c r="CP142" s="260">
        <v>80</v>
      </c>
      <c r="CQ142" s="260">
        <v>320</v>
      </c>
      <c r="CR142" s="260">
        <v>80</v>
      </c>
      <c r="CS142" s="270">
        <v>160</v>
      </c>
      <c r="CT142" s="328">
        <v>299</v>
      </c>
      <c r="CU142" s="249">
        <f>Table2821115[[#This Row],[D28 - BR/18]]/Table2821115[[#This Row],[D0 - BR/18]]</f>
        <v>2</v>
      </c>
      <c r="CV142" s="248">
        <f>Table2821115[[#This Row],[D28 - KS/17]]/Table2821115[[#This Row],[D0 - KS/17]]</f>
        <v>32</v>
      </c>
      <c r="CW142" s="248">
        <f>Table2821115[[#This Row],[D28 - Phu/13]]/Table2821115[[#This Row],[D0 - Phu/13]]</f>
        <v>2</v>
      </c>
      <c r="CX142" s="248">
        <f>Table2821115[[#This Row],[D28 - CO/17]]/Table2821115[[#This Row],[D0 - CO/17]]</f>
        <v>4</v>
      </c>
      <c r="CY142" s="248">
        <f>LOG(Table2821115[[#This Row],[BR/18 Fold]],2)</f>
        <v>1</v>
      </c>
      <c r="CZ142" s="248">
        <f>LOG(Table2821115[[#This Row],[KS/17 Fold]],2)</f>
        <v>5</v>
      </c>
      <c r="DA142" s="248">
        <f>LOG(Table2821115[[#This Row],[Phu/13 Fold]],2)</f>
        <v>1</v>
      </c>
      <c r="DB142" s="248">
        <f>LOG(Table2821115[[#This Row],[CO/17 Fold]],2)</f>
        <v>2</v>
      </c>
      <c r="DC142" s="248">
        <f>SUM(Table2821115[[#This Row],[BR/18 Log2]:[CO/17 Log2]])</f>
        <v>9</v>
      </c>
    </row>
    <row r="143" spans="1:107" ht="24" customHeight="1">
      <c r="A143" s="324">
        <v>300</v>
      </c>
      <c r="B143" s="190">
        <v>29211</v>
      </c>
      <c r="C143" s="190">
        <v>43753</v>
      </c>
      <c r="D143" s="189">
        <v>39</v>
      </c>
      <c r="E143" s="3" t="s">
        <v>61</v>
      </c>
      <c r="F143" s="143" t="s">
        <v>116</v>
      </c>
      <c r="G143" s="142">
        <v>27.642021045629658</v>
      </c>
      <c r="H143" s="11" t="s">
        <v>59</v>
      </c>
      <c r="I143" s="277" t="s">
        <v>60</v>
      </c>
      <c r="J143" s="260">
        <v>5</v>
      </c>
      <c r="K143" s="260">
        <v>5</v>
      </c>
      <c r="L143" s="260"/>
      <c r="M143" s="260"/>
      <c r="N143" s="260"/>
      <c r="O143" s="260"/>
      <c r="P143" s="260"/>
      <c r="Q143" s="260"/>
      <c r="R143" s="260"/>
      <c r="S143" s="260"/>
      <c r="T143" s="260"/>
      <c r="U143" s="260"/>
      <c r="V143" s="260">
        <v>5</v>
      </c>
      <c r="W143" s="260">
        <v>5</v>
      </c>
      <c r="X143" s="260">
        <v>80</v>
      </c>
      <c r="Y143" s="260">
        <v>80</v>
      </c>
      <c r="Z143" s="260">
        <v>160</v>
      </c>
      <c r="AA143" s="260">
        <v>160</v>
      </c>
      <c r="AB143" s="260">
        <v>160</v>
      </c>
      <c r="AC143" s="260">
        <v>80</v>
      </c>
      <c r="AD143" s="260"/>
      <c r="AE143" s="260"/>
      <c r="AF143" s="260"/>
      <c r="AG143" s="260"/>
      <c r="AH143" s="198">
        <v>300</v>
      </c>
      <c r="AI143" s="272">
        <v>5</v>
      </c>
      <c r="AJ143" s="271">
        <v>5</v>
      </c>
      <c r="AK143" s="260"/>
      <c r="AL143" s="260"/>
      <c r="AM143" s="260"/>
      <c r="AN143" s="260"/>
      <c r="AO143" s="260"/>
      <c r="AP143" s="260"/>
      <c r="AQ143" s="260"/>
      <c r="AR143" s="260"/>
      <c r="AS143" s="260"/>
      <c r="AT143" s="260"/>
      <c r="AU143" s="260">
        <v>20</v>
      </c>
      <c r="AV143" s="271">
        <v>20</v>
      </c>
      <c r="AW143" s="260">
        <v>20</v>
      </c>
      <c r="AX143" s="271">
        <v>20</v>
      </c>
      <c r="AY143" s="260">
        <v>5</v>
      </c>
      <c r="AZ143" s="271">
        <v>20</v>
      </c>
      <c r="BA143" s="276">
        <v>5</v>
      </c>
      <c r="BB143" s="276">
        <v>5</v>
      </c>
      <c r="BC143" s="276"/>
      <c r="BD143" s="276"/>
      <c r="BE143" s="276">
        <v>5</v>
      </c>
      <c r="BF143" s="276">
        <v>20</v>
      </c>
      <c r="BG143" s="260">
        <v>20</v>
      </c>
      <c r="BH143" s="271">
        <v>20</v>
      </c>
      <c r="BI143" s="276"/>
      <c r="BJ143" s="276"/>
      <c r="BK143" s="276"/>
      <c r="BL143" s="275"/>
      <c r="BM143" s="323">
        <v>300</v>
      </c>
      <c r="BN143" s="272">
        <v>40</v>
      </c>
      <c r="BO143" s="270">
        <v>40</v>
      </c>
      <c r="BP143" s="272"/>
      <c r="BQ143" s="260"/>
      <c r="BR143" s="260"/>
      <c r="BS143" s="260"/>
      <c r="BT143" s="260"/>
      <c r="BU143" s="260"/>
      <c r="BV143" s="260">
        <v>20</v>
      </c>
      <c r="BW143" s="260">
        <v>10</v>
      </c>
      <c r="BX143" s="260"/>
      <c r="BY143" s="260"/>
      <c r="BZ143" s="260"/>
      <c r="CA143" s="260"/>
      <c r="CB143" s="260"/>
      <c r="CC143" s="260"/>
      <c r="CD143" s="260">
        <v>40</v>
      </c>
      <c r="CE143" s="260">
        <v>40</v>
      </c>
      <c r="CF143" s="272"/>
      <c r="CG143" s="260"/>
      <c r="CH143" s="260"/>
      <c r="CI143" s="260"/>
      <c r="CJ143" s="260"/>
      <c r="CK143" s="260"/>
      <c r="CL143" s="260"/>
      <c r="CM143" s="260"/>
      <c r="CN143" s="260">
        <v>80</v>
      </c>
      <c r="CO143" s="260">
        <v>80</v>
      </c>
      <c r="CP143" s="260">
        <v>160</v>
      </c>
      <c r="CQ143" s="260">
        <v>160</v>
      </c>
      <c r="CR143" s="260">
        <v>80</v>
      </c>
      <c r="CS143" s="270">
        <v>80</v>
      </c>
      <c r="CT143" s="322">
        <v>300</v>
      </c>
      <c r="CU143" s="249">
        <f>Table2821115[[#This Row],[D28 - BR/18]]/Table2821115[[#This Row],[D0 - BR/18]]</f>
        <v>0.5</v>
      </c>
      <c r="CV143" s="248">
        <f>Table2821115[[#This Row],[D28 - KS/17]]/Table2821115[[#This Row],[D0 - KS/17]]</f>
        <v>4</v>
      </c>
      <c r="CW143" s="248">
        <f>Table2821115[[#This Row],[D28 - Phu/13]]/Table2821115[[#This Row],[D0 - Phu/13]]</f>
        <v>1</v>
      </c>
      <c r="CX143" s="248">
        <f>Table2821115[[#This Row],[D28 - CO/17]]/Table2821115[[#This Row],[D0 - CO/17]]</f>
        <v>1</v>
      </c>
      <c r="CY143" s="248">
        <f>LOG(Table2821115[[#This Row],[BR/18 Fold]],2)</f>
        <v>-1</v>
      </c>
      <c r="CZ143" s="248">
        <f>LOG(Table2821115[[#This Row],[KS/17 Fold]],2)</f>
        <v>2</v>
      </c>
      <c r="DA143" s="248">
        <f>LOG(Table2821115[[#This Row],[Phu/13 Fold]],2)</f>
        <v>0</v>
      </c>
      <c r="DB143" s="248">
        <f>LOG(Table2821115[[#This Row],[CO/17 Fold]],2)</f>
        <v>0</v>
      </c>
      <c r="DC143" s="248">
        <f>SUM(Table2821115[[#This Row],[BR/18 Log2]:[CO/17 Log2]])</f>
        <v>1</v>
      </c>
    </row>
    <row r="144" spans="1:107" ht="24" customHeight="1">
      <c r="A144" s="330">
        <v>302</v>
      </c>
      <c r="B144" s="210">
        <v>17311</v>
      </c>
      <c r="C144" s="210">
        <v>43741</v>
      </c>
      <c r="D144" s="209">
        <v>72</v>
      </c>
      <c r="E144" s="4" t="s">
        <v>58</v>
      </c>
      <c r="F144" s="143" t="s">
        <v>116</v>
      </c>
      <c r="G144" s="142">
        <v>19.082142660985962</v>
      </c>
      <c r="H144" s="5" t="s">
        <v>64</v>
      </c>
      <c r="I144" s="277" t="s">
        <v>60</v>
      </c>
      <c r="J144" s="260">
        <v>5</v>
      </c>
      <c r="K144" s="260">
        <v>5</v>
      </c>
      <c r="L144" s="260"/>
      <c r="M144" s="260"/>
      <c r="N144" s="260"/>
      <c r="O144" s="260"/>
      <c r="P144" s="260"/>
      <c r="Q144" s="260"/>
      <c r="R144" s="260"/>
      <c r="S144" s="260"/>
      <c r="T144" s="260"/>
      <c r="U144" s="260"/>
      <c r="V144" s="260">
        <v>5</v>
      </c>
      <c r="W144" s="260">
        <v>5</v>
      </c>
      <c r="X144" s="260">
        <v>80</v>
      </c>
      <c r="Y144" s="260">
        <v>40</v>
      </c>
      <c r="Z144" s="260">
        <v>40</v>
      </c>
      <c r="AA144" s="260">
        <v>40</v>
      </c>
      <c r="AB144" s="260">
        <v>20</v>
      </c>
      <c r="AC144" s="260">
        <v>20</v>
      </c>
      <c r="AD144" s="260"/>
      <c r="AE144" s="260"/>
      <c r="AF144" s="260"/>
      <c r="AG144" s="260"/>
      <c r="AH144" s="208">
        <v>302</v>
      </c>
      <c r="AI144" s="272">
        <v>40</v>
      </c>
      <c r="AJ144" s="271">
        <v>40</v>
      </c>
      <c r="AK144" s="260"/>
      <c r="AL144" s="260"/>
      <c r="AM144" s="260"/>
      <c r="AN144" s="260"/>
      <c r="AO144" s="260"/>
      <c r="AP144" s="260"/>
      <c r="AQ144" s="260"/>
      <c r="AR144" s="260"/>
      <c r="AS144" s="260"/>
      <c r="AT144" s="260"/>
      <c r="AU144" s="260">
        <v>160</v>
      </c>
      <c r="AV144" s="271">
        <v>160</v>
      </c>
      <c r="AW144" s="260">
        <v>80</v>
      </c>
      <c r="AX144" s="271">
        <v>80</v>
      </c>
      <c r="AY144" s="260">
        <v>40</v>
      </c>
      <c r="AZ144" s="271">
        <v>5</v>
      </c>
      <c r="BA144" s="276">
        <v>40</v>
      </c>
      <c r="BB144" s="276">
        <v>40</v>
      </c>
      <c r="BC144" s="276"/>
      <c r="BD144" s="276"/>
      <c r="BE144" s="276">
        <v>40</v>
      </c>
      <c r="BF144" s="276">
        <v>40</v>
      </c>
      <c r="BG144" s="260">
        <v>40</v>
      </c>
      <c r="BH144" s="271">
        <v>40</v>
      </c>
      <c r="BI144" s="276"/>
      <c r="BJ144" s="276"/>
      <c r="BK144" s="276"/>
      <c r="BL144" s="275"/>
      <c r="BM144" s="329">
        <v>302</v>
      </c>
      <c r="BN144" s="272">
        <v>80</v>
      </c>
      <c r="BO144" s="270">
        <v>80</v>
      </c>
      <c r="BP144" s="272"/>
      <c r="BQ144" s="260"/>
      <c r="BR144" s="260"/>
      <c r="BS144" s="260"/>
      <c r="BT144" s="260"/>
      <c r="BU144" s="260"/>
      <c r="BV144" s="260">
        <v>5</v>
      </c>
      <c r="BW144" s="260">
        <v>5</v>
      </c>
      <c r="BX144" s="260"/>
      <c r="BY144" s="260"/>
      <c r="BZ144" s="260"/>
      <c r="CA144" s="260"/>
      <c r="CB144" s="260"/>
      <c r="CC144" s="260"/>
      <c r="CD144" s="260">
        <v>20</v>
      </c>
      <c r="CE144" s="260">
        <v>20</v>
      </c>
      <c r="CF144" s="272"/>
      <c r="CG144" s="260"/>
      <c r="CH144" s="260"/>
      <c r="CI144" s="260"/>
      <c r="CJ144" s="260"/>
      <c r="CK144" s="260"/>
      <c r="CL144" s="260"/>
      <c r="CM144" s="260"/>
      <c r="CN144" s="260">
        <v>80</v>
      </c>
      <c r="CO144" s="260">
        <v>80</v>
      </c>
      <c r="CP144" s="260">
        <v>40</v>
      </c>
      <c r="CQ144" s="260">
        <v>40</v>
      </c>
      <c r="CR144" s="260">
        <v>20</v>
      </c>
      <c r="CS144" s="270">
        <v>20</v>
      </c>
      <c r="CT144" s="328">
        <v>302</v>
      </c>
      <c r="CU144" s="249">
        <f>Table2821115[[#This Row],[D28 - BR/18]]/Table2821115[[#This Row],[D0 - BR/18]]</f>
        <v>1</v>
      </c>
      <c r="CV144" s="248">
        <f>Table2821115[[#This Row],[D28 - KS/17]]/Table2821115[[#This Row],[D0 - KS/17]]</f>
        <v>1</v>
      </c>
      <c r="CW144" s="248">
        <f>Table2821115[[#This Row],[D28 - Phu/13]]/Table2821115[[#This Row],[D0 - Phu/13]]</f>
        <v>1</v>
      </c>
      <c r="CX144" s="248">
        <f>Table2821115[[#This Row],[D28 - CO/17]]/Table2821115[[#This Row],[D0 - CO/17]]</f>
        <v>1</v>
      </c>
      <c r="CY144" s="248">
        <f>LOG(Table2821115[[#This Row],[BR/18 Fold]],2)</f>
        <v>0</v>
      </c>
      <c r="CZ144" s="248">
        <f>LOG(Table2821115[[#This Row],[KS/17 Fold]],2)</f>
        <v>0</v>
      </c>
      <c r="DA144" s="248">
        <f>LOG(Table2821115[[#This Row],[Phu/13 Fold]],2)</f>
        <v>0</v>
      </c>
      <c r="DB144" s="248">
        <f>LOG(Table2821115[[#This Row],[CO/17 Fold]],2)</f>
        <v>0</v>
      </c>
      <c r="DC144" s="248">
        <f>SUM(Table2821115[[#This Row],[BR/18 Log2]:[CO/17 Log2]])</f>
        <v>0</v>
      </c>
    </row>
    <row r="145" spans="1:107" ht="24" customHeight="1">
      <c r="A145" s="324">
        <v>303</v>
      </c>
      <c r="B145" s="190">
        <v>26290</v>
      </c>
      <c r="C145" s="190">
        <v>43746</v>
      </c>
      <c r="D145" s="189">
        <v>47</v>
      </c>
      <c r="E145" s="3" t="s">
        <v>61</v>
      </c>
      <c r="F145" s="143" t="s">
        <v>116</v>
      </c>
      <c r="G145" s="142">
        <v>22.595640908398103</v>
      </c>
      <c r="H145" s="11" t="s">
        <v>59</v>
      </c>
      <c r="I145" s="277" t="s">
        <v>60</v>
      </c>
      <c r="J145" s="260">
        <v>5</v>
      </c>
      <c r="K145" s="260">
        <v>20</v>
      </c>
      <c r="L145" s="260"/>
      <c r="M145" s="260"/>
      <c r="N145" s="260"/>
      <c r="O145" s="260"/>
      <c r="P145" s="260"/>
      <c r="Q145" s="260"/>
      <c r="R145" s="260"/>
      <c r="S145" s="260"/>
      <c r="T145" s="260"/>
      <c r="U145" s="260"/>
      <c r="V145" s="260">
        <v>5</v>
      </c>
      <c r="W145" s="260">
        <v>5</v>
      </c>
      <c r="X145" s="260">
        <v>20</v>
      </c>
      <c r="Y145" s="260">
        <v>20</v>
      </c>
      <c r="Z145" s="260">
        <v>5</v>
      </c>
      <c r="AA145" s="260">
        <v>5</v>
      </c>
      <c r="AB145" s="260">
        <v>5</v>
      </c>
      <c r="AC145" s="260">
        <v>5</v>
      </c>
      <c r="AD145" s="260"/>
      <c r="AE145" s="260"/>
      <c r="AF145" s="260"/>
      <c r="AG145" s="260"/>
      <c r="AH145" s="198">
        <v>303</v>
      </c>
      <c r="AI145" s="272">
        <v>40</v>
      </c>
      <c r="AJ145" s="271">
        <v>40</v>
      </c>
      <c r="AK145" s="260"/>
      <c r="AL145" s="260"/>
      <c r="AM145" s="260"/>
      <c r="AN145" s="260"/>
      <c r="AO145" s="260"/>
      <c r="AP145" s="260"/>
      <c r="AQ145" s="260"/>
      <c r="AR145" s="260"/>
      <c r="AS145" s="260"/>
      <c r="AT145" s="260"/>
      <c r="AU145" s="260">
        <v>40</v>
      </c>
      <c r="AV145" s="271">
        <v>80</v>
      </c>
      <c r="AW145" s="260">
        <v>40</v>
      </c>
      <c r="AX145" s="271">
        <v>40</v>
      </c>
      <c r="AY145" s="260">
        <v>10</v>
      </c>
      <c r="AZ145" s="271">
        <v>160</v>
      </c>
      <c r="BA145" s="276">
        <v>20</v>
      </c>
      <c r="BB145" s="276">
        <v>20</v>
      </c>
      <c r="BC145" s="276"/>
      <c r="BD145" s="276"/>
      <c r="BE145" s="276">
        <v>20</v>
      </c>
      <c r="BF145" s="276">
        <v>20</v>
      </c>
      <c r="BG145" s="260">
        <v>40</v>
      </c>
      <c r="BH145" s="271">
        <v>40</v>
      </c>
      <c r="BI145" s="276"/>
      <c r="BJ145" s="276"/>
      <c r="BK145" s="276"/>
      <c r="BL145" s="275"/>
      <c r="BM145" s="323">
        <v>303</v>
      </c>
      <c r="BN145" s="272">
        <v>40</v>
      </c>
      <c r="BO145" s="270">
        <v>40</v>
      </c>
      <c r="BP145" s="272"/>
      <c r="BQ145" s="260"/>
      <c r="BR145" s="260"/>
      <c r="BS145" s="260"/>
      <c r="BT145" s="260"/>
      <c r="BU145" s="260"/>
      <c r="BV145" s="260">
        <v>5</v>
      </c>
      <c r="BW145" s="260">
        <v>10</v>
      </c>
      <c r="BX145" s="260"/>
      <c r="BY145" s="260"/>
      <c r="BZ145" s="260"/>
      <c r="CA145" s="260"/>
      <c r="CB145" s="260"/>
      <c r="CC145" s="260"/>
      <c r="CD145" s="260">
        <v>40</v>
      </c>
      <c r="CE145" s="260">
        <v>20</v>
      </c>
      <c r="CF145" s="272"/>
      <c r="CG145" s="260"/>
      <c r="CH145" s="260"/>
      <c r="CI145" s="260"/>
      <c r="CJ145" s="260"/>
      <c r="CK145" s="260"/>
      <c r="CL145" s="260"/>
      <c r="CM145" s="260"/>
      <c r="CN145" s="260">
        <v>40</v>
      </c>
      <c r="CO145" s="260">
        <v>20</v>
      </c>
      <c r="CP145" s="260">
        <v>40</v>
      </c>
      <c r="CQ145" s="260">
        <v>40</v>
      </c>
      <c r="CR145" s="260">
        <v>40</v>
      </c>
      <c r="CS145" s="270">
        <v>40</v>
      </c>
      <c r="CT145" s="322">
        <v>303</v>
      </c>
      <c r="CU145" s="249">
        <f>Table2821115[[#This Row],[D28 - BR/18]]/Table2821115[[#This Row],[D0 - BR/18]]</f>
        <v>1</v>
      </c>
      <c r="CV145" s="248">
        <f>Table2821115[[#This Row],[D28 - KS/17]]/Table2821115[[#This Row],[D0 - KS/17]]</f>
        <v>1</v>
      </c>
      <c r="CW145" s="248">
        <f>Table2821115[[#This Row],[D28 - Phu/13]]/Table2821115[[#This Row],[D0 - Phu/13]]</f>
        <v>0.5</v>
      </c>
      <c r="CX145" s="248">
        <f>Table2821115[[#This Row],[D28 - CO/17]]/Table2821115[[#This Row],[D0 - CO/17]]</f>
        <v>1</v>
      </c>
      <c r="CY145" s="248">
        <f>LOG(Table2821115[[#This Row],[BR/18 Fold]],2)</f>
        <v>0</v>
      </c>
      <c r="CZ145" s="248">
        <f>LOG(Table2821115[[#This Row],[KS/17 Fold]],2)</f>
        <v>0</v>
      </c>
      <c r="DA145" s="248">
        <f>LOG(Table2821115[[#This Row],[Phu/13 Fold]],2)</f>
        <v>-1</v>
      </c>
      <c r="DB145" s="248">
        <f>LOG(Table2821115[[#This Row],[CO/17 Fold]],2)</f>
        <v>0</v>
      </c>
      <c r="DC145" s="248">
        <f>SUM(Table2821115[[#This Row],[BR/18 Log2]:[CO/17 Log2]])</f>
        <v>-1</v>
      </c>
    </row>
    <row r="146" spans="1:107" ht="24" customHeight="1">
      <c r="A146" s="330">
        <v>304</v>
      </c>
      <c r="B146" s="210">
        <v>19644</v>
      </c>
      <c r="C146" s="210">
        <v>43748</v>
      </c>
      <c r="D146" s="209">
        <v>65</v>
      </c>
      <c r="E146" s="3" t="s">
        <v>61</v>
      </c>
      <c r="F146" s="143" t="s">
        <v>124</v>
      </c>
      <c r="G146" s="142">
        <v>36.660832421310793</v>
      </c>
      <c r="H146" s="5" t="s">
        <v>64</v>
      </c>
      <c r="I146" s="277" t="s">
        <v>60</v>
      </c>
      <c r="J146" s="260">
        <v>5</v>
      </c>
      <c r="K146" s="260">
        <v>5</v>
      </c>
      <c r="L146" s="260"/>
      <c r="M146" s="260"/>
      <c r="N146" s="260"/>
      <c r="O146" s="260"/>
      <c r="P146" s="260"/>
      <c r="Q146" s="260"/>
      <c r="R146" s="260"/>
      <c r="S146" s="260"/>
      <c r="T146" s="260"/>
      <c r="U146" s="260"/>
      <c r="V146" s="260">
        <v>5</v>
      </c>
      <c r="W146" s="260">
        <v>10</v>
      </c>
      <c r="X146" s="260">
        <v>10</v>
      </c>
      <c r="Y146" s="260">
        <v>80</v>
      </c>
      <c r="Z146" s="260">
        <v>20</v>
      </c>
      <c r="AA146" s="260">
        <v>80</v>
      </c>
      <c r="AB146" s="260">
        <v>20</v>
      </c>
      <c r="AC146" s="260">
        <v>40</v>
      </c>
      <c r="AD146" s="260"/>
      <c r="AE146" s="260"/>
      <c r="AF146" s="260"/>
      <c r="AG146" s="260"/>
      <c r="AH146" s="208">
        <v>304</v>
      </c>
      <c r="AI146" s="272">
        <v>10</v>
      </c>
      <c r="AJ146" s="271">
        <v>160</v>
      </c>
      <c r="AK146" s="260"/>
      <c r="AL146" s="260"/>
      <c r="AM146" s="260"/>
      <c r="AN146" s="260"/>
      <c r="AO146" s="260"/>
      <c r="AP146" s="260"/>
      <c r="AQ146" s="260"/>
      <c r="AR146" s="260"/>
      <c r="AS146" s="260"/>
      <c r="AT146" s="260"/>
      <c r="AU146" s="260">
        <v>160</v>
      </c>
      <c r="AV146" s="271">
        <v>1280</v>
      </c>
      <c r="AW146" s="260">
        <v>160</v>
      </c>
      <c r="AX146" s="271">
        <v>1280</v>
      </c>
      <c r="AY146" s="260">
        <v>5</v>
      </c>
      <c r="AZ146" s="271">
        <v>20</v>
      </c>
      <c r="BA146" s="276">
        <v>80</v>
      </c>
      <c r="BB146" s="276">
        <v>640</v>
      </c>
      <c r="BC146" s="276"/>
      <c r="BD146" s="276"/>
      <c r="BE146" s="276">
        <v>10</v>
      </c>
      <c r="BF146" s="276">
        <v>320</v>
      </c>
      <c r="BG146" s="260">
        <v>160</v>
      </c>
      <c r="BH146" s="271">
        <v>1280</v>
      </c>
      <c r="BI146" s="276"/>
      <c r="BJ146" s="276"/>
      <c r="BK146" s="276"/>
      <c r="BL146" s="275"/>
      <c r="BM146" s="329">
        <v>304</v>
      </c>
      <c r="BN146" s="272">
        <v>20</v>
      </c>
      <c r="BO146" s="270">
        <v>80</v>
      </c>
      <c r="BP146" s="272"/>
      <c r="BQ146" s="260"/>
      <c r="BR146" s="260"/>
      <c r="BS146" s="260"/>
      <c r="BT146" s="260"/>
      <c r="BU146" s="260"/>
      <c r="BV146" s="260">
        <v>10</v>
      </c>
      <c r="BW146" s="260">
        <v>160</v>
      </c>
      <c r="BX146" s="260"/>
      <c r="BY146" s="260"/>
      <c r="BZ146" s="260"/>
      <c r="CA146" s="260"/>
      <c r="CB146" s="260"/>
      <c r="CC146" s="260"/>
      <c r="CD146" s="260">
        <v>80</v>
      </c>
      <c r="CE146" s="260">
        <v>160</v>
      </c>
      <c r="CF146" s="272"/>
      <c r="CG146" s="260"/>
      <c r="CH146" s="260"/>
      <c r="CI146" s="260"/>
      <c r="CJ146" s="260"/>
      <c r="CK146" s="260"/>
      <c r="CL146" s="260"/>
      <c r="CM146" s="260"/>
      <c r="CN146" s="260">
        <v>20</v>
      </c>
      <c r="CO146" s="260">
        <v>160</v>
      </c>
      <c r="CP146" s="260">
        <v>20</v>
      </c>
      <c r="CQ146" s="260">
        <v>160</v>
      </c>
      <c r="CR146" s="260">
        <v>20</v>
      </c>
      <c r="CS146" s="270">
        <v>80</v>
      </c>
      <c r="CT146" s="328">
        <v>304</v>
      </c>
      <c r="CU146" s="249">
        <f>Table2821115[[#This Row],[D28 - BR/18]]/Table2821115[[#This Row],[D0 - BR/18]]</f>
        <v>2</v>
      </c>
      <c r="CV146" s="248">
        <f>Table2821115[[#This Row],[D28 - KS/17]]/Table2821115[[#This Row],[D0 - KS/17]]</f>
        <v>32</v>
      </c>
      <c r="CW146" s="248">
        <f>Table2821115[[#This Row],[D28 - Phu/13]]/Table2821115[[#This Row],[D0 - Phu/13]]</f>
        <v>2</v>
      </c>
      <c r="CX146" s="248">
        <f>Table2821115[[#This Row],[D28 - CO/17]]/Table2821115[[#This Row],[D0 - CO/17]]</f>
        <v>8</v>
      </c>
      <c r="CY146" s="248">
        <f>LOG(Table2821115[[#This Row],[BR/18 Fold]],2)</f>
        <v>1</v>
      </c>
      <c r="CZ146" s="248">
        <f>LOG(Table2821115[[#This Row],[KS/17 Fold]],2)</f>
        <v>5</v>
      </c>
      <c r="DA146" s="248">
        <f>LOG(Table2821115[[#This Row],[Phu/13 Fold]],2)</f>
        <v>1</v>
      </c>
      <c r="DB146" s="248">
        <f>LOG(Table2821115[[#This Row],[CO/17 Fold]],2)</f>
        <v>3</v>
      </c>
      <c r="DC146" s="248">
        <f>SUM(Table2821115[[#This Row],[BR/18 Log2]:[CO/17 Log2]])</f>
        <v>10</v>
      </c>
    </row>
    <row r="147" spans="1:107" ht="24" customHeight="1">
      <c r="A147" s="318">
        <v>305</v>
      </c>
      <c r="B147" s="180">
        <v>23226</v>
      </c>
      <c r="C147" s="180">
        <v>43752</v>
      </c>
      <c r="D147" s="179">
        <v>56</v>
      </c>
      <c r="E147" s="4" t="s">
        <v>58</v>
      </c>
      <c r="F147" s="143" t="s">
        <v>116</v>
      </c>
      <c r="G147" s="142">
        <v>31.767712034131108</v>
      </c>
      <c r="H147" s="11" t="s">
        <v>59</v>
      </c>
      <c r="I147" s="277" t="s">
        <v>60</v>
      </c>
      <c r="J147" s="260">
        <v>5</v>
      </c>
      <c r="K147" s="260">
        <v>5</v>
      </c>
      <c r="L147" s="260"/>
      <c r="M147" s="260"/>
      <c r="N147" s="260"/>
      <c r="O147" s="260"/>
      <c r="P147" s="260"/>
      <c r="Q147" s="260"/>
      <c r="R147" s="260"/>
      <c r="S147" s="260"/>
      <c r="T147" s="260"/>
      <c r="U147" s="260"/>
      <c r="V147" s="260">
        <v>5</v>
      </c>
      <c r="W147" s="260">
        <v>5</v>
      </c>
      <c r="X147" s="260">
        <v>5</v>
      </c>
      <c r="Y147" s="260">
        <v>80</v>
      </c>
      <c r="Z147" s="260">
        <v>80</v>
      </c>
      <c r="AA147" s="260">
        <v>80</v>
      </c>
      <c r="AB147" s="260">
        <v>40</v>
      </c>
      <c r="AC147" s="260">
        <v>40</v>
      </c>
      <c r="AD147" s="260"/>
      <c r="AE147" s="260"/>
      <c r="AF147" s="260"/>
      <c r="AG147" s="260"/>
      <c r="AH147" s="195">
        <v>305</v>
      </c>
      <c r="AI147" s="272">
        <v>5</v>
      </c>
      <c r="AJ147" s="271">
        <v>5</v>
      </c>
      <c r="AK147" s="260"/>
      <c r="AL147" s="260"/>
      <c r="AM147" s="260"/>
      <c r="AN147" s="260"/>
      <c r="AO147" s="260"/>
      <c r="AP147" s="260"/>
      <c r="AQ147" s="260"/>
      <c r="AR147" s="260"/>
      <c r="AS147" s="260"/>
      <c r="AT147" s="260"/>
      <c r="AU147" s="260">
        <v>40</v>
      </c>
      <c r="AV147" s="271">
        <v>160</v>
      </c>
      <c r="AW147" s="260">
        <v>40</v>
      </c>
      <c r="AX147" s="271">
        <v>160</v>
      </c>
      <c r="AY147" s="260">
        <v>5</v>
      </c>
      <c r="AZ147" s="271">
        <v>20</v>
      </c>
      <c r="BA147" s="276">
        <v>20</v>
      </c>
      <c r="BB147" s="276">
        <v>80</v>
      </c>
      <c r="BC147" s="276"/>
      <c r="BD147" s="276"/>
      <c r="BE147" s="276">
        <v>5</v>
      </c>
      <c r="BF147" s="276">
        <v>80</v>
      </c>
      <c r="BG147" s="260">
        <v>80</v>
      </c>
      <c r="BH147" s="271">
        <v>160</v>
      </c>
      <c r="BI147" s="276"/>
      <c r="BJ147" s="276"/>
      <c r="BK147" s="276"/>
      <c r="BL147" s="275"/>
      <c r="BM147" s="316">
        <v>305</v>
      </c>
      <c r="BN147" s="272">
        <v>10</v>
      </c>
      <c r="BO147" s="270">
        <v>20</v>
      </c>
      <c r="BP147" s="272"/>
      <c r="BQ147" s="260"/>
      <c r="BR147" s="260"/>
      <c r="BS147" s="260"/>
      <c r="BT147" s="260"/>
      <c r="BU147" s="260"/>
      <c r="BV147" s="260">
        <v>5</v>
      </c>
      <c r="BW147" s="260">
        <v>5</v>
      </c>
      <c r="BX147" s="260"/>
      <c r="BY147" s="260"/>
      <c r="BZ147" s="260"/>
      <c r="CA147" s="260"/>
      <c r="CB147" s="260"/>
      <c r="CC147" s="260"/>
      <c r="CD147" s="260">
        <v>80</v>
      </c>
      <c r="CE147" s="260">
        <v>160</v>
      </c>
      <c r="CF147" s="272"/>
      <c r="CG147" s="260"/>
      <c r="CH147" s="260"/>
      <c r="CI147" s="260"/>
      <c r="CJ147" s="260"/>
      <c r="CK147" s="260"/>
      <c r="CL147" s="260"/>
      <c r="CM147" s="260"/>
      <c r="CN147" s="260">
        <v>5</v>
      </c>
      <c r="CO147" s="260">
        <v>20</v>
      </c>
      <c r="CP147" s="260">
        <v>20</v>
      </c>
      <c r="CQ147" s="260">
        <v>40</v>
      </c>
      <c r="CR147" s="260">
        <v>10</v>
      </c>
      <c r="CS147" s="270">
        <v>20</v>
      </c>
      <c r="CT147" s="315">
        <v>305</v>
      </c>
      <c r="CU147" s="249">
        <f>Table2821115[[#This Row],[D28 - BR/18]]/Table2821115[[#This Row],[D0 - BR/18]]</f>
        <v>1</v>
      </c>
      <c r="CV147" s="248">
        <f>Table2821115[[#This Row],[D28 - KS/17]]/Table2821115[[#This Row],[D0 - KS/17]]</f>
        <v>16</v>
      </c>
      <c r="CW147" s="248">
        <f>Table2821115[[#This Row],[D28 - Phu/13]]/Table2821115[[#This Row],[D0 - Phu/13]]</f>
        <v>2</v>
      </c>
      <c r="CX147" s="248">
        <f>Table2821115[[#This Row],[D28 - CO/17]]/Table2821115[[#This Row],[D0 - CO/17]]</f>
        <v>2</v>
      </c>
      <c r="CY147" s="248">
        <f>LOG(Table2821115[[#This Row],[BR/18 Fold]],2)</f>
        <v>0</v>
      </c>
      <c r="CZ147" s="248">
        <f>LOG(Table2821115[[#This Row],[KS/17 Fold]],2)</f>
        <v>4</v>
      </c>
      <c r="DA147" s="248">
        <f>LOG(Table2821115[[#This Row],[Phu/13 Fold]],2)</f>
        <v>1</v>
      </c>
      <c r="DB147" s="248">
        <f>LOG(Table2821115[[#This Row],[CO/17 Fold]],2)</f>
        <v>1</v>
      </c>
      <c r="DC147" s="248">
        <f>SUM(Table2821115[[#This Row],[BR/18 Log2]:[CO/17 Log2]])</f>
        <v>6</v>
      </c>
    </row>
    <row r="148" spans="1:107" ht="24" customHeight="1">
      <c r="A148" s="318">
        <v>306</v>
      </c>
      <c r="B148" s="180">
        <v>21153</v>
      </c>
      <c r="C148" s="180">
        <v>43752</v>
      </c>
      <c r="D148" s="179">
        <v>61</v>
      </c>
      <c r="E148" s="3" t="s">
        <v>61</v>
      </c>
      <c r="F148" s="143" t="s">
        <v>116</v>
      </c>
      <c r="G148" s="142">
        <v>28.061725684171591</v>
      </c>
      <c r="H148" s="11" t="s">
        <v>59</v>
      </c>
      <c r="I148" s="277" t="s">
        <v>60</v>
      </c>
      <c r="J148" s="260">
        <v>5</v>
      </c>
      <c r="K148" s="260">
        <v>5</v>
      </c>
      <c r="L148" s="260"/>
      <c r="M148" s="260"/>
      <c r="N148" s="260"/>
      <c r="O148" s="260"/>
      <c r="P148" s="260"/>
      <c r="Q148" s="260"/>
      <c r="R148" s="260"/>
      <c r="S148" s="260"/>
      <c r="T148" s="260"/>
      <c r="U148" s="260"/>
      <c r="V148" s="260">
        <v>5</v>
      </c>
      <c r="W148" s="260">
        <v>5</v>
      </c>
      <c r="X148" s="260">
        <v>5</v>
      </c>
      <c r="Y148" s="260">
        <v>5</v>
      </c>
      <c r="Z148" s="260">
        <v>5</v>
      </c>
      <c r="AA148" s="260">
        <v>5</v>
      </c>
      <c r="AB148" s="260">
        <v>5</v>
      </c>
      <c r="AC148" s="260">
        <v>5</v>
      </c>
      <c r="AD148" s="260"/>
      <c r="AE148" s="260"/>
      <c r="AF148" s="260"/>
      <c r="AG148" s="260"/>
      <c r="AH148" s="195">
        <v>306</v>
      </c>
      <c r="AI148" s="272">
        <v>5</v>
      </c>
      <c r="AJ148" s="271">
        <v>5</v>
      </c>
      <c r="AK148" s="260"/>
      <c r="AL148" s="260"/>
      <c r="AM148" s="260"/>
      <c r="AN148" s="260"/>
      <c r="AO148" s="260"/>
      <c r="AP148" s="260"/>
      <c r="AQ148" s="260"/>
      <c r="AR148" s="260"/>
      <c r="AS148" s="260"/>
      <c r="AT148" s="260"/>
      <c r="AU148" s="260">
        <v>40</v>
      </c>
      <c r="AV148" s="271">
        <v>80</v>
      </c>
      <c r="AW148" s="260">
        <v>40</v>
      </c>
      <c r="AX148" s="271">
        <v>80</v>
      </c>
      <c r="AY148" s="260">
        <v>20</v>
      </c>
      <c r="AZ148" s="271">
        <v>40</v>
      </c>
      <c r="BA148" s="276">
        <v>20</v>
      </c>
      <c r="BB148" s="276">
        <v>40</v>
      </c>
      <c r="BC148" s="276"/>
      <c r="BD148" s="276"/>
      <c r="BE148" s="276">
        <v>10</v>
      </c>
      <c r="BF148" s="276">
        <v>40</v>
      </c>
      <c r="BG148" s="260">
        <v>40</v>
      </c>
      <c r="BH148" s="271">
        <v>80</v>
      </c>
      <c r="BI148" s="276"/>
      <c r="BJ148" s="276"/>
      <c r="BK148" s="276"/>
      <c r="BL148" s="275"/>
      <c r="BM148" s="316">
        <v>306</v>
      </c>
      <c r="BN148" s="272">
        <v>160</v>
      </c>
      <c r="BO148" s="270">
        <v>160</v>
      </c>
      <c r="BP148" s="272"/>
      <c r="BQ148" s="260"/>
      <c r="BR148" s="260"/>
      <c r="BS148" s="260"/>
      <c r="BT148" s="260"/>
      <c r="BU148" s="260"/>
      <c r="BV148" s="260">
        <v>80</v>
      </c>
      <c r="BW148" s="260">
        <v>80</v>
      </c>
      <c r="BX148" s="260"/>
      <c r="BY148" s="260"/>
      <c r="BZ148" s="260"/>
      <c r="CA148" s="260"/>
      <c r="CB148" s="260"/>
      <c r="CC148" s="260"/>
      <c r="CD148" s="260">
        <v>160</v>
      </c>
      <c r="CE148" s="260">
        <v>160</v>
      </c>
      <c r="CF148" s="272"/>
      <c r="CG148" s="260"/>
      <c r="CH148" s="260"/>
      <c r="CI148" s="260"/>
      <c r="CJ148" s="260"/>
      <c r="CK148" s="260"/>
      <c r="CL148" s="260"/>
      <c r="CM148" s="260"/>
      <c r="CN148" s="260">
        <v>20</v>
      </c>
      <c r="CO148" s="260">
        <v>40</v>
      </c>
      <c r="CP148" s="260">
        <v>40</v>
      </c>
      <c r="CQ148" s="260">
        <v>40</v>
      </c>
      <c r="CR148" s="260">
        <v>20</v>
      </c>
      <c r="CS148" s="270">
        <v>20</v>
      </c>
      <c r="CT148" s="315">
        <v>306</v>
      </c>
      <c r="CU148" s="249">
        <f>Table2821115[[#This Row],[D28 - BR/18]]/Table2821115[[#This Row],[D0 - BR/18]]</f>
        <v>1</v>
      </c>
      <c r="CV148" s="248">
        <f>Table2821115[[#This Row],[D28 - KS/17]]/Table2821115[[#This Row],[D0 - KS/17]]</f>
        <v>4</v>
      </c>
      <c r="CW148" s="248">
        <f>Table2821115[[#This Row],[D28 - Phu/13]]/Table2821115[[#This Row],[D0 - Phu/13]]</f>
        <v>1</v>
      </c>
      <c r="CX148" s="248">
        <f>Table2821115[[#This Row],[D28 - CO/17]]/Table2821115[[#This Row],[D0 - CO/17]]</f>
        <v>1</v>
      </c>
      <c r="CY148" s="248">
        <f>LOG(Table2821115[[#This Row],[BR/18 Fold]],2)</f>
        <v>0</v>
      </c>
      <c r="CZ148" s="248">
        <f>LOG(Table2821115[[#This Row],[KS/17 Fold]],2)</f>
        <v>2</v>
      </c>
      <c r="DA148" s="248">
        <f>LOG(Table2821115[[#This Row],[Phu/13 Fold]],2)</f>
        <v>0</v>
      </c>
      <c r="DB148" s="248">
        <f>LOG(Table2821115[[#This Row],[CO/17 Fold]],2)</f>
        <v>0</v>
      </c>
      <c r="DC148" s="248">
        <f>SUM(Table2821115[[#This Row],[BR/18 Log2]:[CO/17 Log2]])</f>
        <v>2</v>
      </c>
    </row>
    <row r="149" spans="1:107" ht="24" customHeight="1">
      <c r="A149" s="327">
        <v>307</v>
      </c>
      <c r="B149" s="205">
        <v>14462</v>
      </c>
      <c r="C149" s="205">
        <v>43747</v>
      </c>
      <c r="D149" s="204">
        <v>80</v>
      </c>
      <c r="E149" s="3" t="s">
        <v>61</v>
      </c>
      <c r="F149" s="143" t="s">
        <v>116</v>
      </c>
      <c r="G149" s="142">
        <v>20.764409101300068</v>
      </c>
      <c r="H149" s="11" t="s">
        <v>59</v>
      </c>
      <c r="I149" s="277" t="s">
        <v>60</v>
      </c>
      <c r="J149" s="260">
        <v>5</v>
      </c>
      <c r="K149" s="260">
        <v>5</v>
      </c>
      <c r="L149" s="260"/>
      <c r="M149" s="260"/>
      <c r="N149" s="260"/>
      <c r="O149" s="260"/>
      <c r="P149" s="260"/>
      <c r="Q149" s="260"/>
      <c r="R149" s="260"/>
      <c r="S149" s="260"/>
      <c r="T149" s="260"/>
      <c r="U149" s="260"/>
      <c r="V149" s="260">
        <v>5</v>
      </c>
      <c r="W149" s="260">
        <v>5</v>
      </c>
      <c r="X149" s="260">
        <v>20</v>
      </c>
      <c r="Y149" s="260">
        <v>20</v>
      </c>
      <c r="Z149" s="260">
        <v>40</v>
      </c>
      <c r="AA149" s="260">
        <v>40</v>
      </c>
      <c r="AB149" s="260">
        <v>20</v>
      </c>
      <c r="AC149" s="260">
        <v>20</v>
      </c>
      <c r="AD149" s="260"/>
      <c r="AE149" s="260"/>
      <c r="AF149" s="260"/>
      <c r="AG149" s="260"/>
      <c r="AH149" s="203">
        <v>307</v>
      </c>
      <c r="AI149" s="272">
        <v>10</v>
      </c>
      <c r="AJ149" s="271">
        <v>10</v>
      </c>
      <c r="AK149" s="260"/>
      <c r="AL149" s="260"/>
      <c r="AM149" s="260"/>
      <c r="AN149" s="260"/>
      <c r="AO149" s="260"/>
      <c r="AP149" s="260"/>
      <c r="AQ149" s="260"/>
      <c r="AR149" s="260"/>
      <c r="AS149" s="260"/>
      <c r="AT149" s="260"/>
      <c r="AU149" s="260">
        <v>40</v>
      </c>
      <c r="AV149" s="271">
        <v>40</v>
      </c>
      <c r="AW149" s="260">
        <v>20</v>
      </c>
      <c r="AX149" s="271">
        <v>20</v>
      </c>
      <c r="AY149" s="260">
        <v>20</v>
      </c>
      <c r="AZ149" s="271">
        <v>320</v>
      </c>
      <c r="BA149" s="276">
        <v>20</v>
      </c>
      <c r="BB149" s="276">
        <v>20</v>
      </c>
      <c r="BC149" s="276"/>
      <c r="BD149" s="276"/>
      <c r="BE149" s="276">
        <v>20</v>
      </c>
      <c r="BF149" s="276">
        <v>20</v>
      </c>
      <c r="BG149" s="260">
        <v>10</v>
      </c>
      <c r="BH149" s="271">
        <v>20</v>
      </c>
      <c r="BI149" s="276"/>
      <c r="BJ149" s="276"/>
      <c r="BK149" s="276"/>
      <c r="BL149" s="275"/>
      <c r="BM149" s="326">
        <v>307</v>
      </c>
      <c r="BN149" s="272">
        <v>320</v>
      </c>
      <c r="BO149" s="270">
        <v>320</v>
      </c>
      <c r="BP149" s="272"/>
      <c r="BQ149" s="260"/>
      <c r="BR149" s="260"/>
      <c r="BS149" s="260"/>
      <c r="BT149" s="260"/>
      <c r="BU149" s="260"/>
      <c r="BV149" s="260">
        <v>80</v>
      </c>
      <c r="BW149" s="260">
        <v>80</v>
      </c>
      <c r="BX149" s="260"/>
      <c r="BY149" s="260"/>
      <c r="BZ149" s="260"/>
      <c r="CA149" s="260"/>
      <c r="CB149" s="260"/>
      <c r="CC149" s="260"/>
      <c r="CD149" s="260">
        <v>20</v>
      </c>
      <c r="CE149" s="260">
        <v>20</v>
      </c>
      <c r="CF149" s="272"/>
      <c r="CG149" s="260"/>
      <c r="CH149" s="260"/>
      <c r="CI149" s="260"/>
      <c r="CJ149" s="260"/>
      <c r="CK149" s="260"/>
      <c r="CL149" s="260"/>
      <c r="CM149" s="260"/>
      <c r="CN149" s="260">
        <v>40</v>
      </c>
      <c r="CO149" s="260">
        <v>40</v>
      </c>
      <c r="CP149" s="260">
        <v>80</v>
      </c>
      <c r="CQ149" s="260">
        <v>80</v>
      </c>
      <c r="CR149" s="260">
        <v>20</v>
      </c>
      <c r="CS149" s="270">
        <v>20</v>
      </c>
      <c r="CT149" s="325">
        <v>307</v>
      </c>
      <c r="CU149" s="249">
        <f>Table2821115[[#This Row],[D28 - BR/18]]/Table2821115[[#This Row],[D0 - BR/18]]</f>
        <v>1</v>
      </c>
      <c r="CV149" s="248">
        <f>Table2821115[[#This Row],[D28 - KS/17]]/Table2821115[[#This Row],[D0 - KS/17]]</f>
        <v>1</v>
      </c>
      <c r="CW149" s="248">
        <f>Table2821115[[#This Row],[D28 - Phu/13]]/Table2821115[[#This Row],[D0 - Phu/13]]</f>
        <v>1</v>
      </c>
      <c r="CX149" s="248">
        <f>Table2821115[[#This Row],[D28 - CO/17]]/Table2821115[[#This Row],[D0 - CO/17]]</f>
        <v>1</v>
      </c>
      <c r="CY149" s="248">
        <f>LOG(Table2821115[[#This Row],[BR/18 Fold]],2)</f>
        <v>0</v>
      </c>
      <c r="CZ149" s="248">
        <f>LOG(Table2821115[[#This Row],[KS/17 Fold]],2)</f>
        <v>0</v>
      </c>
      <c r="DA149" s="248">
        <f>LOG(Table2821115[[#This Row],[Phu/13 Fold]],2)</f>
        <v>0</v>
      </c>
      <c r="DB149" s="248">
        <f>LOG(Table2821115[[#This Row],[CO/17 Fold]],2)</f>
        <v>0</v>
      </c>
      <c r="DC149" s="248">
        <f>SUM(Table2821115[[#This Row],[BR/18 Log2]:[CO/17 Log2]])</f>
        <v>0</v>
      </c>
    </row>
    <row r="150" spans="1:107" ht="24" customHeight="1">
      <c r="A150" s="330">
        <v>308</v>
      </c>
      <c r="B150" s="210">
        <v>17497</v>
      </c>
      <c r="C150" s="210">
        <v>43746</v>
      </c>
      <c r="D150" s="209">
        <v>71</v>
      </c>
      <c r="E150" s="4" t="s">
        <v>58</v>
      </c>
      <c r="F150" s="143" t="s">
        <v>116</v>
      </c>
      <c r="G150" s="142">
        <v>30.210605801175415</v>
      </c>
      <c r="H150" s="5" t="s">
        <v>64</v>
      </c>
      <c r="I150" s="277" t="s">
        <v>60</v>
      </c>
      <c r="J150" s="260">
        <v>5</v>
      </c>
      <c r="K150" s="260">
        <v>5</v>
      </c>
      <c r="L150" s="260"/>
      <c r="M150" s="260"/>
      <c r="N150" s="260"/>
      <c r="O150" s="260"/>
      <c r="P150" s="260"/>
      <c r="Q150" s="260"/>
      <c r="R150" s="260"/>
      <c r="S150" s="260"/>
      <c r="T150" s="260"/>
      <c r="U150" s="260"/>
      <c r="V150" s="260">
        <v>5</v>
      </c>
      <c r="W150" s="260">
        <v>5</v>
      </c>
      <c r="X150" s="260">
        <v>10</v>
      </c>
      <c r="Y150" s="260">
        <v>20</v>
      </c>
      <c r="Z150" s="260">
        <v>10</v>
      </c>
      <c r="AA150" s="260">
        <v>20</v>
      </c>
      <c r="AB150" s="260">
        <v>5</v>
      </c>
      <c r="AC150" s="260">
        <v>10</v>
      </c>
      <c r="AD150" s="260"/>
      <c r="AE150" s="260"/>
      <c r="AF150" s="260"/>
      <c r="AG150" s="260"/>
      <c r="AH150" s="208">
        <v>308</v>
      </c>
      <c r="AI150" s="272">
        <v>5</v>
      </c>
      <c r="AJ150" s="271">
        <v>5</v>
      </c>
      <c r="AK150" s="260"/>
      <c r="AL150" s="260"/>
      <c r="AM150" s="260"/>
      <c r="AN150" s="260"/>
      <c r="AO150" s="260"/>
      <c r="AP150" s="260"/>
      <c r="AQ150" s="260"/>
      <c r="AR150" s="260"/>
      <c r="AS150" s="260"/>
      <c r="AT150" s="260"/>
      <c r="AU150" s="260">
        <v>20</v>
      </c>
      <c r="AV150" s="271">
        <v>80</v>
      </c>
      <c r="AW150" s="260">
        <v>40</v>
      </c>
      <c r="AX150" s="271">
        <v>160</v>
      </c>
      <c r="AY150" s="260">
        <v>10</v>
      </c>
      <c r="AZ150" s="271">
        <v>5</v>
      </c>
      <c r="BA150" s="276">
        <v>20</v>
      </c>
      <c r="BB150" s="276">
        <v>40</v>
      </c>
      <c r="BC150" s="276"/>
      <c r="BD150" s="276"/>
      <c r="BE150" s="276">
        <v>10</v>
      </c>
      <c r="BF150" s="276">
        <v>20</v>
      </c>
      <c r="BG150" s="260">
        <v>20</v>
      </c>
      <c r="BH150" s="271">
        <v>20</v>
      </c>
      <c r="BI150" s="276"/>
      <c r="BJ150" s="276"/>
      <c r="BK150" s="276"/>
      <c r="BL150" s="275"/>
      <c r="BM150" s="329">
        <v>308</v>
      </c>
      <c r="BN150" s="272">
        <v>20</v>
      </c>
      <c r="BO150" s="270">
        <v>20</v>
      </c>
      <c r="BP150" s="272"/>
      <c r="BQ150" s="260"/>
      <c r="BR150" s="260"/>
      <c r="BS150" s="260"/>
      <c r="BT150" s="260"/>
      <c r="BU150" s="260"/>
      <c r="BV150" s="260">
        <v>320</v>
      </c>
      <c r="BW150" s="260">
        <v>320</v>
      </c>
      <c r="BX150" s="260"/>
      <c r="BY150" s="260"/>
      <c r="BZ150" s="260"/>
      <c r="CA150" s="260"/>
      <c r="CB150" s="260"/>
      <c r="CC150" s="260"/>
      <c r="CD150" s="260">
        <v>640</v>
      </c>
      <c r="CE150" s="260">
        <v>320</v>
      </c>
      <c r="CF150" s="272"/>
      <c r="CG150" s="260"/>
      <c r="CH150" s="260"/>
      <c r="CI150" s="260"/>
      <c r="CJ150" s="260"/>
      <c r="CK150" s="260"/>
      <c r="CL150" s="260"/>
      <c r="CM150" s="260"/>
      <c r="CN150" s="260">
        <v>80</v>
      </c>
      <c r="CO150" s="260">
        <v>160</v>
      </c>
      <c r="CP150" s="260">
        <v>40</v>
      </c>
      <c r="CQ150" s="260">
        <v>80</v>
      </c>
      <c r="CR150" s="260">
        <v>20</v>
      </c>
      <c r="CS150" s="270">
        <v>40</v>
      </c>
      <c r="CT150" s="328">
        <v>308</v>
      </c>
      <c r="CU150" s="249">
        <f>Table2821115[[#This Row],[D28 - BR/18]]/Table2821115[[#This Row],[D0 - BR/18]]</f>
        <v>2</v>
      </c>
      <c r="CV150" s="248">
        <f>Table2821115[[#This Row],[D28 - KS/17]]/Table2821115[[#This Row],[D0 - KS/17]]</f>
        <v>2</v>
      </c>
      <c r="CW150" s="248">
        <f>Table2821115[[#This Row],[D28 - Phu/13]]/Table2821115[[#This Row],[D0 - Phu/13]]</f>
        <v>0.5</v>
      </c>
      <c r="CX150" s="248">
        <f>Table2821115[[#This Row],[D28 - CO/17]]/Table2821115[[#This Row],[D0 - CO/17]]</f>
        <v>2</v>
      </c>
      <c r="CY150" s="248">
        <f>LOG(Table2821115[[#This Row],[BR/18 Fold]],2)</f>
        <v>1</v>
      </c>
      <c r="CZ150" s="248">
        <f>LOG(Table2821115[[#This Row],[KS/17 Fold]],2)</f>
        <v>1</v>
      </c>
      <c r="DA150" s="248">
        <f>LOG(Table2821115[[#This Row],[Phu/13 Fold]],2)</f>
        <v>-1</v>
      </c>
      <c r="DB150" s="248">
        <f>LOG(Table2821115[[#This Row],[CO/17 Fold]],2)</f>
        <v>1</v>
      </c>
      <c r="DC150" s="248">
        <f>SUM(Table2821115[[#This Row],[BR/18 Log2]:[CO/17 Log2]])</f>
        <v>2</v>
      </c>
    </row>
    <row r="151" spans="1:107" ht="24" customHeight="1">
      <c r="A151" s="318">
        <v>309</v>
      </c>
      <c r="B151" s="180">
        <v>20680</v>
      </c>
      <c r="C151" s="180">
        <v>43748</v>
      </c>
      <c r="D151" s="179">
        <v>63</v>
      </c>
      <c r="E151" s="3" t="s">
        <v>61</v>
      </c>
      <c r="F151" s="143" t="s">
        <v>116</v>
      </c>
      <c r="G151" s="142">
        <v>26.104889445793194</v>
      </c>
      <c r="H151" s="11" t="s">
        <v>59</v>
      </c>
      <c r="I151" s="277" t="s">
        <v>60</v>
      </c>
      <c r="J151" s="260">
        <v>5</v>
      </c>
      <c r="K151" s="260">
        <v>10</v>
      </c>
      <c r="L151" s="260"/>
      <c r="M151" s="260"/>
      <c r="N151" s="260"/>
      <c r="O151" s="260"/>
      <c r="P151" s="260"/>
      <c r="Q151" s="260"/>
      <c r="R151" s="260"/>
      <c r="S151" s="260"/>
      <c r="T151" s="260"/>
      <c r="U151" s="260"/>
      <c r="V151" s="260">
        <v>160</v>
      </c>
      <c r="W151" s="260">
        <v>40</v>
      </c>
      <c r="X151" s="260">
        <v>40</v>
      </c>
      <c r="Y151" s="260">
        <v>80</v>
      </c>
      <c r="Z151" s="260">
        <v>40</v>
      </c>
      <c r="AA151" s="260">
        <v>80</v>
      </c>
      <c r="AB151" s="260">
        <v>40</v>
      </c>
      <c r="AC151" s="260">
        <v>40</v>
      </c>
      <c r="AD151" s="260"/>
      <c r="AE151" s="260"/>
      <c r="AF151" s="260"/>
      <c r="AG151" s="260"/>
      <c r="AH151" s="195">
        <v>309</v>
      </c>
      <c r="AI151" s="272">
        <v>160</v>
      </c>
      <c r="AJ151" s="271">
        <v>160</v>
      </c>
      <c r="AK151" s="260"/>
      <c r="AL151" s="260"/>
      <c r="AM151" s="260"/>
      <c r="AN151" s="260"/>
      <c r="AO151" s="260"/>
      <c r="AP151" s="260"/>
      <c r="AQ151" s="260"/>
      <c r="AR151" s="260"/>
      <c r="AS151" s="260"/>
      <c r="AT151" s="260"/>
      <c r="AU151" s="260">
        <v>1280</v>
      </c>
      <c r="AV151" s="271">
        <v>1280</v>
      </c>
      <c r="AW151" s="260">
        <v>640</v>
      </c>
      <c r="AX151" s="271">
        <v>640</v>
      </c>
      <c r="AY151" s="260">
        <v>320</v>
      </c>
      <c r="AZ151" s="271">
        <v>80</v>
      </c>
      <c r="BA151" s="276">
        <v>640</v>
      </c>
      <c r="BB151" s="276">
        <v>640</v>
      </c>
      <c r="BC151" s="276"/>
      <c r="BD151" s="276"/>
      <c r="BE151" s="276">
        <v>160</v>
      </c>
      <c r="BF151" s="276">
        <v>320</v>
      </c>
      <c r="BG151" s="260">
        <v>640</v>
      </c>
      <c r="BH151" s="271">
        <v>640</v>
      </c>
      <c r="BI151" s="276"/>
      <c r="BJ151" s="276"/>
      <c r="BK151" s="276"/>
      <c r="BL151" s="275"/>
      <c r="BM151" s="316">
        <v>309</v>
      </c>
      <c r="BN151" s="272">
        <v>5</v>
      </c>
      <c r="BO151" s="270">
        <v>20</v>
      </c>
      <c r="BP151" s="272"/>
      <c r="BQ151" s="260"/>
      <c r="BR151" s="260"/>
      <c r="BS151" s="260"/>
      <c r="BT151" s="260"/>
      <c r="BU151" s="260"/>
      <c r="BV151" s="260">
        <v>40</v>
      </c>
      <c r="BW151" s="260">
        <v>80</v>
      </c>
      <c r="BX151" s="260"/>
      <c r="BY151" s="260"/>
      <c r="BZ151" s="260"/>
      <c r="CA151" s="260"/>
      <c r="CB151" s="260"/>
      <c r="CC151" s="260"/>
      <c r="CD151" s="260">
        <v>80</v>
      </c>
      <c r="CE151" s="260">
        <v>80</v>
      </c>
      <c r="CF151" s="272"/>
      <c r="CG151" s="260"/>
      <c r="CH151" s="260"/>
      <c r="CI151" s="260"/>
      <c r="CJ151" s="260"/>
      <c r="CK151" s="260"/>
      <c r="CL151" s="260"/>
      <c r="CM151" s="260"/>
      <c r="CN151" s="260">
        <v>20</v>
      </c>
      <c r="CO151" s="260">
        <v>40</v>
      </c>
      <c r="CP151" s="260">
        <v>20</v>
      </c>
      <c r="CQ151" s="260">
        <v>20</v>
      </c>
      <c r="CR151" s="260">
        <v>20</v>
      </c>
      <c r="CS151" s="270">
        <v>40</v>
      </c>
      <c r="CT151" s="315">
        <v>309</v>
      </c>
      <c r="CU151" s="249">
        <f>Table2821115[[#This Row],[D28 - BR/18]]/Table2821115[[#This Row],[D0 - BR/18]]</f>
        <v>1</v>
      </c>
      <c r="CV151" s="248">
        <f>Table2821115[[#This Row],[D28 - KS/17]]/Table2821115[[#This Row],[D0 - KS/17]]</f>
        <v>2</v>
      </c>
      <c r="CW151" s="248">
        <f>Table2821115[[#This Row],[D28 - Phu/13]]/Table2821115[[#This Row],[D0 - Phu/13]]</f>
        <v>1</v>
      </c>
      <c r="CX151" s="248">
        <f>Table2821115[[#This Row],[D28 - CO/17]]/Table2821115[[#This Row],[D0 - CO/17]]</f>
        <v>1</v>
      </c>
      <c r="CY151" s="248">
        <f>LOG(Table2821115[[#This Row],[BR/18 Fold]],2)</f>
        <v>0</v>
      </c>
      <c r="CZ151" s="248">
        <f>LOG(Table2821115[[#This Row],[KS/17 Fold]],2)</f>
        <v>1</v>
      </c>
      <c r="DA151" s="248">
        <f>LOG(Table2821115[[#This Row],[Phu/13 Fold]],2)</f>
        <v>0</v>
      </c>
      <c r="DB151" s="248">
        <f>LOG(Table2821115[[#This Row],[CO/17 Fold]],2)</f>
        <v>0</v>
      </c>
      <c r="DC151" s="248">
        <f>SUM(Table2821115[[#This Row],[BR/18 Log2]:[CO/17 Log2]])</f>
        <v>1</v>
      </c>
    </row>
    <row r="152" spans="1:107" ht="24" customHeight="1">
      <c r="A152" s="330">
        <v>310</v>
      </c>
      <c r="B152" s="210">
        <v>19252</v>
      </c>
      <c r="C152" s="210">
        <v>43757</v>
      </c>
      <c r="D152" s="209">
        <v>67</v>
      </c>
      <c r="E152" s="4" t="s">
        <v>58</v>
      </c>
      <c r="F152" s="143" t="s">
        <v>116</v>
      </c>
      <c r="G152" s="142">
        <v>31.907465488427466</v>
      </c>
      <c r="H152" s="5" t="s">
        <v>64</v>
      </c>
      <c r="I152" s="277" t="s">
        <v>60</v>
      </c>
      <c r="J152" s="260">
        <v>5</v>
      </c>
      <c r="K152" s="260">
        <v>5</v>
      </c>
      <c r="L152" s="260"/>
      <c r="M152" s="260"/>
      <c r="N152" s="260"/>
      <c r="O152" s="260"/>
      <c r="P152" s="260"/>
      <c r="Q152" s="260"/>
      <c r="R152" s="260"/>
      <c r="S152" s="260"/>
      <c r="T152" s="260"/>
      <c r="U152" s="260"/>
      <c r="V152" s="260">
        <v>5</v>
      </c>
      <c r="W152" s="260">
        <v>5</v>
      </c>
      <c r="X152" s="260">
        <v>5</v>
      </c>
      <c r="Y152" s="260">
        <v>160</v>
      </c>
      <c r="Z152" s="260">
        <v>80</v>
      </c>
      <c r="AA152" s="260">
        <v>160</v>
      </c>
      <c r="AB152" s="260">
        <v>40</v>
      </c>
      <c r="AC152" s="260">
        <v>160</v>
      </c>
      <c r="AD152" s="260"/>
      <c r="AE152" s="260"/>
      <c r="AF152" s="260"/>
      <c r="AG152" s="260"/>
      <c r="AH152" s="208">
        <v>310</v>
      </c>
      <c r="AI152" s="272">
        <v>5</v>
      </c>
      <c r="AJ152" s="271">
        <v>20</v>
      </c>
      <c r="AK152" s="260"/>
      <c r="AL152" s="260"/>
      <c r="AM152" s="260"/>
      <c r="AN152" s="260"/>
      <c r="AO152" s="260"/>
      <c r="AP152" s="260"/>
      <c r="AQ152" s="260"/>
      <c r="AR152" s="260"/>
      <c r="AS152" s="260"/>
      <c r="AT152" s="260"/>
      <c r="AU152" s="260">
        <v>5</v>
      </c>
      <c r="AV152" s="271">
        <v>40</v>
      </c>
      <c r="AW152" s="260">
        <v>10</v>
      </c>
      <c r="AX152" s="271">
        <v>80</v>
      </c>
      <c r="AY152" s="260">
        <v>5</v>
      </c>
      <c r="AZ152" s="271">
        <v>80</v>
      </c>
      <c r="BA152" s="276">
        <v>10</v>
      </c>
      <c r="BB152" s="276">
        <v>40</v>
      </c>
      <c r="BC152" s="276"/>
      <c r="BD152" s="276"/>
      <c r="BE152" s="276">
        <v>5</v>
      </c>
      <c r="BF152" s="276">
        <v>40</v>
      </c>
      <c r="BG152" s="260">
        <v>20</v>
      </c>
      <c r="BH152" s="271">
        <v>80</v>
      </c>
      <c r="BI152" s="276"/>
      <c r="BJ152" s="276"/>
      <c r="BK152" s="276"/>
      <c r="BL152" s="275"/>
      <c r="BM152" s="329">
        <v>310</v>
      </c>
      <c r="BN152" s="272">
        <v>320</v>
      </c>
      <c r="BO152" s="270">
        <v>320</v>
      </c>
      <c r="BP152" s="272"/>
      <c r="BQ152" s="260"/>
      <c r="BR152" s="260"/>
      <c r="BS152" s="260"/>
      <c r="BT152" s="260"/>
      <c r="BU152" s="260"/>
      <c r="BV152" s="260">
        <v>5</v>
      </c>
      <c r="BW152" s="260">
        <v>80</v>
      </c>
      <c r="BX152" s="260"/>
      <c r="BY152" s="260"/>
      <c r="BZ152" s="260"/>
      <c r="CA152" s="260"/>
      <c r="CB152" s="260"/>
      <c r="CC152" s="260"/>
      <c r="CD152" s="260">
        <v>160</v>
      </c>
      <c r="CE152" s="260">
        <v>160</v>
      </c>
      <c r="CF152" s="272"/>
      <c r="CG152" s="260"/>
      <c r="CH152" s="260"/>
      <c r="CI152" s="260"/>
      <c r="CJ152" s="260"/>
      <c r="CK152" s="260"/>
      <c r="CL152" s="260"/>
      <c r="CM152" s="260"/>
      <c r="CN152" s="260">
        <v>40</v>
      </c>
      <c r="CO152" s="260">
        <v>80</v>
      </c>
      <c r="CP152" s="260">
        <v>160</v>
      </c>
      <c r="CQ152" s="260">
        <v>160</v>
      </c>
      <c r="CR152" s="260">
        <v>40</v>
      </c>
      <c r="CS152" s="270">
        <v>80</v>
      </c>
      <c r="CT152" s="328">
        <v>310</v>
      </c>
      <c r="CU152" s="249">
        <f>Table2821115[[#This Row],[D28 - BR/18]]/Table2821115[[#This Row],[D0 - BR/18]]</f>
        <v>4</v>
      </c>
      <c r="CV152" s="248">
        <f>Table2821115[[#This Row],[D28 - KS/17]]/Table2821115[[#This Row],[D0 - KS/17]]</f>
        <v>8</v>
      </c>
      <c r="CW152" s="248">
        <f>Table2821115[[#This Row],[D28 - Phu/13]]/Table2821115[[#This Row],[D0 - Phu/13]]</f>
        <v>1</v>
      </c>
      <c r="CX152" s="248">
        <f>Table2821115[[#This Row],[D28 - CO/17]]/Table2821115[[#This Row],[D0 - CO/17]]</f>
        <v>1</v>
      </c>
      <c r="CY152" s="248">
        <f>LOG(Table2821115[[#This Row],[BR/18 Fold]],2)</f>
        <v>2</v>
      </c>
      <c r="CZ152" s="248">
        <f>LOG(Table2821115[[#This Row],[KS/17 Fold]],2)</f>
        <v>3</v>
      </c>
      <c r="DA152" s="248">
        <f>LOG(Table2821115[[#This Row],[Phu/13 Fold]],2)</f>
        <v>0</v>
      </c>
      <c r="DB152" s="248">
        <f>LOG(Table2821115[[#This Row],[CO/17 Fold]],2)</f>
        <v>0</v>
      </c>
      <c r="DC152" s="248">
        <f>SUM(Table2821115[[#This Row],[BR/18 Log2]:[CO/17 Log2]])</f>
        <v>5</v>
      </c>
    </row>
    <row r="153" spans="1:107" ht="24" customHeight="1">
      <c r="A153" s="324">
        <v>311</v>
      </c>
      <c r="B153" s="190">
        <v>28008</v>
      </c>
      <c r="C153" s="190">
        <v>43747</v>
      </c>
      <c r="D153" s="189">
        <v>43</v>
      </c>
      <c r="E153" s="3" t="s">
        <v>61</v>
      </c>
      <c r="F153" s="143" t="s">
        <v>116</v>
      </c>
      <c r="G153" s="142">
        <v>31.571948497997656</v>
      </c>
      <c r="H153" s="11" t="s">
        <v>59</v>
      </c>
      <c r="I153" s="277" t="s">
        <v>60</v>
      </c>
      <c r="J153" s="260">
        <v>5</v>
      </c>
      <c r="K153" s="260">
        <v>5</v>
      </c>
      <c r="L153" s="260"/>
      <c r="M153" s="260"/>
      <c r="N153" s="260"/>
      <c r="O153" s="260"/>
      <c r="P153" s="260"/>
      <c r="Q153" s="260"/>
      <c r="R153" s="260"/>
      <c r="S153" s="260"/>
      <c r="T153" s="260"/>
      <c r="U153" s="260"/>
      <c r="V153" s="260">
        <v>5</v>
      </c>
      <c r="W153" s="260">
        <v>5</v>
      </c>
      <c r="X153" s="260">
        <v>10</v>
      </c>
      <c r="Y153" s="260">
        <v>20</v>
      </c>
      <c r="Z153" s="260">
        <v>20</v>
      </c>
      <c r="AA153" s="260">
        <v>20</v>
      </c>
      <c r="AB153" s="260">
        <v>10</v>
      </c>
      <c r="AC153" s="260">
        <v>20</v>
      </c>
      <c r="AD153" s="260"/>
      <c r="AE153" s="260"/>
      <c r="AF153" s="260"/>
      <c r="AG153" s="260"/>
      <c r="AH153" s="198">
        <v>311</v>
      </c>
      <c r="AI153" s="272">
        <v>5</v>
      </c>
      <c r="AJ153" s="271">
        <v>10</v>
      </c>
      <c r="AK153" s="260"/>
      <c r="AL153" s="260"/>
      <c r="AM153" s="260"/>
      <c r="AN153" s="260"/>
      <c r="AO153" s="260"/>
      <c r="AP153" s="260"/>
      <c r="AQ153" s="260"/>
      <c r="AR153" s="260"/>
      <c r="AS153" s="260"/>
      <c r="AT153" s="260"/>
      <c r="AU153" s="260">
        <v>40</v>
      </c>
      <c r="AV153" s="271">
        <v>40</v>
      </c>
      <c r="AW153" s="260">
        <v>20</v>
      </c>
      <c r="AX153" s="271">
        <v>40</v>
      </c>
      <c r="AY153" s="260">
        <v>10</v>
      </c>
      <c r="AZ153" s="271">
        <v>20</v>
      </c>
      <c r="BA153" s="276">
        <v>10</v>
      </c>
      <c r="BB153" s="276">
        <v>20</v>
      </c>
      <c r="BC153" s="276"/>
      <c r="BD153" s="276"/>
      <c r="BE153" s="276">
        <v>10</v>
      </c>
      <c r="BF153" s="276">
        <v>20</v>
      </c>
      <c r="BG153" s="260">
        <v>20</v>
      </c>
      <c r="BH153" s="271">
        <v>20</v>
      </c>
      <c r="BI153" s="276"/>
      <c r="BJ153" s="276"/>
      <c r="BK153" s="276"/>
      <c r="BL153" s="275"/>
      <c r="BM153" s="323">
        <v>311</v>
      </c>
      <c r="BN153" s="272">
        <v>5</v>
      </c>
      <c r="BO153" s="270">
        <v>5</v>
      </c>
      <c r="BP153" s="272"/>
      <c r="BQ153" s="260"/>
      <c r="BR153" s="260"/>
      <c r="BS153" s="260"/>
      <c r="BT153" s="260"/>
      <c r="BU153" s="260"/>
      <c r="BV153" s="260">
        <v>5</v>
      </c>
      <c r="BW153" s="260">
        <v>10</v>
      </c>
      <c r="BX153" s="260"/>
      <c r="BY153" s="260"/>
      <c r="BZ153" s="260"/>
      <c r="CA153" s="260"/>
      <c r="CB153" s="260"/>
      <c r="CC153" s="260"/>
      <c r="CD153" s="260">
        <v>10</v>
      </c>
      <c r="CE153" s="260">
        <v>20</v>
      </c>
      <c r="CF153" s="272"/>
      <c r="CG153" s="260"/>
      <c r="CH153" s="260"/>
      <c r="CI153" s="260"/>
      <c r="CJ153" s="260"/>
      <c r="CK153" s="260"/>
      <c r="CL153" s="260"/>
      <c r="CM153" s="260"/>
      <c r="CN153" s="260">
        <v>5</v>
      </c>
      <c r="CO153" s="260">
        <v>20</v>
      </c>
      <c r="CP153" s="260">
        <v>10</v>
      </c>
      <c r="CQ153" s="260">
        <v>20</v>
      </c>
      <c r="CR153" s="260">
        <v>10</v>
      </c>
      <c r="CS153" s="270">
        <v>20</v>
      </c>
      <c r="CT153" s="322">
        <v>311</v>
      </c>
      <c r="CU153" s="249">
        <f>Table2821115[[#This Row],[D28 - BR/18]]/Table2821115[[#This Row],[D0 - BR/18]]</f>
        <v>2</v>
      </c>
      <c r="CV153" s="248">
        <f>Table2821115[[#This Row],[D28 - KS/17]]/Table2821115[[#This Row],[D0 - KS/17]]</f>
        <v>2</v>
      </c>
      <c r="CW153" s="248">
        <f>Table2821115[[#This Row],[D28 - Phu/13]]/Table2821115[[#This Row],[D0 - Phu/13]]</f>
        <v>2</v>
      </c>
      <c r="CX153" s="248">
        <f>Table2821115[[#This Row],[D28 - CO/17]]/Table2821115[[#This Row],[D0 - CO/17]]</f>
        <v>2</v>
      </c>
      <c r="CY153" s="248">
        <f>LOG(Table2821115[[#This Row],[BR/18 Fold]],2)</f>
        <v>1</v>
      </c>
      <c r="CZ153" s="248">
        <f>LOG(Table2821115[[#This Row],[KS/17 Fold]],2)</f>
        <v>1</v>
      </c>
      <c r="DA153" s="248">
        <f>LOG(Table2821115[[#This Row],[Phu/13 Fold]],2)</f>
        <v>1</v>
      </c>
      <c r="DB153" s="248">
        <f>LOG(Table2821115[[#This Row],[CO/17 Fold]],2)</f>
        <v>1</v>
      </c>
      <c r="DC153" s="248">
        <f>SUM(Table2821115[[#This Row],[BR/18 Log2]:[CO/17 Log2]])</f>
        <v>4</v>
      </c>
    </row>
    <row r="154" spans="1:107" ht="24" customHeight="1">
      <c r="A154" s="318">
        <v>312</v>
      </c>
      <c r="B154" s="180">
        <v>20923</v>
      </c>
      <c r="C154" s="180">
        <v>43760</v>
      </c>
      <c r="D154" s="179">
        <v>62</v>
      </c>
      <c r="E154" s="3" t="s">
        <v>61</v>
      </c>
      <c r="F154" s="143" t="s">
        <v>116</v>
      </c>
      <c r="G154" s="142">
        <v>31.348234097633128</v>
      </c>
      <c r="H154" s="11" t="s">
        <v>59</v>
      </c>
      <c r="I154" s="277" t="s">
        <v>60</v>
      </c>
      <c r="J154" s="260">
        <v>5</v>
      </c>
      <c r="K154" s="260">
        <v>20</v>
      </c>
      <c r="L154" s="260"/>
      <c r="M154" s="260"/>
      <c r="N154" s="260"/>
      <c r="O154" s="260"/>
      <c r="P154" s="260"/>
      <c r="Q154" s="260"/>
      <c r="R154" s="260"/>
      <c r="S154" s="260"/>
      <c r="T154" s="260"/>
      <c r="U154" s="260"/>
      <c r="V154" s="260">
        <v>5</v>
      </c>
      <c r="W154" s="260">
        <v>5</v>
      </c>
      <c r="X154" s="260">
        <v>20</v>
      </c>
      <c r="Y154" s="260">
        <v>40</v>
      </c>
      <c r="Z154" s="260">
        <v>20</v>
      </c>
      <c r="AA154" s="260">
        <v>40</v>
      </c>
      <c r="AB154" s="260">
        <v>20</v>
      </c>
      <c r="AC154" s="260">
        <v>40</v>
      </c>
      <c r="AD154" s="260"/>
      <c r="AE154" s="260"/>
      <c r="AF154" s="260"/>
      <c r="AG154" s="260"/>
      <c r="AH154" s="195">
        <v>312</v>
      </c>
      <c r="AI154" s="272">
        <v>10</v>
      </c>
      <c r="AJ154" s="271">
        <v>20</v>
      </c>
      <c r="AK154" s="260"/>
      <c r="AL154" s="260"/>
      <c r="AM154" s="260"/>
      <c r="AN154" s="260"/>
      <c r="AO154" s="260"/>
      <c r="AP154" s="260"/>
      <c r="AQ154" s="260"/>
      <c r="AR154" s="260"/>
      <c r="AS154" s="260"/>
      <c r="AT154" s="260"/>
      <c r="AU154" s="260">
        <v>20</v>
      </c>
      <c r="AV154" s="271">
        <v>40</v>
      </c>
      <c r="AW154" s="260">
        <v>5</v>
      </c>
      <c r="AX154" s="271">
        <v>20</v>
      </c>
      <c r="AY154" s="260">
        <v>5</v>
      </c>
      <c r="AZ154" s="271">
        <v>40</v>
      </c>
      <c r="BA154" s="276">
        <v>10</v>
      </c>
      <c r="BB154" s="276">
        <v>20</v>
      </c>
      <c r="BC154" s="276"/>
      <c r="BD154" s="276"/>
      <c r="BE154" s="276">
        <v>5</v>
      </c>
      <c r="BF154" s="276">
        <v>20</v>
      </c>
      <c r="BG154" s="260">
        <v>10</v>
      </c>
      <c r="BH154" s="271">
        <v>20</v>
      </c>
      <c r="BI154" s="276"/>
      <c r="BJ154" s="276"/>
      <c r="BK154" s="276"/>
      <c r="BL154" s="275"/>
      <c r="BM154" s="316">
        <v>312</v>
      </c>
      <c r="BN154" s="272">
        <v>10</v>
      </c>
      <c r="BO154" s="270">
        <v>20</v>
      </c>
      <c r="BP154" s="272"/>
      <c r="BQ154" s="260"/>
      <c r="BR154" s="260"/>
      <c r="BS154" s="260"/>
      <c r="BT154" s="260"/>
      <c r="BU154" s="260"/>
      <c r="BV154" s="260">
        <v>5</v>
      </c>
      <c r="BW154" s="260">
        <v>80</v>
      </c>
      <c r="BX154" s="260"/>
      <c r="BY154" s="260"/>
      <c r="BZ154" s="260"/>
      <c r="CA154" s="260"/>
      <c r="CB154" s="260"/>
      <c r="CC154" s="260"/>
      <c r="CD154" s="260">
        <v>80</v>
      </c>
      <c r="CE154" s="260">
        <v>80</v>
      </c>
      <c r="CF154" s="272"/>
      <c r="CG154" s="260"/>
      <c r="CH154" s="260"/>
      <c r="CI154" s="260"/>
      <c r="CJ154" s="260"/>
      <c r="CK154" s="260"/>
      <c r="CL154" s="260"/>
      <c r="CM154" s="260"/>
      <c r="CN154" s="260">
        <v>5</v>
      </c>
      <c r="CO154" s="260">
        <v>10</v>
      </c>
      <c r="CP154" s="260">
        <v>10</v>
      </c>
      <c r="CQ154" s="260">
        <v>20</v>
      </c>
      <c r="CR154" s="260">
        <v>10</v>
      </c>
      <c r="CS154" s="270">
        <v>10</v>
      </c>
      <c r="CT154" s="315">
        <v>312</v>
      </c>
      <c r="CU154" s="249">
        <f>Table2821115[[#This Row],[D28 - BR/18]]/Table2821115[[#This Row],[D0 - BR/18]]</f>
        <v>2</v>
      </c>
      <c r="CV154" s="248">
        <f>Table2821115[[#This Row],[D28 - KS/17]]/Table2821115[[#This Row],[D0 - KS/17]]</f>
        <v>4</v>
      </c>
      <c r="CW154" s="248">
        <f>Table2821115[[#This Row],[D28 - Phu/13]]/Table2821115[[#This Row],[D0 - Phu/13]]</f>
        <v>1</v>
      </c>
      <c r="CX154" s="248">
        <f>Table2821115[[#This Row],[D28 - CO/17]]/Table2821115[[#This Row],[D0 - CO/17]]</f>
        <v>2</v>
      </c>
      <c r="CY154" s="248">
        <f>LOG(Table2821115[[#This Row],[BR/18 Fold]],2)</f>
        <v>1</v>
      </c>
      <c r="CZ154" s="248">
        <f>LOG(Table2821115[[#This Row],[KS/17 Fold]],2)</f>
        <v>2</v>
      </c>
      <c r="DA154" s="248">
        <f>LOG(Table2821115[[#This Row],[Phu/13 Fold]],2)</f>
        <v>0</v>
      </c>
      <c r="DB154" s="248">
        <f>LOG(Table2821115[[#This Row],[CO/17 Fold]],2)</f>
        <v>1</v>
      </c>
      <c r="DC154" s="248">
        <f>SUM(Table2821115[[#This Row],[BR/18 Log2]:[CO/17 Log2]])</f>
        <v>4</v>
      </c>
    </row>
    <row r="155" spans="1:107" ht="24" customHeight="1">
      <c r="A155" s="330">
        <v>313</v>
      </c>
      <c r="B155" s="210">
        <v>19393</v>
      </c>
      <c r="C155" s="210">
        <v>43760</v>
      </c>
      <c r="D155" s="209">
        <v>66</v>
      </c>
      <c r="E155" s="4" t="s">
        <v>58</v>
      </c>
      <c r="F155" s="143" t="s">
        <v>116</v>
      </c>
      <c r="G155" s="142">
        <v>38.352612051074217</v>
      </c>
      <c r="H155" s="5" t="s">
        <v>64</v>
      </c>
      <c r="I155" s="277" t="s">
        <v>60</v>
      </c>
      <c r="J155" s="260">
        <v>5</v>
      </c>
      <c r="K155" s="260">
        <v>5</v>
      </c>
      <c r="L155" s="260"/>
      <c r="M155" s="260"/>
      <c r="N155" s="260"/>
      <c r="O155" s="260"/>
      <c r="P155" s="260"/>
      <c r="Q155" s="260"/>
      <c r="R155" s="260"/>
      <c r="S155" s="260"/>
      <c r="T155" s="260"/>
      <c r="U155" s="260"/>
      <c r="V155" s="260">
        <v>5</v>
      </c>
      <c r="W155" s="260">
        <v>10</v>
      </c>
      <c r="X155" s="260">
        <v>5</v>
      </c>
      <c r="Y155" s="260">
        <v>20</v>
      </c>
      <c r="Z155" s="260">
        <v>5</v>
      </c>
      <c r="AA155" s="260">
        <v>20</v>
      </c>
      <c r="AB155" s="260">
        <v>5</v>
      </c>
      <c r="AC155" s="260">
        <v>10</v>
      </c>
      <c r="AD155" s="260"/>
      <c r="AE155" s="260"/>
      <c r="AF155" s="260"/>
      <c r="AG155" s="260"/>
      <c r="AH155" s="208">
        <v>313</v>
      </c>
      <c r="AI155" s="272">
        <v>5</v>
      </c>
      <c r="AJ155" s="271">
        <v>5</v>
      </c>
      <c r="AK155" s="260"/>
      <c r="AL155" s="260"/>
      <c r="AM155" s="260"/>
      <c r="AN155" s="260"/>
      <c r="AO155" s="260"/>
      <c r="AP155" s="260"/>
      <c r="AQ155" s="260"/>
      <c r="AR155" s="260"/>
      <c r="AS155" s="260"/>
      <c r="AT155" s="260"/>
      <c r="AU155" s="260">
        <v>40</v>
      </c>
      <c r="AV155" s="271">
        <v>160</v>
      </c>
      <c r="AW155" s="260">
        <v>20</v>
      </c>
      <c r="AX155" s="271">
        <v>160</v>
      </c>
      <c r="AY155" s="260">
        <v>5</v>
      </c>
      <c r="AZ155" s="271">
        <v>320</v>
      </c>
      <c r="BA155" s="276">
        <v>20</v>
      </c>
      <c r="BB155" s="276">
        <v>80</v>
      </c>
      <c r="BC155" s="276"/>
      <c r="BD155" s="276"/>
      <c r="BE155" s="276">
        <v>40</v>
      </c>
      <c r="BF155" s="276">
        <v>160</v>
      </c>
      <c r="BG155" s="260">
        <v>20</v>
      </c>
      <c r="BH155" s="271">
        <v>160</v>
      </c>
      <c r="BI155" s="276"/>
      <c r="BJ155" s="276"/>
      <c r="BK155" s="276"/>
      <c r="BL155" s="275"/>
      <c r="BM155" s="329">
        <v>313</v>
      </c>
      <c r="BN155" s="272">
        <v>160</v>
      </c>
      <c r="BO155" s="270">
        <v>160</v>
      </c>
      <c r="BP155" s="272"/>
      <c r="BQ155" s="260"/>
      <c r="BR155" s="260"/>
      <c r="BS155" s="260"/>
      <c r="BT155" s="260"/>
      <c r="BU155" s="260"/>
      <c r="BV155" s="260">
        <v>5</v>
      </c>
      <c r="BW155" s="260">
        <v>40</v>
      </c>
      <c r="BX155" s="260"/>
      <c r="BY155" s="260"/>
      <c r="BZ155" s="260"/>
      <c r="CA155" s="260"/>
      <c r="CB155" s="260"/>
      <c r="CC155" s="260"/>
      <c r="CD155" s="260">
        <v>40</v>
      </c>
      <c r="CE155" s="260">
        <v>40</v>
      </c>
      <c r="CF155" s="272"/>
      <c r="CG155" s="260"/>
      <c r="CH155" s="260"/>
      <c r="CI155" s="260"/>
      <c r="CJ155" s="260"/>
      <c r="CK155" s="260"/>
      <c r="CL155" s="260"/>
      <c r="CM155" s="260"/>
      <c r="CN155" s="260">
        <v>20</v>
      </c>
      <c r="CO155" s="260">
        <v>20</v>
      </c>
      <c r="CP155" s="260">
        <v>20</v>
      </c>
      <c r="CQ155" s="260">
        <v>40</v>
      </c>
      <c r="CR155" s="260">
        <v>10</v>
      </c>
      <c r="CS155" s="270">
        <v>20</v>
      </c>
      <c r="CT155" s="328">
        <v>313</v>
      </c>
      <c r="CU155" s="249">
        <f>Table2821115[[#This Row],[D28 - BR/18]]/Table2821115[[#This Row],[D0 - BR/18]]</f>
        <v>2</v>
      </c>
      <c r="CV155" s="248">
        <f>Table2821115[[#This Row],[D28 - KS/17]]/Table2821115[[#This Row],[D0 - KS/17]]</f>
        <v>4</v>
      </c>
      <c r="CW155" s="248">
        <f>Table2821115[[#This Row],[D28 - Phu/13]]/Table2821115[[#This Row],[D0 - Phu/13]]</f>
        <v>1</v>
      </c>
      <c r="CX155" s="248">
        <f>Table2821115[[#This Row],[D28 - CO/17]]/Table2821115[[#This Row],[D0 - CO/17]]</f>
        <v>2</v>
      </c>
      <c r="CY155" s="248">
        <f>LOG(Table2821115[[#This Row],[BR/18 Fold]],2)</f>
        <v>1</v>
      </c>
      <c r="CZ155" s="248">
        <f>LOG(Table2821115[[#This Row],[KS/17 Fold]],2)</f>
        <v>2</v>
      </c>
      <c r="DA155" s="248">
        <f>LOG(Table2821115[[#This Row],[Phu/13 Fold]],2)</f>
        <v>0</v>
      </c>
      <c r="DB155" s="248">
        <f>LOG(Table2821115[[#This Row],[CO/17 Fold]],2)</f>
        <v>1</v>
      </c>
      <c r="DC155" s="248">
        <f>SUM(Table2821115[[#This Row],[BR/18 Log2]:[CO/17 Log2]])</f>
        <v>4</v>
      </c>
    </row>
    <row r="156" spans="1:107" ht="24" customHeight="1">
      <c r="A156" s="330">
        <v>314</v>
      </c>
      <c r="B156" s="210">
        <v>18890</v>
      </c>
      <c r="C156" s="210">
        <v>43754</v>
      </c>
      <c r="D156" s="209">
        <v>68</v>
      </c>
      <c r="E156" s="3" t="s">
        <v>61</v>
      </c>
      <c r="F156" s="143" t="s">
        <v>116</v>
      </c>
      <c r="G156" s="142">
        <v>26.623795745276947</v>
      </c>
      <c r="H156" s="5" t="s">
        <v>64</v>
      </c>
      <c r="I156" s="277" t="s">
        <v>60</v>
      </c>
      <c r="J156" s="260">
        <v>5</v>
      </c>
      <c r="K156" s="260">
        <v>5</v>
      </c>
      <c r="L156" s="260"/>
      <c r="M156" s="260"/>
      <c r="N156" s="260"/>
      <c r="O156" s="260"/>
      <c r="P156" s="260"/>
      <c r="Q156" s="260"/>
      <c r="R156" s="260"/>
      <c r="S156" s="260"/>
      <c r="T156" s="260"/>
      <c r="U156" s="260"/>
      <c r="V156" s="260">
        <v>5</v>
      </c>
      <c r="W156" s="260">
        <v>5</v>
      </c>
      <c r="X156" s="260">
        <v>5</v>
      </c>
      <c r="Y156" s="260">
        <v>20</v>
      </c>
      <c r="Z156" s="260">
        <v>10</v>
      </c>
      <c r="AA156" s="260">
        <v>20</v>
      </c>
      <c r="AB156" s="260">
        <v>10</v>
      </c>
      <c r="AC156" s="260">
        <v>20</v>
      </c>
      <c r="AD156" s="260"/>
      <c r="AE156" s="260"/>
      <c r="AF156" s="260"/>
      <c r="AG156" s="260"/>
      <c r="AH156" s="208">
        <v>314</v>
      </c>
      <c r="AI156" s="272">
        <v>5</v>
      </c>
      <c r="AJ156" s="271">
        <v>5</v>
      </c>
      <c r="AK156" s="260"/>
      <c r="AL156" s="260"/>
      <c r="AM156" s="260"/>
      <c r="AN156" s="260"/>
      <c r="AO156" s="260"/>
      <c r="AP156" s="260"/>
      <c r="AQ156" s="260"/>
      <c r="AR156" s="260"/>
      <c r="AS156" s="260"/>
      <c r="AT156" s="260"/>
      <c r="AU156" s="260">
        <v>20</v>
      </c>
      <c r="AV156" s="271">
        <v>5</v>
      </c>
      <c r="AW156" s="260">
        <v>5</v>
      </c>
      <c r="AX156" s="271">
        <v>5</v>
      </c>
      <c r="AY156" s="260">
        <v>5</v>
      </c>
      <c r="AZ156" s="271">
        <v>20</v>
      </c>
      <c r="BA156" s="276">
        <v>5</v>
      </c>
      <c r="BB156" s="276">
        <v>5</v>
      </c>
      <c r="BC156" s="276"/>
      <c r="BD156" s="276"/>
      <c r="BE156" s="276">
        <v>5</v>
      </c>
      <c r="BF156" s="276">
        <v>5</v>
      </c>
      <c r="BG156" s="260">
        <v>5</v>
      </c>
      <c r="BH156" s="271">
        <v>5</v>
      </c>
      <c r="BI156" s="276"/>
      <c r="BJ156" s="276"/>
      <c r="BK156" s="276"/>
      <c r="BL156" s="275"/>
      <c r="BM156" s="329">
        <v>314</v>
      </c>
      <c r="BN156" s="272">
        <v>40</v>
      </c>
      <c r="BO156" s="270">
        <v>80</v>
      </c>
      <c r="BP156" s="272"/>
      <c r="BQ156" s="260"/>
      <c r="BR156" s="260"/>
      <c r="BS156" s="260"/>
      <c r="BT156" s="260"/>
      <c r="BU156" s="260"/>
      <c r="BV156" s="260">
        <v>5</v>
      </c>
      <c r="BW156" s="260">
        <v>5</v>
      </c>
      <c r="BX156" s="260"/>
      <c r="BY156" s="260"/>
      <c r="BZ156" s="260"/>
      <c r="CA156" s="260"/>
      <c r="CB156" s="260"/>
      <c r="CC156" s="260"/>
      <c r="CD156" s="260">
        <v>10</v>
      </c>
      <c r="CE156" s="260">
        <v>20</v>
      </c>
      <c r="CF156" s="272"/>
      <c r="CG156" s="260"/>
      <c r="CH156" s="260"/>
      <c r="CI156" s="260"/>
      <c r="CJ156" s="260"/>
      <c r="CK156" s="260"/>
      <c r="CL156" s="260"/>
      <c r="CM156" s="260"/>
      <c r="CN156" s="260">
        <v>10</v>
      </c>
      <c r="CO156" s="260">
        <v>20</v>
      </c>
      <c r="CP156" s="260">
        <v>20</v>
      </c>
      <c r="CQ156" s="260">
        <v>40</v>
      </c>
      <c r="CR156" s="260">
        <v>20</v>
      </c>
      <c r="CS156" s="270">
        <v>40</v>
      </c>
      <c r="CT156" s="328">
        <v>314</v>
      </c>
      <c r="CU156" s="249">
        <f>Table2821115[[#This Row],[D28 - BR/18]]/Table2821115[[#This Row],[D0 - BR/18]]</f>
        <v>2</v>
      </c>
      <c r="CV156" s="248">
        <f>Table2821115[[#This Row],[D28 - KS/17]]/Table2821115[[#This Row],[D0 - KS/17]]</f>
        <v>1</v>
      </c>
      <c r="CW156" s="248">
        <f>Table2821115[[#This Row],[D28 - Phu/13]]/Table2821115[[#This Row],[D0 - Phu/13]]</f>
        <v>2</v>
      </c>
      <c r="CX156" s="248">
        <f>Table2821115[[#This Row],[D28 - CO/17]]/Table2821115[[#This Row],[D0 - CO/17]]</f>
        <v>2</v>
      </c>
      <c r="CY156" s="248">
        <f>LOG(Table2821115[[#This Row],[BR/18 Fold]],2)</f>
        <v>1</v>
      </c>
      <c r="CZ156" s="248">
        <f>LOG(Table2821115[[#This Row],[KS/17 Fold]],2)</f>
        <v>0</v>
      </c>
      <c r="DA156" s="248">
        <f>LOG(Table2821115[[#This Row],[Phu/13 Fold]],2)</f>
        <v>1</v>
      </c>
      <c r="DB156" s="248">
        <f>LOG(Table2821115[[#This Row],[CO/17 Fold]],2)</f>
        <v>1</v>
      </c>
      <c r="DC156" s="248">
        <f>SUM(Table2821115[[#This Row],[BR/18 Log2]:[CO/17 Log2]])</f>
        <v>3</v>
      </c>
    </row>
    <row r="157" spans="1:107" ht="24" customHeight="1">
      <c r="A157" s="318">
        <v>315</v>
      </c>
      <c r="B157" s="180">
        <v>24014</v>
      </c>
      <c r="C157" s="180">
        <v>43757</v>
      </c>
      <c r="D157" s="179">
        <v>54</v>
      </c>
      <c r="E157" s="3" t="s">
        <v>61</v>
      </c>
      <c r="F157" s="143" t="s">
        <v>116</v>
      </c>
      <c r="G157" s="142">
        <v>27.529838240826241</v>
      </c>
      <c r="H157" s="11" t="s">
        <v>59</v>
      </c>
      <c r="I157" s="277" t="s">
        <v>60</v>
      </c>
      <c r="J157" s="260">
        <v>40</v>
      </c>
      <c r="K157" s="260">
        <v>40</v>
      </c>
      <c r="L157" s="260"/>
      <c r="M157" s="260"/>
      <c r="N157" s="260"/>
      <c r="O157" s="260"/>
      <c r="P157" s="260"/>
      <c r="Q157" s="260"/>
      <c r="R157" s="260"/>
      <c r="S157" s="260"/>
      <c r="T157" s="260"/>
      <c r="U157" s="260"/>
      <c r="V157" s="260">
        <v>5</v>
      </c>
      <c r="W157" s="260">
        <v>5</v>
      </c>
      <c r="X157" s="260">
        <v>20</v>
      </c>
      <c r="Y157" s="260">
        <v>40</v>
      </c>
      <c r="Z157" s="260">
        <v>5</v>
      </c>
      <c r="AA157" s="260">
        <v>40</v>
      </c>
      <c r="AB157" s="260">
        <v>5</v>
      </c>
      <c r="AC157" s="260">
        <v>20</v>
      </c>
      <c r="AD157" s="260"/>
      <c r="AE157" s="260"/>
      <c r="AF157" s="260"/>
      <c r="AG157" s="260"/>
      <c r="AH157" s="195">
        <v>315</v>
      </c>
      <c r="AI157" s="272">
        <v>5</v>
      </c>
      <c r="AJ157" s="271">
        <v>10</v>
      </c>
      <c r="AK157" s="260"/>
      <c r="AL157" s="260"/>
      <c r="AM157" s="260"/>
      <c r="AN157" s="260"/>
      <c r="AO157" s="260"/>
      <c r="AP157" s="260"/>
      <c r="AQ157" s="260"/>
      <c r="AR157" s="260"/>
      <c r="AS157" s="260"/>
      <c r="AT157" s="260"/>
      <c r="AU157" s="260">
        <v>5</v>
      </c>
      <c r="AV157" s="271">
        <v>20</v>
      </c>
      <c r="AW157" s="260">
        <v>20</v>
      </c>
      <c r="AX157" s="271">
        <v>80</v>
      </c>
      <c r="AY157" s="260">
        <v>5</v>
      </c>
      <c r="AZ157" s="271">
        <v>80</v>
      </c>
      <c r="BA157" s="276">
        <v>5</v>
      </c>
      <c r="BB157" s="276">
        <v>5</v>
      </c>
      <c r="BC157" s="276"/>
      <c r="BD157" s="276"/>
      <c r="BE157" s="276">
        <v>10</v>
      </c>
      <c r="BF157" s="276">
        <v>40</v>
      </c>
      <c r="BG157" s="260">
        <v>5</v>
      </c>
      <c r="BH157" s="271">
        <v>5</v>
      </c>
      <c r="BI157" s="276"/>
      <c r="BJ157" s="276"/>
      <c r="BK157" s="276"/>
      <c r="BL157" s="275"/>
      <c r="BM157" s="316">
        <v>315</v>
      </c>
      <c r="BN157" s="272">
        <v>40</v>
      </c>
      <c r="BO157" s="270">
        <v>80</v>
      </c>
      <c r="BP157" s="272"/>
      <c r="BQ157" s="260"/>
      <c r="BR157" s="260"/>
      <c r="BS157" s="260"/>
      <c r="BT157" s="260"/>
      <c r="BU157" s="260"/>
      <c r="BV157" s="260">
        <v>40</v>
      </c>
      <c r="BW157" s="260">
        <v>80</v>
      </c>
      <c r="BX157" s="260"/>
      <c r="BY157" s="260"/>
      <c r="BZ157" s="260"/>
      <c r="CA157" s="260"/>
      <c r="CB157" s="260"/>
      <c r="CC157" s="260"/>
      <c r="CD157" s="260">
        <v>80</v>
      </c>
      <c r="CE157" s="260">
        <v>80</v>
      </c>
      <c r="CF157" s="272"/>
      <c r="CG157" s="260"/>
      <c r="CH157" s="260"/>
      <c r="CI157" s="260"/>
      <c r="CJ157" s="260"/>
      <c r="CK157" s="260"/>
      <c r="CL157" s="260"/>
      <c r="CM157" s="260"/>
      <c r="CN157" s="260">
        <v>20</v>
      </c>
      <c r="CO157" s="260">
        <v>80</v>
      </c>
      <c r="CP157" s="260">
        <v>80</v>
      </c>
      <c r="CQ157" s="260">
        <v>80</v>
      </c>
      <c r="CR157" s="260">
        <v>40</v>
      </c>
      <c r="CS157" s="270">
        <v>40</v>
      </c>
      <c r="CT157" s="315">
        <v>315</v>
      </c>
      <c r="CU157" s="249">
        <f>Table2821115[[#This Row],[D28 - BR/18]]/Table2821115[[#This Row],[D0 - BR/18]]</f>
        <v>4</v>
      </c>
      <c r="CV157" s="248">
        <f>Table2821115[[#This Row],[D28 - KS/17]]/Table2821115[[#This Row],[D0 - KS/17]]</f>
        <v>4</v>
      </c>
      <c r="CW157" s="248">
        <f>Table2821115[[#This Row],[D28 - Phu/13]]/Table2821115[[#This Row],[D0 - Phu/13]]</f>
        <v>1</v>
      </c>
      <c r="CX157" s="248">
        <f>Table2821115[[#This Row],[D28 - CO/17]]/Table2821115[[#This Row],[D0 - CO/17]]</f>
        <v>1</v>
      </c>
      <c r="CY157" s="248">
        <f>LOG(Table2821115[[#This Row],[BR/18 Fold]],2)</f>
        <v>2</v>
      </c>
      <c r="CZ157" s="248">
        <f>LOG(Table2821115[[#This Row],[KS/17 Fold]],2)</f>
        <v>2</v>
      </c>
      <c r="DA157" s="248">
        <f>LOG(Table2821115[[#This Row],[Phu/13 Fold]],2)</f>
        <v>0</v>
      </c>
      <c r="DB157" s="248">
        <f>LOG(Table2821115[[#This Row],[CO/17 Fold]],2)</f>
        <v>0</v>
      </c>
      <c r="DC157" s="248">
        <f>SUM(Table2821115[[#This Row],[BR/18 Log2]:[CO/17 Log2]])</f>
        <v>4</v>
      </c>
    </row>
    <row r="158" spans="1:107" ht="24" customHeight="1">
      <c r="A158" s="324">
        <v>316</v>
      </c>
      <c r="B158" s="190">
        <v>25746</v>
      </c>
      <c r="C158" s="190">
        <v>43757</v>
      </c>
      <c r="D158" s="189">
        <v>49</v>
      </c>
      <c r="E158" s="4" t="s">
        <v>58</v>
      </c>
      <c r="F158" s="143" t="s">
        <v>116</v>
      </c>
      <c r="G158" s="142">
        <v>29.631620177813716</v>
      </c>
      <c r="H158" s="11" t="s">
        <v>59</v>
      </c>
      <c r="I158" s="277" t="s">
        <v>60</v>
      </c>
      <c r="J158" s="260">
        <v>5</v>
      </c>
      <c r="K158" s="260">
        <v>40</v>
      </c>
      <c r="L158" s="260"/>
      <c r="M158" s="260"/>
      <c r="N158" s="260"/>
      <c r="O158" s="260"/>
      <c r="P158" s="260"/>
      <c r="Q158" s="260"/>
      <c r="R158" s="260"/>
      <c r="S158" s="260"/>
      <c r="T158" s="260"/>
      <c r="U158" s="260"/>
      <c r="V158" s="260">
        <v>5</v>
      </c>
      <c r="W158" s="260">
        <v>5</v>
      </c>
      <c r="X158" s="260">
        <v>20</v>
      </c>
      <c r="Y158" s="260">
        <v>40</v>
      </c>
      <c r="Z158" s="260">
        <v>10</v>
      </c>
      <c r="AA158" s="260">
        <v>10</v>
      </c>
      <c r="AB158" s="260">
        <v>5</v>
      </c>
      <c r="AC158" s="260">
        <v>5</v>
      </c>
      <c r="AD158" s="260"/>
      <c r="AE158" s="260"/>
      <c r="AF158" s="260"/>
      <c r="AG158" s="260"/>
      <c r="AH158" s="198">
        <v>316</v>
      </c>
      <c r="AI158" s="272">
        <v>10</v>
      </c>
      <c r="AJ158" s="271">
        <v>10</v>
      </c>
      <c r="AK158" s="260"/>
      <c r="AL158" s="260"/>
      <c r="AM158" s="260"/>
      <c r="AN158" s="260"/>
      <c r="AO158" s="260"/>
      <c r="AP158" s="260"/>
      <c r="AQ158" s="260"/>
      <c r="AR158" s="260"/>
      <c r="AS158" s="260"/>
      <c r="AT158" s="260"/>
      <c r="AU158" s="260">
        <v>5</v>
      </c>
      <c r="AV158" s="271">
        <v>10</v>
      </c>
      <c r="AW158" s="260">
        <v>20</v>
      </c>
      <c r="AX158" s="271">
        <v>80</v>
      </c>
      <c r="AY158" s="260">
        <v>5</v>
      </c>
      <c r="AZ158" s="271">
        <v>10</v>
      </c>
      <c r="BA158" s="276">
        <v>10</v>
      </c>
      <c r="BB158" s="276">
        <v>20</v>
      </c>
      <c r="BC158" s="276"/>
      <c r="BD158" s="276"/>
      <c r="BE158" s="276">
        <v>5</v>
      </c>
      <c r="BF158" s="276">
        <v>10</v>
      </c>
      <c r="BG158" s="260">
        <v>5</v>
      </c>
      <c r="BH158" s="271">
        <v>5</v>
      </c>
      <c r="BI158" s="276"/>
      <c r="BJ158" s="276"/>
      <c r="BK158" s="276"/>
      <c r="BL158" s="275"/>
      <c r="BM158" s="323">
        <v>316</v>
      </c>
      <c r="BN158" s="272">
        <v>5</v>
      </c>
      <c r="BO158" s="270">
        <v>10</v>
      </c>
      <c r="BP158" s="272"/>
      <c r="BQ158" s="260"/>
      <c r="BR158" s="260"/>
      <c r="BS158" s="260"/>
      <c r="BT158" s="260"/>
      <c r="BU158" s="260"/>
      <c r="BV158" s="260">
        <v>5</v>
      </c>
      <c r="BW158" s="260">
        <v>10</v>
      </c>
      <c r="BX158" s="260"/>
      <c r="BY158" s="260"/>
      <c r="BZ158" s="260"/>
      <c r="CA158" s="260"/>
      <c r="CB158" s="260"/>
      <c r="CC158" s="260"/>
      <c r="CD158" s="260">
        <v>10</v>
      </c>
      <c r="CE158" s="260">
        <v>20</v>
      </c>
      <c r="CF158" s="272"/>
      <c r="CG158" s="260"/>
      <c r="CH158" s="260"/>
      <c r="CI158" s="260"/>
      <c r="CJ158" s="260"/>
      <c r="CK158" s="260"/>
      <c r="CL158" s="260"/>
      <c r="CM158" s="260"/>
      <c r="CN158" s="260">
        <v>5</v>
      </c>
      <c r="CO158" s="260">
        <v>5</v>
      </c>
      <c r="CP158" s="260">
        <v>10</v>
      </c>
      <c r="CQ158" s="260">
        <v>20</v>
      </c>
      <c r="CR158" s="260">
        <v>5</v>
      </c>
      <c r="CS158" s="270">
        <v>10</v>
      </c>
      <c r="CT158" s="322">
        <v>316</v>
      </c>
      <c r="CU158" s="249">
        <f>Table2821115[[#This Row],[D28 - BR/18]]/Table2821115[[#This Row],[D0 - BR/18]]</f>
        <v>1</v>
      </c>
      <c r="CV158" s="248">
        <f>Table2821115[[#This Row],[D28 - KS/17]]/Table2821115[[#This Row],[D0 - KS/17]]</f>
        <v>2</v>
      </c>
      <c r="CW158" s="248">
        <f>Table2821115[[#This Row],[D28 - Phu/13]]/Table2821115[[#This Row],[D0 - Phu/13]]</f>
        <v>2</v>
      </c>
      <c r="CX158" s="248">
        <f>Table2821115[[#This Row],[D28 - CO/17]]/Table2821115[[#This Row],[D0 - CO/17]]</f>
        <v>2</v>
      </c>
      <c r="CY158" s="248">
        <f>LOG(Table2821115[[#This Row],[BR/18 Fold]],2)</f>
        <v>0</v>
      </c>
      <c r="CZ158" s="248">
        <f>LOG(Table2821115[[#This Row],[KS/17 Fold]],2)</f>
        <v>1</v>
      </c>
      <c r="DA158" s="248">
        <f>LOG(Table2821115[[#This Row],[Phu/13 Fold]],2)</f>
        <v>1</v>
      </c>
      <c r="DB158" s="248">
        <f>LOG(Table2821115[[#This Row],[CO/17 Fold]],2)</f>
        <v>1</v>
      </c>
      <c r="DC158" s="248">
        <f>SUM(Table2821115[[#This Row],[BR/18 Log2]:[CO/17 Log2]])</f>
        <v>3</v>
      </c>
    </row>
    <row r="159" spans="1:107" ht="24" customHeight="1">
      <c r="A159" s="318">
        <v>317</v>
      </c>
      <c r="B159" s="180">
        <v>23796</v>
      </c>
      <c r="C159" s="180">
        <v>43753</v>
      </c>
      <c r="D159" s="179">
        <v>54</v>
      </c>
      <c r="E159" s="3" t="s">
        <v>61</v>
      </c>
      <c r="F159" s="143" t="s">
        <v>116</v>
      </c>
      <c r="G159" s="142">
        <v>25.668993778941012</v>
      </c>
      <c r="H159" s="11" t="s">
        <v>59</v>
      </c>
      <c r="I159" s="277" t="s">
        <v>60</v>
      </c>
      <c r="J159" s="260">
        <v>5</v>
      </c>
      <c r="K159" s="260">
        <v>10</v>
      </c>
      <c r="L159" s="260"/>
      <c r="M159" s="260"/>
      <c r="N159" s="260"/>
      <c r="O159" s="260"/>
      <c r="P159" s="260"/>
      <c r="Q159" s="260"/>
      <c r="R159" s="260"/>
      <c r="S159" s="260"/>
      <c r="T159" s="260"/>
      <c r="U159" s="260"/>
      <c r="V159" s="260">
        <v>5</v>
      </c>
      <c r="W159" s="260">
        <v>20</v>
      </c>
      <c r="X159" s="260">
        <v>10</v>
      </c>
      <c r="Y159" s="260">
        <v>40</v>
      </c>
      <c r="Z159" s="260">
        <v>10</v>
      </c>
      <c r="AA159" s="260">
        <v>40</v>
      </c>
      <c r="AB159" s="260">
        <v>10</v>
      </c>
      <c r="AC159" s="260">
        <v>40</v>
      </c>
      <c r="AD159" s="260"/>
      <c r="AE159" s="260"/>
      <c r="AF159" s="260"/>
      <c r="AG159" s="260"/>
      <c r="AH159" s="195">
        <v>317</v>
      </c>
      <c r="AI159" s="272">
        <v>10</v>
      </c>
      <c r="AJ159" s="271">
        <v>20</v>
      </c>
      <c r="AK159" s="260"/>
      <c r="AL159" s="260"/>
      <c r="AM159" s="260"/>
      <c r="AN159" s="260"/>
      <c r="AO159" s="260"/>
      <c r="AP159" s="260"/>
      <c r="AQ159" s="260"/>
      <c r="AR159" s="260"/>
      <c r="AS159" s="260"/>
      <c r="AT159" s="260"/>
      <c r="AU159" s="260">
        <v>10</v>
      </c>
      <c r="AV159" s="271">
        <v>20</v>
      </c>
      <c r="AW159" s="260">
        <v>10</v>
      </c>
      <c r="AX159" s="271">
        <v>20</v>
      </c>
      <c r="AY159" s="260">
        <v>5</v>
      </c>
      <c r="AZ159" s="271">
        <v>320</v>
      </c>
      <c r="BA159" s="276">
        <v>5</v>
      </c>
      <c r="BB159" s="276">
        <v>20</v>
      </c>
      <c r="BC159" s="276"/>
      <c r="BD159" s="276"/>
      <c r="BE159" s="276">
        <v>5</v>
      </c>
      <c r="BF159" s="276">
        <v>20</v>
      </c>
      <c r="BG159" s="260">
        <v>10</v>
      </c>
      <c r="BH159" s="271">
        <v>20</v>
      </c>
      <c r="BI159" s="276"/>
      <c r="BJ159" s="276"/>
      <c r="BK159" s="276"/>
      <c r="BL159" s="275"/>
      <c r="BM159" s="316">
        <v>317</v>
      </c>
      <c r="BN159" s="272">
        <v>5</v>
      </c>
      <c r="BO159" s="270">
        <v>10</v>
      </c>
      <c r="BP159" s="272"/>
      <c r="BQ159" s="260"/>
      <c r="BR159" s="260"/>
      <c r="BS159" s="260"/>
      <c r="BT159" s="260"/>
      <c r="BU159" s="260"/>
      <c r="BV159" s="260">
        <v>5</v>
      </c>
      <c r="BW159" s="260">
        <v>40</v>
      </c>
      <c r="BX159" s="260"/>
      <c r="BY159" s="260"/>
      <c r="BZ159" s="260"/>
      <c r="CA159" s="260"/>
      <c r="CB159" s="260"/>
      <c r="CC159" s="260"/>
      <c r="CD159" s="260">
        <v>5</v>
      </c>
      <c r="CE159" s="260">
        <v>40</v>
      </c>
      <c r="CF159" s="272"/>
      <c r="CG159" s="260"/>
      <c r="CH159" s="260"/>
      <c r="CI159" s="260"/>
      <c r="CJ159" s="260"/>
      <c r="CK159" s="260"/>
      <c r="CL159" s="260"/>
      <c r="CM159" s="260"/>
      <c r="CN159" s="260">
        <v>10</v>
      </c>
      <c r="CO159" s="260">
        <v>40</v>
      </c>
      <c r="CP159" s="260">
        <v>5</v>
      </c>
      <c r="CQ159" s="260">
        <v>40</v>
      </c>
      <c r="CR159" s="260">
        <v>5</v>
      </c>
      <c r="CS159" s="270">
        <v>20</v>
      </c>
      <c r="CT159" s="315">
        <v>317</v>
      </c>
      <c r="CU159" s="249">
        <f>Table2821115[[#This Row],[D28 - BR/18]]/Table2821115[[#This Row],[D0 - BR/18]]</f>
        <v>4</v>
      </c>
      <c r="CV159" s="248">
        <f>Table2821115[[#This Row],[D28 - KS/17]]/Table2821115[[#This Row],[D0 - KS/17]]</f>
        <v>4</v>
      </c>
      <c r="CW159" s="248">
        <f>Table2821115[[#This Row],[D28 - Phu/13]]/Table2821115[[#This Row],[D0 - Phu/13]]</f>
        <v>8</v>
      </c>
      <c r="CX159" s="248">
        <f>Table2821115[[#This Row],[D28 - CO/17]]/Table2821115[[#This Row],[D0 - CO/17]]</f>
        <v>8</v>
      </c>
      <c r="CY159" s="248">
        <f>LOG(Table2821115[[#This Row],[BR/18 Fold]],2)</f>
        <v>2</v>
      </c>
      <c r="CZ159" s="248">
        <f>LOG(Table2821115[[#This Row],[KS/17 Fold]],2)</f>
        <v>2</v>
      </c>
      <c r="DA159" s="248">
        <f>LOG(Table2821115[[#This Row],[Phu/13 Fold]],2)</f>
        <v>3</v>
      </c>
      <c r="DB159" s="248">
        <f>LOG(Table2821115[[#This Row],[CO/17 Fold]],2)</f>
        <v>3</v>
      </c>
      <c r="DC159" s="248">
        <f>SUM(Table2821115[[#This Row],[BR/18 Log2]:[CO/17 Log2]])</f>
        <v>10</v>
      </c>
    </row>
    <row r="160" spans="1:107" ht="24" customHeight="1">
      <c r="A160" s="318">
        <v>318</v>
      </c>
      <c r="B160" s="180">
        <v>23614</v>
      </c>
      <c r="C160" s="180">
        <v>43755</v>
      </c>
      <c r="D160" s="179">
        <v>55</v>
      </c>
      <c r="E160" s="4" t="s">
        <v>58</v>
      </c>
      <c r="F160" s="143" t="s">
        <v>116</v>
      </c>
      <c r="G160" s="142">
        <v>24.769616583656692</v>
      </c>
      <c r="H160" s="11" t="s">
        <v>59</v>
      </c>
      <c r="I160" s="277" t="s">
        <v>62</v>
      </c>
      <c r="J160" s="260">
        <v>5</v>
      </c>
      <c r="K160" s="260">
        <v>10</v>
      </c>
      <c r="L160" s="260"/>
      <c r="M160" s="260"/>
      <c r="N160" s="260"/>
      <c r="O160" s="260"/>
      <c r="P160" s="260"/>
      <c r="Q160" s="260"/>
      <c r="R160" s="260"/>
      <c r="S160" s="260"/>
      <c r="T160" s="260"/>
      <c r="U160" s="260"/>
      <c r="V160" s="260">
        <v>5</v>
      </c>
      <c r="W160" s="260">
        <v>5</v>
      </c>
      <c r="X160" s="260">
        <v>5</v>
      </c>
      <c r="Y160" s="260">
        <v>160</v>
      </c>
      <c r="Z160" s="260">
        <v>5</v>
      </c>
      <c r="AA160" s="260">
        <v>160</v>
      </c>
      <c r="AB160" s="260">
        <v>5</v>
      </c>
      <c r="AC160" s="260">
        <v>80</v>
      </c>
      <c r="AD160" s="260"/>
      <c r="AE160" s="260"/>
      <c r="AF160" s="260"/>
      <c r="AG160" s="260"/>
      <c r="AH160" s="195">
        <v>318</v>
      </c>
      <c r="AI160" s="272">
        <v>5</v>
      </c>
      <c r="AJ160" s="271">
        <v>20</v>
      </c>
      <c r="AK160" s="260"/>
      <c r="AL160" s="260"/>
      <c r="AM160" s="260"/>
      <c r="AN160" s="260"/>
      <c r="AO160" s="260"/>
      <c r="AP160" s="260"/>
      <c r="AQ160" s="260"/>
      <c r="AR160" s="260"/>
      <c r="AS160" s="260"/>
      <c r="AT160" s="260"/>
      <c r="AU160" s="260">
        <v>5</v>
      </c>
      <c r="AV160" s="271">
        <v>10</v>
      </c>
      <c r="AW160" s="260">
        <v>5</v>
      </c>
      <c r="AX160" s="271">
        <v>10</v>
      </c>
      <c r="AY160" s="260">
        <v>5</v>
      </c>
      <c r="AZ160" s="271">
        <v>80</v>
      </c>
      <c r="BA160" s="276">
        <v>5</v>
      </c>
      <c r="BB160" s="276">
        <v>5</v>
      </c>
      <c r="BC160" s="276"/>
      <c r="BD160" s="276"/>
      <c r="BE160" s="276">
        <v>5</v>
      </c>
      <c r="BF160" s="276">
        <v>5</v>
      </c>
      <c r="BG160" s="260">
        <v>5</v>
      </c>
      <c r="BH160" s="271">
        <v>10</v>
      </c>
      <c r="BI160" s="276"/>
      <c r="BJ160" s="276"/>
      <c r="BK160" s="276"/>
      <c r="BL160" s="275"/>
      <c r="BM160" s="316">
        <v>318</v>
      </c>
      <c r="BN160" s="272">
        <v>5</v>
      </c>
      <c r="BO160" s="270">
        <v>20</v>
      </c>
      <c r="BP160" s="272"/>
      <c r="BQ160" s="260"/>
      <c r="BR160" s="260"/>
      <c r="BS160" s="260"/>
      <c r="BT160" s="260"/>
      <c r="BU160" s="260"/>
      <c r="BV160" s="260">
        <v>5</v>
      </c>
      <c r="BW160" s="260">
        <v>20</v>
      </c>
      <c r="BX160" s="260"/>
      <c r="BY160" s="260"/>
      <c r="BZ160" s="260"/>
      <c r="CA160" s="260"/>
      <c r="CB160" s="260"/>
      <c r="CC160" s="260"/>
      <c r="CD160" s="260">
        <v>5</v>
      </c>
      <c r="CE160" s="260">
        <v>80</v>
      </c>
      <c r="CF160" s="272"/>
      <c r="CG160" s="260"/>
      <c r="CH160" s="260"/>
      <c r="CI160" s="260"/>
      <c r="CJ160" s="260"/>
      <c r="CK160" s="260"/>
      <c r="CL160" s="260"/>
      <c r="CM160" s="260"/>
      <c r="CN160" s="260">
        <v>5</v>
      </c>
      <c r="CO160" s="260">
        <v>40</v>
      </c>
      <c r="CP160" s="260">
        <v>5</v>
      </c>
      <c r="CQ160" s="260">
        <v>80</v>
      </c>
      <c r="CR160" s="260">
        <v>5</v>
      </c>
      <c r="CS160" s="270">
        <v>80</v>
      </c>
      <c r="CT160" s="315">
        <v>318</v>
      </c>
      <c r="CU160" s="249">
        <f>Table2821115[[#This Row],[D28 - BR/18]]/Table2821115[[#This Row],[D0 - BR/18]]</f>
        <v>16</v>
      </c>
      <c r="CV160" s="248">
        <f>Table2821115[[#This Row],[D28 - KS/17]]/Table2821115[[#This Row],[D0 - KS/17]]</f>
        <v>1</v>
      </c>
      <c r="CW160" s="248">
        <f>Table2821115[[#This Row],[D28 - Phu/13]]/Table2821115[[#This Row],[D0 - Phu/13]]</f>
        <v>16</v>
      </c>
      <c r="CX160" s="248">
        <f>Table2821115[[#This Row],[D28 - CO/17]]/Table2821115[[#This Row],[D0 - CO/17]]</f>
        <v>16</v>
      </c>
      <c r="CY160" s="248">
        <f>LOG(Table2821115[[#This Row],[BR/18 Fold]],2)</f>
        <v>4</v>
      </c>
      <c r="CZ160" s="248">
        <f>LOG(Table2821115[[#This Row],[KS/17 Fold]],2)</f>
        <v>0</v>
      </c>
      <c r="DA160" s="248">
        <f>LOG(Table2821115[[#This Row],[Phu/13 Fold]],2)</f>
        <v>4</v>
      </c>
      <c r="DB160" s="248">
        <f>LOG(Table2821115[[#This Row],[CO/17 Fold]],2)</f>
        <v>4</v>
      </c>
      <c r="DC160" s="248">
        <f>SUM(Table2821115[[#This Row],[BR/18 Log2]:[CO/17 Log2]])</f>
        <v>12</v>
      </c>
    </row>
    <row r="161" spans="1:107" ht="24" customHeight="1">
      <c r="A161" s="330">
        <v>319</v>
      </c>
      <c r="B161" s="210">
        <v>18830</v>
      </c>
      <c r="C161" s="210">
        <v>43761</v>
      </c>
      <c r="D161" s="209">
        <v>68</v>
      </c>
      <c r="E161" s="3" t="s">
        <v>61</v>
      </c>
      <c r="F161" s="143" t="s">
        <v>116</v>
      </c>
      <c r="G161" s="142">
        <v>31.149685618730423</v>
      </c>
      <c r="H161" s="5" t="s">
        <v>64</v>
      </c>
      <c r="I161" s="277" t="s">
        <v>60</v>
      </c>
      <c r="J161" s="260">
        <v>5</v>
      </c>
      <c r="K161" s="260">
        <v>5</v>
      </c>
      <c r="L161" s="260"/>
      <c r="M161" s="260"/>
      <c r="N161" s="260"/>
      <c r="O161" s="260"/>
      <c r="P161" s="260"/>
      <c r="Q161" s="260"/>
      <c r="R161" s="260"/>
      <c r="S161" s="260"/>
      <c r="T161" s="260"/>
      <c r="U161" s="260"/>
      <c r="V161" s="260">
        <v>5</v>
      </c>
      <c r="W161" s="260">
        <v>5</v>
      </c>
      <c r="X161" s="260">
        <v>5</v>
      </c>
      <c r="Y161" s="260">
        <v>80</v>
      </c>
      <c r="Z161" s="260">
        <v>20</v>
      </c>
      <c r="AA161" s="260">
        <v>80</v>
      </c>
      <c r="AB161" s="260">
        <v>10</v>
      </c>
      <c r="AC161" s="260">
        <v>80</v>
      </c>
      <c r="AD161" s="260"/>
      <c r="AE161" s="260"/>
      <c r="AF161" s="260"/>
      <c r="AG161" s="260"/>
      <c r="AH161" s="208">
        <v>319</v>
      </c>
      <c r="AI161" s="272">
        <v>5</v>
      </c>
      <c r="AJ161" s="271">
        <v>10</v>
      </c>
      <c r="AK161" s="260"/>
      <c r="AL161" s="260"/>
      <c r="AM161" s="260"/>
      <c r="AN161" s="260"/>
      <c r="AO161" s="260"/>
      <c r="AP161" s="260"/>
      <c r="AQ161" s="260"/>
      <c r="AR161" s="260"/>
      <c r="AS161" s="260"/>
      <c r="AT161" s="260"/>
      <c r="AU161" s="260">
        <v>80</v>
      </c>
      <c r="AV161" s="271">
        <v>320</v>
      </c>
      <c r="AW161" s="260">
        <v>40</v>
      </c>
      <c r="AX161" s="271">
        <v>320</v>
      </c>
      <c r="AY161" s="260">
        <v>5</v>
      </c>
      <c r="AZ161" s="271">
        <v>160</v>
      </c>
      <c r="BA161" s="276">
        <v>40</v>
      </c>
      <c r="BB161" s="276">
        <v>320</v>
      </c>
      <c r="BC161" s="276"/>
      <c r="BD161" s="276"/>
      <c r="BE161" s="276">
        <v>5</v>
      </c>
      <c r="BF161" s="276">
        <v>160</v>
      </c>
      <c r="BG161" s="260">
        <v>40</v>
      </c>
      <c r="BH161" s="271">
        <v>160</v>
      </c>
      <c r="BI161" s="276"/>
      <c r="BJ161" s="276"/>
      <c r="BK161" s="276"/>
      <c r="BL161" s="275"/>
      <c r="BM161" s="329">
        <v>319</v>
      </c>
      <c r="BN161" s="272">
        <v>10</v>
      </c>
      <c r="BO161" s="270">
        <v>40</v>
      </c>
      <c r="BP161" s="272"/>
      <c r="BQ161" s="260"/>
      <c r="BR161" s="260"/>
      <c r="BS161" s="260"/>
      <c r="BT161" s="260"/>
      <c r="BU161" s="260"/>
      <c r="BV161" s="260">
        <v>5</v>
      </c>
      <c r="BW161" s="260">
        <v>10</v>
      </c>
      <c r="BX161" s="260"/>
      <c r="BY161" s="260"/>
      <c r="BZ161" s="260"/>
      <c r="CA161" s="260"/>
      <c r="CB161" s="260"/>
      <c r="CC161" s="260"/>
      <c r="CD161" s="260">
        <v>10</v>
      </c>
      <c r="CE161" s="260">
        <v>40</v>
      </c>
      <c r="CF161" s="272"/>
      <c r="CG161" s="260"/>
      <c r="CH161" s="260"/>
      <c r="CI161" s="260"/>
      <c r="CJ161" s="260"/>
      <c r="CK161" s="260"/>
      <c r="CL161" s="260"/>
      <c r="CM161" s="260"/>
      <c r="CN161" s="260">
        <v>5</v>
      </c>
      <c r="CO161" s="260">
        <v>40</v>
      </c>
      <c r="CP161" s="260">
        <v>10</v>
      </c>
      <c r="CQ161" s="260">
        <v>80</v>
      </c>
      <c r="CR161" s="260">
        <v>5</v>
      </c>
      <c r="CS161" s="270">
        <v>40</v>
      </c>
      <c r="CT161" s="328">
        <v>319</v>
      </c>
      <c r="CU161" s="249">
        <f>Table2821115[[#This Row],[D28 - BR/18]]/Table2821115[[#This Row],[D0 - BR/18]]</f>
        <v>8</v>
      </c>
      <c r="CV161" s="248">
        <f>Table2821115[[#This Row],[D28 - KS/17]]/Table2821115[[#This Row],[D0 - KS/17]]</f>
        <v>32</v>
      </c>
      <c r="CW161" s="248">
        <f>Table2821115[[#This Row],[D28 - Phu/13]]/Table2821115[[#This Row],[D0 - Phu/13]]</f>
        <v>4</v>
      </c>
      <c r="CX161" s="248">
        <f>Table2821115[[#This Row],[D28 - CO/17]]/Table2821115[[#This Row],[D0 - CO/17]]</f>
        <v>8</v>
      </c>
      <c r="CY161" s="248">
        <f>LOG(Table2821115[[#This Row],[BR/18 Fold]],2)</f>
        <v>3</v>
      </c>
      <c r="CZ161" s="248">
        <f>LOG(Table2821115[[#This Row],[KS/17 Fold]],2)</f>
        <v>5</v>
      </c>
      <c r="DA161" s="248">
        <f>LOG(Table2821115[[#This Row],[Phu/13 Fold]],2)</f>
        <v>2</v>
      </c>
      <c r="DB161" s="248">
        <f>LOG(Table2821115[[#This Row],[CO/17 Fold]],2)</f>
        <v>3</v>
      </c>
      <c r="DC161" s="248">
        <f>SUM(Table2821115[[#This Row],[BR/18 Log2]:[CO/17 Log2]])</f>
        <v>13</v>
      </c>
    </row>
    <row r="162" spans="1:107" ht="24" customHeight="1">
      <c r="A162" s="330">
        <v>320</v>
      </c>
      <c r="B162" s="210">
        <v>18364</v>
      </c>
      <c r="C162" s="210">
        <v>43760</v>
      </c>
      <c r="D162" s="209">
        <v>69</v>
      </c>
      <c r="E162" s="3" t="s">
        <v>61</v>
      </c>
      <c r="F162" s="143" t="s">
        <v>116</v>
      </c>
      <c r="G162" s="142">
        <v>25.886346977354265</v>
      </c>
      <c r="H162" s="5" t="s">
        <v>64</v>
      </c>
      <c r="I162" s="277" t="s">
        <v>60</v>
      </c>
      <c r="J162" s="260">
        <v>5</v>
      </c>
      <c r="K162" s="260">
        <v>5</v>
      </c>
      <c r="L162" s="260"/>
      <c r="M162" s="260"/>
      <c r="N162" s="260"/>
      <c r="O162" s="260"/>
      <c r="P162" s="260"/>
      <c r="Q162" s="260"/>
      <c r="R162" s="260"/>
      <c r="S162" s="260"/>
      <c r="T162" s="260"/>
      <c r="U162" s="260"/>
      <c r="V162" s="260">
        <v>5</v>
      </c>
      <c r="W162" s="260">
        <v>5</v>
      </c>
      <c r="X162" s="260">
        <v>5</v>
      </c>
      <c r="Y162" s="260">
        <v>40</v>
      </c>
      <c r="Z162" s="260">
        <v>5</v>
      </c>
      <c r="AA162" s="260">
        <v>20</v>
      </c>
      <c r="AB162" s="260">
        <v>5</v>
      </c>
      <c r="AC162" s="260">
        <v>20</v>
      </c>
      <c r="AD162" s="260"/>
      <c r="AE162" s="260"/>
      <c r="AF162" s="260"/>
      <c r="AG162" s="260"/>
      <c r="AH162" s="208">
        <v>320</v>
      </c>
      <c r="AI162" s="272">
        <v>5</v>
      </c>
      <c r="AJ162" s="271">
        <v>5</v>
      </c>
      <c r="AK162" s="260"/>
      <c r="AL162" s="260"/>
      <c r="AM162" s="260"/>
      <c r="AN162" s="260"/>
      <c r="AO162" s="260"/>
      <c r="AP162" s="260"/>
      <c r="AQ162" s="260"/>
      <c r="AR162" s="260"/>
      <c r="AS162" s="260"/>
      <c r="AT162" s="260"/>
      <c r="AU162" s="260">
        <v>10</v>
      </c>
      <c r="AV162" s="271">
        <v>20</v>
      </c>
      <c r="AW162" s="260">
        <v>5</v>
      </c>
      <c r="AX162" s="271">
        <v>20</v>
      </c>
      <c r="AY162" s="260">
        <v>10</v>
      </c>
      <c r="AZ162" s="271">
        <v>40</v>
      </c>
      <c r="BA162" s="276">
        <v>10</v>
      </c>
      <c r="BB162" s="276">
        <v>20</v>
      </c>
      <c r="BC162" s="276"/>
      <c r="BD162" s="276"/>
      <c r="BE162" s="276">
        <v>5</v>
      </c>
      <c r="BF162" s="276">
        <v>5</v>
      </c>
      <c r="BG162" s="260">
        <v>10</v>
      </c>
      <c r="BH162" s="271">
        <v>10</v>
      </c>
      <c r="BI162" s="276"/>
      <c r="BJ162" s="276"/>
      <c r="BK162" s="276"/>
      <c r="BL162" s="275"/>
      <c r="BM162" s="329">
        <v>320</v>
      </c>
      <c r="BN162" s="272">
        <v>40</v>
      </c>
      <c r="BO162" s="270">
        <v>80</v>
      </c>
      <c r="BP162" s="272"/>
      <c r="BQ162" s="260"/>
      <c r="BR162" s="260"/>
      <c r="BS162" s="260"/>
      <c r="BT162" s="260"/>
      <c r="BU162" s="260"/>
      <c r="BV162" s="260">
        <v>20</v>
      </c>
      <c r="BW162" s="260">
        <v>40</v>
      </c>
      <c r="BX162" s="260"/>
      <c r="BY162" s="260"/>
      <c r="BZ162" s="260"/>
      <c r="CA162" s="260"/>
      <c r="CB162" s="260"/>
      <c r="CC162" s="260"/>
      <c r="CD162" s="260">
        <v>20</v>
      </c>
      <c r="CE162" s="260">
        <v>40</v>
      </c>
      <c r="CF162" s="272"/>
      <c r="CG162" s="260"/>
      <c r="CH162" s="260"/>
      <c r="CI162" s="260"/>
      <c r="CJ162" s="260"/>
      <c r="CK162" s="260"/>
      <c r="CL162" s="260"/>
      <c r="CM162" s="260"/>
      <c r="CN162" s="260">
        <v>5</v>
      </c>
      <c r="CO162" s="260">
        <v>10</v>
      </c>
      <c r="CP162" s="260">
        <v>10</v>
      </c>
      <c r="CQ162" s="260">
        <v>40</v>
      </c>
      <c r="CR162" s="260">
        <v>5</v>
      </c>
      <c r="CS162" s="270">
        <v>10</v>
      </c>
      <c r="CT162" s="328">
        <v>320</v>
      </c>
      <c r="CU162" s="249">
        <f>Table2821115[[#This Row],[D28 - BR/18]]/Table2821115[[#This Row],[D0 - BR/18]]</f>
        <v>4</v>
      </c>
      <c r="CV162" s="248">
        <f>Table2821115[[#This Row],[D28 - KS/17]]/Table2821115[[#This Row],[D0 - KS/17]]</f>
        <v>1</v>
      </c>
      <c r="CW162" s="248">
        <f>Table2821115[[#This Row],[D28 - Phu/13]]/Table2821115[[#This Row],[D0 - Phu/13]]</f>
        <v>2</v>
      </c>
      <c r="CX162" s="248">
        <f>Table2821115[[#This Row],[D28 - CO/17]]/Table2821115[[#This Row],[D0 - CO/17]]</f>
        <v>4</v>
      </c>
      <c r="CY162" s="248">
        <f>LOG(Table2821115[[#This Row],[BR/18 Fold]],2)</f>
        <v>2</v>
      </c>
      <c r="CZ162" s="248">
        <f>LOG(Table2821115[[#This Row],[KS/17 Fold]],2)</f>
        <v>0</v>
      </c>
      <c r="DA162" s="248">
        <f>LOG(Table2821115[[#This Row],[Phu/13 Fold]],2)</f>
        <v>1</v>
      </c>
      <c r="DB162" s="248">
        <f>LOG(Table2821115[[#This Row],[CO/17 Fold]],2)</f>
        <v>2</v>
      </c>
      <c r="DC162" s="248">
        <f>SUM(Table2821115[[#This Row],[BR/18 Log2]:[CO/17 Log2]])</f>
        <v>5</v>
      </c>
    </row>
    <row r="163" spans="1:107" ht="24" customHeight="1">
      <c r="A163" s="318">
        <v>321</v>
      </c>
      <c r="B163" s="180">
        <v>25169</v>
      </c>
      <c r="C163" s="180">
        <v>43748</v>
      </c>
      <c r="D163" s="179">
        <v>50</v>
      </c>
      <c r="E163" s="3" t="s">
        <v>61</v>
      </c>
      <c r="F163" s="143" t="s">
        <v>124</v>
      </c>
      <c r="G163" s="142">
        <v>25.656844244447672</v>
      </c>
      <c r="H163" s="11" t="s">
        <v>59</v>
      </c>
      <c r="I163" s="277" t="s">
        <v>60</v>
      </c>
      <c r="J163" s="260">
        <v>5</v>
      </c>
      <c r="K163" s="260">
        <v>5</v>
      </c>
      <c r="L163" s="260"/>
      <c r="M163" s="260"/>
      <c r="N163" s="260"/>
      <c r="O163" s="260"/>
      <c r="P163" s="260"/>
      <c r="Q163" s="260"/>
      <c r="R163" s="260"/>
      <c r="S163" s="260"/>
      <c r="T163" s="260"/>
      <c r="U163" s="260"/>
      <c r="V163" s="260">
        <v>5</v>
      </c>
      <c r="W163" s="260">
        <v>5</v>
      </c>
      <c r="X163" s="260">
        <v>10</v>
      </c>
      <c r="Y163" s="260">
        <v>10</v>
      </c>
      <c r="Z163" s="260">
        <v>10</v>
      </c>
      <c r="AA163" s="260">
        <v>20</v>
      </c>
      <c r="AB163" s="260">
        <v>10</v>
      </c>
      <c r="AC163" s="260">
        <v>10</v>
      </c>
      <c r="AD163" s="260"/>
      <c r="AE163" s="260"/>
      <c r="AF163" s="260"/>
      <c r="AG163" s="260"/>
      <c r="AH163" s="195">
        <v>321</v>
      </c>
      <c r="AI163" s="272">
        <v>5</v>
      </c>
      <c r="AJ163" s="271">
        <v>10</v>
      </c>
      <c r="AK163" s="260"/>
      <c r="AL163" s="260"/>
      <c r="AM163" s="260"/>
      <c r="AN163" s="260"/>
      <c r="AO163" s="260"/>
      <c r="AP163" s="260"/>
      <c r="AQ163" s="260"/>
      <c r="AR163" s="260"/>
      <c r="AS163" s="260"/>
      <c r="AT163" s="260"/>
      <c r="AU163" s="260">
        <v>20</v>
      </c>
      <c r="AV163" s="271">
        <v>20</v>
      </c>
      <c r="AW163" s="260">
        <v>10</v>
      </c>
      <c r="AX163" s="271">
        <v>40</v>
      </c>
      <c r="AY163" s="260">
        <v>10</v>
      </c>
      <c r="AZ163" s="271">
        <v>5</v>
      </c>
      <c r="BA163" s="276">
        <v>10</v>
      </c>
      <c r="BB163" s="276">
        <v>20</v>
      </c>
      <c r="BC163" s="276"/>
      <c r="BD163" s="276"/>
      <c r="BE163" s="276">
        <v>5</v>
      </c>
      <c r="BF163" s="276">
        <v>20</v>
      </c>
      <c r="BG163" s="260">
        <v>10</v>
      </c>
      <c r="BH163" s="271">
        <v>40</v>
      </c>
      <c r="BI163" s="276"/>
      <c r="BJ163" s="276"/>
      <c r="BK163" s="276"/>
      <c r="BL163" s="275"/>
      <c r="BM163" s="316">
        <v>321</v>
      </c>
      <c r="BN163" s="272">
        <v>5</v>
      </c>
      <c r="BO163" s="270">
        <v>20</v>
      </c>
      <c r="BP163" s="272"/>
      <c r="BQ163" s="260"/>
      <c r="BR163" s="260"/>
      <c r="BS163" s="260"/>
      <c r="BT163" s="260"/>
      <c r="BU163" s="260"/>
      <c r="BV163" s="260">
        <v>5</v>
      </c>
      <c r="BW163" s="260">
        <v>40</v>
      </c>
      <c r="BX163" s="260"/>
      <c r="BY163" s="260"/>
      <c r="BZ163" s="260"/>
      <c r="CA163" s="260"/>
      <c r="CB163" s="260"/>
      <c r="CC163" s="260"/>
      <c r="CD163" s="260">
        <v>10</v>
      </c>
      <c r="CE163" s="260">
        <v>40</v>
      </c>
      <c r="CF163" s="272"/>
      <c r="CG163" s="260"/>
      <c r="CH163" s="260"/>
      <c r="CI163" s="260"/>
      <c r="CJ163" s="260"/>
      <c r="CK163" s="260"/>
      <c r="CL163" s="260"/>
      <c r="CM163" s="260"/>
      <c r="CN163" s="260">
        <v>5</v>
      </c>
      <c r="CO163" s="260">
        <v>10</v>
      </c>
      <c r="CP163" s="260">
        <v>5</v>
      </c>
      <c r="CQ163" s="260">
        <v>20</v>
      </c>
      <c r="CR163" s="260">
        <v>5</v>
      </c>
      <c r="CS163" s="270">
        <v>20</v>
      </c>
      <c r="CT163" s="315">
        <v>321</v>
      </c>
      <c r="CU163" s="249">
        <f>Table2821115[[#This Row],[D28 - BR/18]]/Table2821115[[#This Row],[D0 - BR/18]]</f>
        <v>1</v>
      </c>
      <c r="CV163" s="248">
        <f>Table2821115[[#This Row],[D28 - KS/17]]/Table2821115[[#This Row],[D0 - KS/17]]</f>
        <v>4</v>
      </c>
      <c r="CW163" s="248">
        <f>Table2821115[[#This Row],[D28 - Phu/13]]/Table2821115[[#This Row],[D0 - Phu/13]]</f>
        <v>4</v>
      </c>
      <c r="CX163" s="248">
        <f>Table2821115[[#This Row],[D28 - CO/17]]/Table2821115[[#This Row],[D0 - CO/17]]</f>
        <v>4</v>
      </c>
      <c r="CY163" s="248">
        <f>LOG(Table2821115[[#This Row],[BR/18 Fold]],2)</f>
        <v>0</v>
      </c>
      <c r="CZ163" s="248">
        <f>LOG(Table2821115[[#This Row],[KS/17 Fold]],2)</f>
        <v>2</v>
      </c>
      <c r="DA163" s="248">
        <f>LOG(Table2821115[[#This Row],[Phu/13 Fold]],2)</f>
        <v>2</v>
      </c>
      <c r="DB163" s="248">
        <f>LOG(Table2821115[[#This Row],[CO/17 Fold]],2)</f>
        <v>2</v>
      </c>
      <c r="DC163" s="248">
        <f>SUM(Table2821115[[#This Row],[BR/18 Log2]:[CO/17 Log2]])</f>
        <v>6</v>
      </c>
    </row>
    <row r="164" spans="1:107" ht="24" customHeight="1">
      <c r="A164" s="324">
        <v>322</v>
      </c>
      <c r="B164" s="190">
        <v>27786</v>
      </c>
      <c r="C164" s="190">
        <v>43755</v>
      </c>
      <c r="D164" s="189">
        <v>43</v>
      </c>
      <c r="E164" s="3" t="s">
        <v>61</v>
      </c>
      <c r="F164" s="143" t="s">
        <v>116</v>
      </c>
      <c r="G164" s="142">
        <v>48.742449735274668</v>
      </c>
      <c r="H164" s="11" t="s">
        <v>59</v>
      </c>
      <c r="I164" s="277" t="s">
        <v>60</v>
      </c>
      <c r="J164" s="260">
        <v>5</v>
      </c>
      <c r="K164" s="260">
        <v>10</v>
      </c>
      <c r="L164" s="260"/>
      <c r="M164" s="260"/>
      <c r="N164" s="260"/>
      <c r="O164" s="260"/>
      <c r="P164" s="260"/>
      <c r="Q164" s="260"/>
      <c r="R164" s="260"/>
      <c r="S164" s="260"/>
      <c r="T164" s="260"/>
      <c r="U164" s="260"/>
      <c r="V164" s="260">
        <v>5</v>
      </c>
      <c r="W164" s="260">
        <v>5</v>
      </c>
      <c r="X164" s="260">
        <v>10</v>
      </c>
      <c r="Y164" s="260">
        <v>40</v>
      </c>
      <c r="Z164" s="260">
        <v>20</v>
      </c>
      <c r="AA164" s="260">
        <v>40</v>
      </c>
      <c r="AB164" s="260">
        <v>5</v>
      </c>
      <c r="AC164" s="260">
        <v>20</v>
      </c>
      <c r="AD164" s="260"/>
      <c r="AE164" s="260"/>
      <c r="AF164" s="260"/>
      <c r="AG164" s="260"/>
      <c r="AH164" s="198">
        <v>322</v>
      </c>
      <c r="AI164" s="272">
        <v>20</v>
      </c>
      <c r="AJ164" s="271">
        <v>20</v>
      </c>
      <c r="AK164" s="260"/>
      <c r="AL164" s="260"/>
      <c r="AM164" s="260"/>
      <c r="AN164" s="260"/>
      <c r="AO164" s="260"/>
      <c r="AP164" s="260"/>
      <c r="AQ164" s="260"/>
      <c r="AR164" s="260"/>
      <c r="AS164" s="260"/>
      <c r="AT164" s="260"/>
      <c r="AU164" s="260">
        <v>40</v>
      </c>
      <c r="AV164" s="271">
        <v>40</v>
      </c>
      <c r="AW164" s="260">
        <v>40</v>
      </c>
      <c r="AX164" s="271">
        <v>80</v>
      </c>
      <c r="AY164" s="260">
        <v>20</v>
      </c>
      <c r="AZ164" s="271">
        <v>5</v>
      </c>
      <c r="BA164" s="276">
        <v>20</v>
      </c>
      <c r="BB164" s="276">
        <v>40</v>
      </c>
      <c r="BC164" s="276"/>
      <c r="BD164" s="276"/>
      <c r="BE164" s="276">
        <v>10</v>
      </c>
      <c r="BF164" s="276">
        <v>20</v>
      </c>
      <c r="BG164" s="260">
        <v>40</v>
      </c>
      <c r="BH164" s="271">
        <v>40</v>
      </c>
      <c r="BI164" s="276"/>
      <c r="BJ164" s="276"/>
      <c r="BK164" s="276"/>
      <c r="BL164" s="275"/>
      <c r="BM164" s="323">
        <v>322</v>
      </c>
      <c r="BN164" s="272">
        <v>80</v>
      </c>
      <c r="BO164" s="270">
        <v>160</v>
      </c>
      <c r="BP164" s="272"/>
      <c r="BQ164" s="260"/>
      <c r="BR164" s="260"/>
      <c r="BS164" s="260"/>
      <c r="BT164" s="260"/>
      <c r="BU164" s="260"/>
      <c r="BV164" s="260">
        <v>40</v>
      </c>
      <c r="BW164" s="260">
        <v>80</v>
      </c>
      <c r="BX164" s="260"/>
      <c r="BY164" s="260"/>
      <c r="BZ164" s="260"/>
      <c r="CA164" s="260"/>
      <c r="CB164" s="260"/>
      <c r="CC164" s="260"/>
      <c r="CD164" s="260">
        <v>160</v>
      </c>
      <c r="CE164" s="260">
        <v>160</v>
      </c>
      <c r="CF164" s="272"/>
      <c r="CG164" s="260"/>
      <c r="CH164" s="260"/>
      <c r="CI164" s="260"/>
      <c r="CJ164" s="260"/>
      <c r="CK164" s="260"/>
      <c r="CL164" s="260"/>
      <c r="CM164" s="260"/>
      <c r="CN164" s="260">
        <v>80</v>
      </c>
      <c r="CO164" s="260">
        <v>160</v>
      </c>
      <c r="CP164" s="260">
        <v>160</v>
      </c>
      <c r="CQ164" s="260">
        <v>320</v>
      </c>
      <c r="CR164" s="260">
        <v>80</v>
      </c>
      <c r="CS164" s="270">
        <v>160</v>
      </c>
      <c r="CT164" s="322">
        <v>322</v>
      </c>
      <c r="CU164" s="249">
        <f>Table2821115[[#This Row],[D28 - BR/18]]/Table2821115[[#This Row],[D0 - BR/18]]</f>
        <v>4</v>
      </c>
      <c r="CV164" s="248">
        <f>Table2821115[[#This Row],[D28 - KS/17]]/Table2821115[[#This Row],[D0 - KS/17]]</f>
        <v>2</v>
      </c>
      <c r="CW164" s="248">
        <f>Table2821115[[#This Row],[D28 - Phu/13]]/Table2821115[[#This Row],[D0 - Phu/13]]</f>
        <v>1</v>
      </c>
      <c r="CX164" s="248">
        <f>Table2821115[[#This Row],[D28 - CO/17]]/Table2821115[[#This Row],[D0 - CO/17]]</f>
        <v>2</v>
      </c>
      <c r="CY164" s="248">
        <f>LOG(Table2821115[[#This Row],[BR/18 Fold]],2)</f>
        <v>2</v>
      </c>
      <c r="CZ164" s="248">
        <f>LOG(Table2821115[[#This Row],[KS/17 Fold]],2)</f>
        <v>1</v>
      </c>
      <c r="DA164" s="248">
        <f>LOG(Table2821115[[#This Row],[Phu/13 Fold]],2)</f>
        <v>0</v>
      </c>
      <c r="DB164" s="248">
        <f>LOG(Table2821115[[#This Row],[CO/17 Fold]],2)</f>
        <v>1</v>
      </c>
      <c r="DC164" s="248">
        <f>SUM(Table2821115[[#This Row],[BR/18 Log2]:[CO/17 Log2]])</f>
        <v>4</v>
      </c>
    </row>
    <row r="165" spans="1:107" ht="24" customHeight="1">
      <c r="A165" s="330">
        <v>323</v>
      </c>
      <c r="B165" s="210">
        <v>19828</v>
      </c>
      <c r="C165" s="210">
        <v>43767</v>
      </c>
      <c r="D165" s="209">
        <v>65</v>
      </c>
      <c r="E165" s="3" t="s">
        <v>61</v>
      </c>
      <c r="F165" s="143" t="s">
        <v>116</v>
      </c>
      <c r="G165" s="142">
        <v>29.197504124766056</v>
      </c>
      <c r="H165" s="5" t="s">
        <v>64</v>
      </c>
      <c r="I165" s="277" t="s">
        <v>60</v>
      </c>
      <c r="J165" s="260">
        <v>5</v>
      </c>
      <c r="K165" s="260">
        <v>5</v>
      </c>
      <c r="L165" s="260"/>
      <c r="M165" s="260"/>
      <c r="N165" s="260"/>
      <c r="O165" s="260"/>
      <c r="P165" s="260"/>
      <c r="Q165" s="260"/>
      <c r="R165" s="260"/>
      <c r="S165" s="260"/>
      <c r="T165" s="260"/>
      <c r="U165" s="260"/>
      <c r="V165" s="260">
        <v>5</v>
      </c>
      <c r="W165" s="260">
        <v>10</v>
      </c>
      <c r="X165" s="260">
        <v>20</v>
      </c>
      <c r="Y165" s="260">
        <v>40</v>
      </c>
      <c r="Z165" s="260">
        <v>20</v>
      </c>
      <c r="AA165" s="260">
        <v>40</v>
      </c>
      <c r="AB165" s="260">
        <v>10</v>
      </c>
      <c r="AC165" s="260">
        <v>20</v>
      </c>
      <c r="AD165" s="260"/>
      <c r="AE165" s="260"/>
      <c r="AF165" s="260"/>
      <c r="AG165" s="260"/>
      <c r="AH165" s="208">
        <v>323</v>
      </c>
      <c r="AI165" s="272">
        <v>40</v>
      </c>
      <c r="AJ165" s="271">
        <v>160</v>
      </c>
      <c r="AK165" s="260"/>
      <c r="AL165" s="260"/>
      <c r="AM165" s="260"/>
      <c r="AN165" s="260"/>
      <c r="AO165" s="260"/>
      <c r="AP165" s="260"/>
      <c r="AQ165" s="260"/>
      <c r="AR165" s="260"/>
      <c r="AS165" s="260"/>
      <c r="AT165" s="260"/>
      <c r="AU165" s="260">
        <v>80</v>
      </c>
      <c r="AV165" s="271">
        <v>320</v>
      </c>
      <c r="AW165" s="260">
        <v>40</v>
      </c>
      <c r="AX165" s="271">
        <v>320</v>
      </c>
      <c r="AY165" s="260">
        <v>20</v>
      </c>
      <c r="AZ165" s="271">
        <v>20</v>
      </c>
      <c r="BA165" s="276">
        <v>40</v>
      </c>
      <c r="BB165" s="276">
        <v>320</v>
      </c>
      <c r="BC165" s="276"/>
      <c r="BD165" s="276"/>
      <c r="BE165" s="276">
        <v>5</v>
      </c>
      <c r="BF165" s="276">
        <v>160</v>
      </c>
      <c r="BG165" s="260">
        <v>80</v>
      </c>
      <c r="BH165" s="271">
        <v>640</v>
      </c>
      <c r="BI165" s="276"/>
      <c r="BJ165" s="276"/>
      <c r="BK165" s="276"/>
      <c r="BL165" s="275"/>
      <c r="BM165" s="329">
        <v>323</v>
      </c>
      <c r="BN165" s="272">
        <v>80</v>
      </c>
      <c r="BO165" s="270">
        <v>80</v>
      </c>
      <c r="BP165" s="272"/>
      <c r="BQ165" s="260"/>
      <c r="BR165" s="260"/>
      <c r="BS165" s="260"/>
      <c r="BT165" s="260"/>
      <c r="BU165" s="260"/>
      <c r="BV165" s="260">
        <v>10</v>
      </c>
      <c r="BW165" s="260">
        <v>20</v>
      </c>
      <c r="BX165" s="260"/>
      <c r="BY165" s="260"/>
      <c r="BZ165" s="260"/>
      <c r="CA165" s="260"/>
      <c r="CB165" s="260"/>
      <c r="CC165" s="260"/>
      <c r="CD165" s="260">
        <v>20</v>
      </c>
      <c r="CE165" s="260">
        <v>20</v>
      </c>
      <c r="CF165" s="272"/>
      <c r="CG165" s="260"/>
      <c r="CH165" s="260"/>
      <c r="CI165" s="260"/>
      <c r="CJ165" s="260"/>
      <c r="CK165" s="260"/>
      <c r="CL165" s="260"/>
      <c r="CM165" s="260"/>
      <c r="CN165" s="260">
        <v>80</v>
      </c>
      <c r="CO165" s="260">
        <v>160</v>
      </c>
      <c r="CP165" s="260">
        <v>20</v>
      </c>
      <c r="CQ165" s="260">
        <v>40</v>
      </c>
      <c r="CR165" s="260">
        <v>20</v>
      </c>
      <c r="CS165" s="270">
        <v>40</v>
      </c>
      <c r="CT165" s="328">
        <v>323</v>
      </c>
      <c r="CU165" s="249">
        <f>Table2821115[[#This Row],[D28 - BR/18]]/Table2821115[[#This Row],[D0 - BR/18]]</f>
        <v>2</v>
      </c>
      <c r="CV165" s="248">
        <f>Table2821115[[#This Row],[D28 - KS/17]]/Table2821115[[#This Row],[D0 - KS/17]]</f>
        <v>32</v>
      </c>
      <c r="CW165" s="248">
        <f>Table2821115[[#This Row],[D28 - Phu/13]]/Table2821115[[#This Row],[D0 - Phu/13]]</f>
        <v>1</v>
      </c>
      <c r="CX165" s="248">
        <f>Table2821115[[#This Row],[D28 - CO/17]]/Table2821115[[#This Row],[D0 - CO/17]]</f>
        <v>2</v>
      </c>
      <c r="CY165" s="248">
        <f>LOG(Table2821115[[#This Row],[BR/18 Fold]],2)</f>
        <v>1</v>
      </c>
      <c r="CZ165" s="248">
        <f>LOG(Table2821115[[#This Row],[KS/17 Fold]],2)</f>
        <v>5</v>
      </c>
      <c r="DA165" s="248">
        <f>LOG(Table2821115[[#This Row],[Phu/13 Fold]],2)</f>
        <v>0</v>
      </c>
      <c r="DB165" s="248">
        <f>LOG(Table2821115[[#This Row],[CO/17 Fold]],2)</f>
        <v>1</v>
      </c>
      <c r="DC165" s="248">
        <f>SUM(Table2821115[[#This Row],[BR/18 Log2]:[CO/17 Log2]])</f>
        <v>7</v>
      </c>
    </row>
    <row r="166" spans="1:107" ht="24" customHeight="1">
      <c r="A166" s="318">
        <v>324</v>
      </c>
      <c r="B166" s="180">
        <v>20139</v>
      </c>
      <c r="C166" s="180">
        <v>43776</v>
      </c>
      <c r="D166" s="179">
        <v>64</v>
      </c>
      <c r="E166" s="3" t="s">
        <v>61</v>
      </c>
      <c r="F166" s="143" t="s">
        <v>116</v>
      </c>
      <c r="G166" s="142">
        <v>28.895290026739421</v>
      </c>
      <c r="H166" s="11" t="s">
        <v>59</v>
      </c>
      <c r="I166" s="277" t="s">
        <v>62</v>
      </c>
      <c r="J166" s="260">
        <v>5</v>
      </c>
      <c r="K166" s="260">
        <v>20</v>
      </c>
      <c r="L166" s="260"/>
      <c r="M166" s="260"/>
      <c r="N166" s="260"/>
      <c r="O166" s="260"/>
      <c r="P166" s="260"/>
      <c r="Q166" s="260"/>
      <c r="R166" s="260"/>
      <c r="S166" s="260"/>
      <c r="T166" s="260"/>
      <c r="U166" s="260"/>
      <c r="V166" s="260">
        <v>5</v>
      </c>
      <c r="W166" s="260">
        <v>5</v>
      </c>
      <c r="X166" s="260">
        <v>5</v>
      </c>
      <c r="Y166" s="260">
        <v>5</v>
      </c>
      <c r="Z166" s="260">
        <v>5</v>
      </c>
      <c r="AA166" s="260">
        <v>10</v>
      </c>
      <c r="AB166" s="260">
        <v>5</v>
      </c>
      <c r="AC166" s="260">
        <v>5</v>
      </c>
      <c r="AD166" s="260"/>
      <c r="AE166" s="260"/>
      <c r="AF166" s="260"/>
      <c r="AG166" s="260"/>
      <c r="AH166" s="195">
        <v>324</v>
      </c>
      <c r="AI166" s="272">
        <v>5</v>
      </c>
      <c r="AJ166" s="271">
        <v>5</v>
      </c>
      <c r="AK166" s="260"/>
      <c r="AL166" s="260"/>
      <c r="AM166" s="260"/>
      <c r="AN166" s="260"/>
      <c r="AO166" s="260"/>
      <c r="AP166" s="260"/>
      <c r="AQ166" s="260"/>
      <c r="AR166" s="260"/>
      <c r="AS166" s="260"/>
      <c r="AT166" s="260"/>
      <c r="AU166" s="260">
        <v>5</v>
      </c>
      <c r="AV166" s="271">
        <v>5</v>
      </c>
      <c r="AW166" s="260">
        <v>5</v>
      </c>
      <c r="AX166" s="271">
        <v>5</v>
      </c>
      <c r="AY166" s="260">
        <v>5</v>
      </c>
      <c r="AZ166" s="271">
        <v>40</v>
      </c>
      <c r="BA166" s="276">
        <v>5</v>
      </c>
      <c r="BB166" s="276">
        <v>5</v>
      </c>
      <c r="BC166" s="276"/>
      <c r="BD166" s="276"/>
      <c r="BE166" s="276">
        <v>5</v>
      </c>
      <c r="BF166" s="276">
        <v>5</v>
      </c>
      <c r="BG166" s="260">
        <v>5</v>
      </c>
      <c r="BH166" s="271">
        <v>5</v>
      </c>
      <c r="BI166" s="276"/>
      <c r="BJ166" s="276"/>
      <c r="BK166" s="276"/>
      <c r="BL166" s="275"/>
      <c r="BM166" s="316">
        <v>324</v>
      </c>
      <c r="BN166" s="272">
        <v>10</v>
      </c>
      <c r="BO166" s="270">
        <v>160</v>
      </c>
      <c r="BP166" s="272"/>
      <c r="BQ166" s="260"/>
      <c r="BR166" s="260"/>
      <c r="BS166" s="260"/>
      <c r="BT166" s="260"/>
      <c r="BU166" s="260"/>
      <c r="BV166" s="260">
        <v>10</v>
      </c>
      <c r="BW166" s="260">
        <v>160</v>
      </c>
      <c r="BX166" s="260"/>
      <c r="BY166" s="260"/>
      <c r="BZ166" s="260"/>
      <c r="CA166" s="260"/>
      <c r="CB166" s="260"/>
      <c r="CC166" s="260"/>
      <c r="CD166" s="260">
        <v>5</v>
      </c>
      <c r="CE166" s="260">
        <v>160</v>
      </c>
      <c r="CF166" s="272"/>
      <c r="CG166" s="260"/>
      <c r="CH166" s="260"/>
      <c r="CI166" s="260"/>
      <c r="CJ166" s="260"/>
      <c r="CK166" s="260"/>
      <c r="CL166" s="260"/>
      <c r="CM166" s="260"/>
      <c r="CN166" s="260">
        <v>5</v>
      </c>
      <c r="CO166" s="260">
        <v>40</v>
      </c>
      <c r="CP166" s="260">
        <v>5</v>
      </c>
      <c r="CQ166" s="260">
        <v>40</v>
      </c>
      <c r="CR166" s="260">
        <v>5</v>
      </c>
      <c r="CS166" s="270">
        <v>10</v>
      </c>
      <c r="CT166" s="315">
        <v>324</v>
      </c>
      <c r="CU166" s="249">
        <f>Table2821115[[#This Row],[D28 - BR/18]]/Table2821115[[#This Row],[D0 - BR/18]]</f>
        <v>1</v>
      </c>
      <c r="CV166" s="248">
        <f>Table2821115[[#This Row],[D28 - KS/17]]/Table2821115[[#This Row],[D0 - KS/17]]</f>
        <v>1</v>
      </c>
      <c r="CW166" s="248">
        <f>Table2821115[[#This Row],[D28 - Phu/13]]/Table2821115[[#This Row],[D0 - Phu/13]]</f>
        <v>32</v>
      </c>
      <c r="CX166" s="248">
        <f>Table2821115[[#This Row],[D28 - CO/17]]/Table2821115[[#This Row],[D0 - CO/17]]</f>
        <v>8</v>
      </c>
      <c r="CY166" s="248">
        <f>LOG(Table2821115[[#This Row],[BR/18 Fold]],2)</f>
        <v>0</v>
      </c>
      <c r="CZ166" s="248">
        <f>LOG(Table2821115[[#This Row],[KS/17 Fold]],2)</f>
        <v>0</v>
      </c>
      <c r="DA166" s="248">
        <f>LOG(Table2821115[[#This Row],[Phu/13 Fold]],2)</f>
        <v>5</v>
      </c>
      <c r="DB166" s="248">
        <f>LOG(Table2821115[[#This Row],[CO/17 Fold]],2)</f>
        <v>3</v>
      </c>
      <c r="DC166" s="248">
        <f>SUM(Table2821115[[#This Row],[BR/18 Log2]:[CO/17 Log2]])</f>
        <v>8</v>
      </c>
    </row>
    <row r="167" spans="1:107" ht="24" customHeight="1">
      <c r="A167" s="330">
        <v>325</v>
      </c>
      <c r="B167" s="210">
        <v>16280</v>
      </c>
      <c r="C167" s="210">
        <v>43754</v>
      </c>
      <c r="D167" s="209">
        <v>75</v>
      </c>
      <c r="E167" s="4" t="s">
        <v>58</v>
      </c>
      <c r="F167" s="143" t="s">
        <v>116</v>
      </c>
      <c r="G167" s="142">
        <v>24.913494809688583</v>
      </c>
      <c r="H167" s="5" t="s">
        <v>64</v>
      </c>
      <c r="I167" s="277" t="s">
        <v>60</v>
      </c>
      <c r="J167" s="260">
        <v>5</v>
      </c>
      <c r="K167" s="260">
        <v>20</v>
      </c>
      <c r="L167" s="260"/>
      <c r="M167" s="260"/>
      <c r="N167" s="260"/>
      <c r="O167" s="260"/>
      <c r="P167" s="260"/>
      <c r="Q167" s="260"/>
      <c r="R167" s="260"/>
      <c r="S167" s="260"/>
      <c r="T167" s="260"/>
      <c r="U167" s="260"/>
      <c r="V167" s="260">
        <v>5</v>
      </c>
      <c r="W167" s="260">
        <v>5</v>
      </c>
      <c r="X167" s="260">
        <v>5</v>
      </c>
      <c r="Y167" s="260">
        <v>10</v>
      </c>
      <c r="Z167" s="260">
        <v>5</v>
      </c>
      <c r="AA167" s="260">
        <v>10</v>
      </c>
      <c r="AB167" s="260">
        <v>5</v>
      </c>
      <c r="AC167" s="260">
        <v>10</v>
      </c>
      <c r="AD167" s="260"/>
      <c r="AE167" s="260"/>
      <c r="AF167" s="260"/>
      <c r="AG167" s="260"/>
      <c r="AH167" s="208">
        <v>325</v>
      </c>
      <c r="AI167" s="272">
        <v>40</v>
      </c>
      <c r="AJ167" s="271">
        <v>40</v>
      </c>
      <c r="AK167" s="260"/>
      <c r="AL167" s="260"/>
      <c r="AM167" s="260"/>
      <c r="AN167" s="260"/>
      <c r="AO167" s="260"/>
      <c r="AP167" s="260"/>
      <c r="AQ167" s="260"/>
      <c r="AR167" s="260"/>
      <c r="AS167" s="260"/>
      <c r="AT167" s="260"/>
      <c r="AU167" s="260">
        <v>80</v>
      </c>
      <c r="AV167" s="271">
        <v>80</v>
      </c>
      <c r="AW167" s="260">
        <v>80</v>
      </c>
      <c r="AX167" s="271">
        <v>80</v>
      </c>
      <c r="AY167" s="260">
        <v>80</v>
      </c>
      <c r="AZ167" s="271">
        <v>5</v>
      </c>
      <c r="BA167" s="276">
        <v>40</v>
      </c>
      <c r="BB167" s="276">
        <v>40</v>
      </c>
      <c r="BC167" s="276"/>
      <c r="BD167" s="276"/>
      <c r="BE167" s="276">
        <v>10</v>
      </c>
      <c r="BF167" s="276">
        <v>20</v>
      </c>
      <c r="BG167" s="260">
        <v>80</v>
      </c>
      <c r="BH167" s="271">
        <v>80</v>
      </c>
      <c r="BI167" s="276"/>
      <c r="BJ167" s="276"/>
      <c r="BK167" s="276"/>
      <c r="BL167" s="275"/>
      <c r="BM167" s="329">
        <v>325</v>
      </c>
      <c r="BN167" s="272">
        <v>80</v>
      </c>
      <c r="BO167" s="270">
        <v>80</v>
      </c>
      <c r="BP167" s="272"/>
      <c r="BQ167" s="260"/>
      <c r="BR167" s="260"/>
      <c r="BS167" s="260"/>
      <c r="BT167" s="260"/>
      <c r="BU167" s="260"/>
      <c r="BV167" s="260">
        <v>5</v>
      </c>
      <c r="BW167" s="260">
        <v>80</v>
      </c>
      <c r="BX167" s="260"/>
      <c r="BY167" s="260"/>
      <c r="BZ167" s="260"/>
      <c r="CA167" s="260"/>
      <c r="CB167" s="260"/>
      <c r="CC167" s="260"/>
      <c r="CD167" s="260">
        <v>80</v>
      </c>
      <c r="CE167" s="260">
        <v>80</v>
      </c>
      <c r="CF167" s="272"/>
      <c r="CG167" s="260"/>
      <c r="CH167" s="260"/>
      <c r="CI167" s="260"/>
      <c r="CJ167" s="260"/>
      <c r="CK167" s="260"/>
      <c r="CL167" s="260"/>
      <c r="CM167" s="260"/>
      <c r="CN167" s="260">
        <v>20</v>
      </c>
      <c r="CO167" s="260">
        <v>40</v>
      </c>
      <c r="CP167" s="260">
        <v>20</v>
      </c>
      <c r="CQ167" s="260">
        <v>20</v>
      </c>
      <c r="CR167" s="260">
        <v>20</v>
      </c>
      <c r="CS167" s="270">
        <v>20</v>
      </c>
      <c r="CT167" s="328">
        <v>325</v>
      </c>
      <c r="CU167" s="249">
        <f>Table2821115[[#This Row],[D28 - BR/18]]/Table2821115[[#This Row],[D0 - BR/18]]</f>
        <v>2</v>
      </c>
      <c r="CV167" s="248">
        <f>Table2821115[[#This Row],[D28 - KS/17]]/Table2821115[[#This Row],[D0 - KS/17]]</f>
        <v>2</v>
      </c>
      <c r="CW167" s="248">
        <f>Table2821115[[#This Row],[D28 - Phu/13]]/Table2821115[[#This Row],[D0 - Phu/13]]</f>
        <v>1</v>
      </c>
      <c r="CX167" s="248">
        <f>Table2821115[[#This Row],[D28 - CO/17]]/Table2821115[[#This Row],[D0 - CO/17]]</f>
        <v>1</v>
      </c>
      <c r="CY167" s="248">
        <f>LOG(Table2821115[[#This Row],[BR/18 Fold]],2)</f>
        <v>1</v>
      </c>
      <c r="CZ167" s="248">
        <f>LOG(Table2821115[[#This Row],[KS/17 Fold]],2)</f>
        <v>1</v>
      </c>
      <c r="DA167" s="248">
        <f>LOG(Table2821115[[#This Row],[Phu/13 Fold]],2)</f>
        <v>0</v>
      </c>
      <c r="DB167" s="248">
        <f>LOG(Table2821115[[#This Row],[CO/17 Fold]],2)</f>
        <v>0</v>
      </c>
      <c r="DC167" s="248">
        <f>SUM(Table2821115[[#This Row],[BR/18 Log2]:[CO/17 Log2]])</f>
        <v>2</v>
      </c>
    </row>
    <row r="168" spans="1:107" ht="24" customHeight="1">
      <c r="A168" s="330">
        <v>326</v>
      </c>
      <c r="B168" s="210">
        <v>17517</v>
      </c>
      <c r="C168" s="210">
        <v>43763</v>
      </c>
      <c r="D168" s="209">
        <v>71</v>
      </c>
      <c r="E168" s="4" t="s">
        <v>58</v>
      </c>
      <c r="F168" s="143" t="s">
        <v>116</v>
      </c>
      <c r="G168" s="142">
        <v>23.827706442656627</v>
      </c>
      <c r="H168" s="5" t="s">
        <v>64</v>
      </c>
      <c r="I168" s="277" t="s">
        <v>60</v>
      </c>
      <c r="J168" s="260">
        <v>40</v>
      </c>
      <c r="K168" s="260">
        <v>40</v>
      </c>
      <c r="L168" s="260"/>
      <c r="M168" s="260"/>
      <c r="N168" s="260"/>
      <c r="O168" s="260"/>
      <c r="P168" s="260"/>
      <c r="Q168" s="260"/>
      <c r="R168" s="260"/>
      <c r="S168" s="260"/>
      <c r="T168" s="260"/>
      <c r="U168" s="260"/>
      <c r="V168" s="260">
        <v>5</v>
      </c>
      <c r="W168" s="260">
        <v>5</v>
      </c>
      <c r="X168" s="260">
        <v>40</v>
      </c>
      <c r="Y168" s="260">
        <v>40</v>
      </c>
      <c r="Z168" s="260">
        <v>20</v>
      </c>
      <c r="AA168" s="260">
        <v>20</v>
      </c>
      <c r="AB168" s="260">
        <v>10</v>
      </c>
      <c r="AC168" s="260">
        <v>20</v>
      </c>
      <c r="AD168" s="260"/>
      <c r="AE168" s="260"/>
      <c r="AF168" s="260"/>
      <c r="AG168" s="260"/>
      <c r="AH168" s="208">
        <v>326</v>
      </c>
      <c r="AI168" s="272">
        <v>5</v>
      </c>
      <c r="AJ168" s="271">
        <v>5</v>
      </c>
      <c r="AK168" s="260"/>
      <c r="AL168" s="260"/>
      <c r="AM168" s="260"/>
      <c r="AN168" s="260"/>
      <c r="AO168" s="260"/>
      <c r="AP168" s="260"/>
      <c r="AQ168" s="260"/>
      <c r="AR168" s="260"/>
      <c r="AS168" s="260"/>
      <c r="AT168" s="260"/>
      <c r="AU168" s="260">
        <v>40</v>
      </c>
      <c r="AV168" s="271">
        <v>80</v>
      </c>
      <c r="AW168" s="260">
        <v>40</v>
      </c>
      <c r="AX168" s="271">
        <v>80</v>
      </c>
      <c r="AY168" s="260">
        <v>40</v>
      </c>
      <c r="AZ168" s="271">
        <v>5</v>
      </c>
      <c r="BA168" s="276">
        <v>80</v>
      </c>
      <c r="BB168" s="276">
        <v>80</v>
      </c>
      <c r="BC168" s="276"/>
      <c r="BD168" s="276"/>
      <c r="BE168" s="276">
        <v>20</v>
      </c>
      <c r="BF168" s="276">
        <v>20</v>
      </c>
      <c r="BG168" s="260">
        <v>40</v>
      </c>
      <c r="BH168" s="271">
        <v>40</v>
      </c>
      <c r="BI168" s="276"/>
      <c r="BJ168" s="276"/>
      <c r="BK168" s="276"/>
      <c r="BL168" s="275"/>
      <c r="BM168" s="329">
        <v>326</v>
      </c>
      <c r="BN168" s="272">
        <v>40</v>
      </c>
      <c r="BO168" s="270">
        <v>40</v>
      </c>
      <c r="BP168" s="272"/>
      <c r="BQ168" s="260"/>
      <c r="BR168" s="260"/>
      <c r="BS168" s="260"/>
      <c r="BT168" s="260"/>
      <c r="BU168" s="260"/>
      <c r="BV168" s="260">
        <v>20</v>
      </c>
      <c r="BW168" s="260">
        <v>20</v>
      </c>
      <c r="BX168" s="260"/>
      <c r="BY168" s="260"/>
      <c r="BZ168" s="260"/>
      <c r="CA168" s="260"/>
      <c r="CB168" s="260"/>
      <c r="CC168" s="260"/>
      <c r="CD168" s="260">
        <v>80</v>
      </c>
      <c r="CE168" s="260">
        <v>80</v>
      </c>
      <c r="CF168" s="272"/>
      <c r="CG168" s="260"/>
      <c r="CH168" s="260"/>
      <c r="CI168" s="260"/>
      <c r="CJ168" s="260"/>
      <c r="CK168" s="260"/>
      <c r="CL168" s="260"/>
      <c r="CM168" s="260"/>
      <c r="CN168" s="260">
        <v>10</v>
      </c>
      <c r="CO168" s="260">
        <v>10</v>
      </c>
      <c r="CP168" s="260">
        <v>5</v>
      </c>
      <c r="CQ168" s="260">
        <v>10</v>
      </c>
      <c r="CR168" s="260">
        <v>10</v>
      </c>
      <c r="CS168" s="270">
        <v>10</v>
      </c>
      <c r="CT168" s="328">
        <v>326</v>
      </c>
      <c r="CU168" s="249">
        <f>Table2821115[[#This Row],[D28 - BR/18]]/Table2821115[[#This Row],[D0 - BR/18]]</f>
        <v>2</v>
      </c>
      <c r="CV168" s="248">
        <f>Table2821115[[#This Row],[D28 - KS/17]]/Table2821115[[#This Row],[D0 - KS/17]]</f>
        <v>1</v>
      </c>
      <c r="CW168" s="248">
        <f>Table2821115[[#This Row],[D28 - Phu/13]]/Table2821115[[#This Row],[D0 - Phu/13]]</f>
        <v>1</v>
      </c>
      <c r="CX168" s="248">
        <f>Table2821115[[#This Row],[D28 - CO/17]]/Table2821115[[#This Row],[D0 - CO/17]]</f>
        <v>2</v>
      </c>
      <c r="CY168" s="248">
        <f>LOG(Table2821115[[#This Row],[BR/18 Fold]],2)</f>
        <v>1</v>
      </c>
      <c r="CZ168" s="248">
        <f>LOG(Table2821115[[#This Row],[KS/17 Fold]],2)</f>
        <v>0</v>
      </c>
      <c r="DA168" s="248">
        <f>LOG(Table2821115[[#This Row],[Phu/13 Fold]],2)</f>
        <v>0</v>
      </c>
      <c r="DB168" s="248">
        <f>LOG(Table2821115[[#This Row],[CO/17 Fold]],2)</f>
        <v>1</v>
      </c>
      <c r="DC168" s="248">
        <f>SUM(Table2821115[[#This Row],[BR/18 Log2]:[CO/17 Log2]])</f>
        <v>2</v>
      </c>
    </row>
    <row r="169" spans="1:107" ht="24" customHeight="1">
      <c r="A169" s="324">
        <v>327</v>
      </c>
      <c r="B169" s="190">
        <v>25703</v>
      </c>
      <c r="C169" s="190">
        <v>43768</v>
      </c>
      <c r="D169" s="189">
        <v>49</v>
      </c>
      <c r="E169" s="3" t="s">
        <v>61</v>
      </c>
      <c r="F169" s="143" t="s">
        <v>117</v>
      </c>
      <c r="G169" s="142">
        <v>32.094674556213015</v>
      </c>
      <c r="H169" s="11" t="s">
        <v>59</v>
      </c>
      <c r="I169" s="277" t="s">
        <v>60</v>
      </c>
      <c r="J169" s="260">
        <v>160</v>
      </c>
      <c r="K169" s="260">
        <v>160</v>
      </c>
      <c r="L169" s="260"/>
      <c r="M169" s="260"/>
      <c r="N169" s="260"/>
      <c r="O169" s="260"/>
      <c r="P169" s="260"/>
      <c r="Q169" s="260"/>
      <c r="R169" s="260"/>
      <c r="S169" s="260"/>
      <c r="T169" s="260"/>
      <c r="U169" s="260"/>
      <c r="V169" s="260">
        <v>40</v>
      </c>
      <c r="W169" s="260">
        <v>40</v>
      </c>
      <c r="X169" s="260">
        <v>20</v>
      </c>
      <c r="Y169" s="260">
        <v>80</v>
      </c>
      <c r="Z169" s="260">
        <v>10</v>
      </c>
      <c r="AA169" s="260">
        <v>80</v>
      </c>
      <c r="AB169" s="260">
        <v>5</v>
      </c>
      <c r="AC169" s="260">
        <v>40</v>
      </c>
      <c r="AD169" s="260"/>
      <c r="AE169" s="260"/>
      <c r="AF169" s="260"/>
      <c r="AG169" s="260"/>
      <c r="AH169" s="198">
        <v>327</v>
      </c>
      <c r="AI169" s="272">
        <v>20</v>
      </c>
      <c r="AJ169" s="271">
        <v>40</v>
      </c>
      <c r="AK169" s="260"/>
      <c r="AL169" s="260"/>
      <c r="AM169" s="260"/>
      <c r="AN169" s="260"/>
      <c r="AO169" s="260"/>
      <c r="AP169" s="260"/>
      <c r="AQ169" s="260"/>
      <c r="AR169" s="260"/>
      <c r="AS169" s="260"/>
      <c r="AT169" s="260"/>
      <c r="AU169" s="260">
        <v>80</v>
      </c>
      <c r="AV169" s="271">
        <v>160</v>
      </c>
      <c r="AW169" s="260">
        <v>40</v>
      </c>
      <c r="AX169" s="271">
        <v>80</v>
      </c>
      <c r="AY169" s="260">
        <v>5</v>
      </c>
      <c r="AZ169" s="271">
        <v>5</v>
      </c>
      <c r="BA169" s="276">
        <v>5</v>
      </c>
      <c r="BB169" s="276">
        <v>20</v>
      </c>
      <c r="BC169" s="276"/>
      <c r="BD169" s="276"/>
      <c r="BE169" s="276">
        <v>5</v>
      </c>
      <c r="BF169" s="276">
        <v>40</v>
      </c>
      <c r="BG169" s="260">
        <v>40</v>
      </c>
      <c r="BH169" s="271">
        <v>80</v>
      </c>
      <c r="BI169" s="276"/>
      <c r="BJ169" s="276"/>
      <c r="BK169" s="276"/>
      <c r="BL169" s="275"/>
      <c r="BM169" s="323">
        <v>327</v>
      </c>
      <c r="BN169" s="272">
        <v>160</v>
      </c>
      <c r="BO169" s="270">
        <v>160</v>
      </c>
      <c r="BP169" s="272"/>
      <c r="BQ169" s="260"/>
      <c r="BR169" s="260"/>
      <c r="BS169" s="260"/>
      <c r="BT169" s="260"/>
      <c r="BU169" s="260"/>
      <c r="BV169" s="260">
        <v>160</v>
      </c>
      <c r="BW169" s="260">
        <v>320</v>
      </c>
      <c r="BX169" s="260"/>
      <c r="BY169" s="260"/>
      <c r="BZ169" s="260"/>
      <c r="CA169" s="260"/>
      <c r="CB169" s="260"/>
      <c r="CC169" s="260"/>
      <c r="CD169" s="260">
        <v>160</v>
      </c>
      <c r="CE169" s="260">
        <v>320</v>
      </c>
      <c r="CF169" s="272"/>
      <c r="CG169" s="260"/>
      <c r="CH169" s="260"/>
      <c r="CI169" s="260"/>
      <c r="CJ169" s="260"/>
      <c r="CK169" s="260"/>
      <c r="CL169" s="260"/>
      <c r="CM169" s="260"/>
      <c r="CN169" s="260">
        <v>160</v>
      </c>
      <c r="CO169" s="260">
        <v>160</v>
      </c>
      <c r="CP169" s="260">
        <v>160</v>
      </c>
      <c r="CQ169" s="260">
        <v>320</v>
      </c>
      <c r="CR169" s="260">
        <v>80</v>
      </c>
      <c r="CS169" s="270">
        <v>160</v>
      </c>
      <c r="CT169" s="322">
        <v>327</v>
      </c>
      <c r="CU169" s="249">
        <f>Table2821115[[#This Row],[D28 - BR/18]]/Table2821115[[#This Row],[D0 - BR/18]]</f>
        <v>8</v>
      </c>
      <c r="CV169" s="248">
        <f>Table2821115[[#This Row],[D28 - KS/17]]/Table2821115[[#This Row],[D0 - KS/17]]</f>
        <v>8</v>
      </c>
      <c r="CW169" s="248">
        <f>Table2821115[[#This Row],[D28 - Phu/13]]/Table2821115[[#This Row],[D0 - Phu/13]]</f>
        <v>2</v>
      </c>
      <c r="CX169" s="248">
        <f>Table2821115[[#This Row],[D28 - CO/17]]/Table2821115[[#This Row],[D0 - CO/17]]</f>
        <v>2</v>
      </c>
      <c r="CY169" s="248">
        <f>LOG(Table2821115[[#This Row],[BR/18 Fold]],2)</f>
        <v>3</v>
      </c>
      <c r="CZ169" s="248">
        <f>LOG(Table2821115[[#This Row],[KS/17 Fold]],2)</f>
        <v>3</v>
      </c>
      <c r="DA169" s="248">
        <f>LOG(Table2821115[[#This Row],[Phu/13 Fold]],2)</f>
        <v>1</v>
      </c>
      <c r="DB169" s="248">
        <f>LOG(Table2821115[[#This Row],[CO/17 Fold]],2)</f>
        <v>1</v>
      </c>
      <c r="DC169" s="248">
        <f>SUM(Table2821115[[#This Row],[BR/18 Log2]:[CO/17 Log2]])</f>
        <v>8</v>
      </c>
    </row>
    <row r="170" spans="1:107" ht="24" customHeight="1">
      <c r="A170" s="324">
        <v>328</v>
      </c>
      <c r="B170" s="190">
        <v>26735</v>
      </c>
      <c r="C170" s="190">
        <v>43760</v>
      </c>
      <c r="D170" s="189">
        <v>46</v>
      </c>
      <c r="E170" s="3" t="s">
        <v>61</v>
      </c>
      <c r="F170" s="143" t="s">
        <v>116</v>
      </c>
      <c r="G170" s="142">
        <v>30.097096684526832</v>
      </c>
      <c r="H170" s="11" t="s">
        <v>59</v>
      </c>
      <c r="I170" s="277" t="s">
        <v>60</v>
      </c>
      <c r="J170" s="260">
        <v>5</v>
      </c>
      <c r="K170" s="260">
        <v>5</v>
      </c>
      <c r="L170" s="260"/>
      <c r="M170" s="260"/>
      <c r="N170" s="260"/>
      <c r="O170" s="260"/>
      <c r="P170" s="260"/>
      <c r="Q170" s="260"/>
      <c r="R170" s="260"/>
      <c r="S170" s="260"/>
      <c r="T170" s="260"/>
      <c r="U170" s="260"/>
      <c r="V170" s="260">
        <v>5</v>
      </c>
      <c r="W170" s="260">
        <v>5</v>
      </c>
      <c r="X170" s="260">
        <v>20</v>
      </c>
      <c r="Y170" s="260">
        <v>40</v>
      </c>
      <c r="Z170" s="260">
        <v>40</v>
      </c>
      <c r="AA170" s="260">
        <v>40</v>
      </c>
      <c r="AB170" s="260">
        <v>5</v>
      </c>
      <c r="AC170" s="260">
        <v>10</v>
      </c>
      <c r="AD170" s="260"/>
      <c r="AE170" s="260"/>
      <c r="AF170" s="260"/>
      <c r="AG170" s="260"/>
      <c r="AH170" s="198">
        <v>328</v>
      </c>
      <c r="AI170" s="272">
        <v>10</v>
      </c>
      <c r="AJ170" s="271">
        <v>20</v>
      </c>
      <c r="AK170" s="260"/>
      <c r="AL170" s="260"/>
      <c r="AM170" s="260"/>
      <c r="AN170" s="260"/>
      <c r="AO170" s="260"/>
      <c r="AP170" s="260"/>
      <c r="AQ170" s="260"/>
      <c r="AR170" s="260"/>
      <c r="AS170" s="260"/>
      <c r="AT170" s="260"/>
      <c r="AU170" s="260">
        <v>40</v>
      </c>
      <c r="AV170" s="271">
        <v>80</v>
      </c>
      <c r="AW170" s="260">
        <v>40</v>
      </c>
      <c r="AX170" s="271">
        <v>80</v>
      </c>
      <c r="AY170" s="260">
        <v>20</v>
      </c>
      <c r="AZ170" s="271">
        <v>5</v>
      </c>
      <c r="BA170" s="276">
        <v>20</v>
      </c>
      <c r="BB170" s="276">
        <v>40</v>
      </c>
      <c r="BC170" s="276"/>
      <c r="BD170" s="276"/>
      <c r="BE170" s="276">
        <v>10</v>
      </c>
      <c r="BF170" s="276">
        <v>40</v>
      </c>
      <c r="BG170" s="260">
        <v>40</v>
      </c>
      <c r="BH170" s="271">
        <v>80</v>
      </c>
      <c r="BI170" s="276"/>
      <c r="BJ170" s="276"/>
      <c r="BK170" s="276"/>
      <c r="BL170" s="275"/>
      <c r="BM170" s="323">
        <v>328</v>
      </c>
      <c r="BN170" s="272">
        <v>10</v>
      </c>
      <c r="BO170" s="270">
        <v>20</v>
      </c>
      <c r="BP170" s="272"/>
      <c r="BQ170" s="260"/>
      <c r="BR170" s="260"/>
      <c r="BS170" s="260"/>
      <c r="BT170" s="260"/>
      <c r="BU170" s="260"/>
      <c r="BV170" s="260">
        <v>5</v>
      </c>
      <c r="BW170" s="260">
        <v>10</v>
      </c>
      <c r="BX170" s="260"/>
      <c r="BY170" s="260"/>
      <c r="BZ170" s="260"/>
      <c r="CA170" s="260"/>
      <c r="CB170" s="260"/>
      <c r="CC170" s="260"/>
      <c r="CD170" s="260">
        <v>5</v>
      </c>
      <c r="CE170" s="260">
        <v>5</v>
      </c>
      <c r="CF170" s="272"/>
      <c r="CG170" s="260"/>
      <c r="CH170" s="260"/>
      <c r="CI170" s="260"/>
      <c r="CJ170" s="260"/>
      <c r="CK170" s="260"/>
      <c r="CL170" s="260"/>
      <c r="CM170" s="260"/>
      <c r="CN170" s="260">
        <v>10</v>
      </c>
      <c r="CO170" s="260">
        <v>10</v>
      </c>
      <c r="CP170" s="260">
        <v>10</v>
      </c>
      <c r="CQ170" s="260">
        <v>10</v>
      </c>
      <c r="CR170" s="260">
        <v>20</v>
      </c>
      <c r="CS170" s="270">
        <v>20</v>
      </c>
      <c r="CT170" s="322">
        <v>328</v>
      </c>
      <c r="CU170" s="249">
        <f>Table2821115[[#This Row],[D28 - BR/18]]/Table2821115[[#This Row],[D0 - BR/18]]</f>
        <v>2</v>
      </c>
      <c r="CV170" s="248">
        <f>Table2821115[[#This Row],[D28 - KS/17]]/Table2821115[[#This Row],[D0 - KS/17]]</f>
        <v>4</v>
      </c>
      <c r="CW170" s="248">
        <f>Table2821115[[#This Row],[D28 - Phu/13]]/Table2821115[[#This Row],[D0 - Phu/13]]</f>
        <v>1</v>
      </c>
      <c r="CX170" s="248">
        <f>Table2821115[[#This Row],[D28 - CO/17]]/Table2821115[[#This Row],[D0 - CO/17]]</f>
        <v>1</v>
      </c>
      <c r="CY170" s="248">
        <f>LOG(Table2821115[[#This Row],[BR/18 Fold]],2)</f>
        <v>1</v>
      </c>
      <c r="CZ170" s="248">
        <f>LOG(Table2821115[[#This Row],[KS/17 Fold]],2)</f>
        <v>2</v>
      </c>
      <c r="DA170" s="248">
        <f>LOG(Table2821115[[#This Row],[Phu/13 Fold]],2)</f>
        <v>0</v>
      </c>
      <c r="DB170" s="248">
        <f>LOG(Table2821115[[#This Row],[CO/17 Fold]],2)</f>
        <v>0</v>
      </c>
      <c r="DC170" s="248">
        <f>SUM(Table2821115[[#This Row],[BR/18 Log2]:[CO/17 Log2]])</f>
        <v>3</v>
      </c>
    </row>
    <row r="171" spans="1:107" ht="24" customHeight="1">
      <c r="A171" s="324">
        <v>329</v>
      </c>
      <c r="B171" s="190">
        <v>27251</v>
      </c>
      <c r="C171" s="190">
        <v>43792</v>
      </c>
      <c r="D171" s="189">
        <v>45</v>
      </c>
      <c r="E171" s="3" t="s">
        <v>61</v>
      </c>
      <c r="F171" s="143" t="s">
        <v>116</v>
      </c>
      <c r="G171" s="142">
        <v>32.981879634294501</v>
      </c>
      <c r="H171" s="11" t="s">
        <v>59</v>
      </c>
      <c r="I171" s="281" t="s">
        <v>60</v>
      </c>
      <c r="J171" s="260">
        <v>5</v>
      </c>
      <c r="K171" s="260">
        <v>5</v>
      </c>
      <c r="L171" s="260"/>
      <c r="M171" s="260"/>
      <c r="N171" s="260"/>
      <c r="O171" s="260"/>
      <c r="P171" s="260"/>
      <c r="Q171" s="260"/>
      <c r="R171" s="260"/>
      <c r="S171" s="260"/>
      <c r="T171" s="260"/>
      <c r="U171" s="260"/>
      <c r="V171" s="260">
        <v>5</v>
      </c>
      <c r="W171" s="260">
        <v>5</v>
      </c>
      <c r="X171" s="260">
        <v>20</v>
      </c>
      <c r="Y171" s="260">
        <v>320</v>
      </c>
      <c r="Z171" s="260">
        <v>20</v>
      </c>
      <c r="AA171" s="260">
        <v>320</v>
      </c>
      <c r="AB171" s="260">
        <v>20</v>
      </c>
      <c r="AC171" s="260">
        <v>160</v>
      </c>
      <c r="AD171" s="260"/>
      <c r="AE171" s="260"/>
      <c r="AF171" s="260"/>
      <c r="AG171" s="260"/>
      <c r="AH171" s="198">
        <v>329</v>
      </c>
      <c r="AI171" s="272">
        <v>20</v>
      </c>
      <c r="AJ171" s="271">
        <v>160</v>
      </c>
      <c r="AK171" s="260"/>
      <c r="AL171" s="260"/>
      <c r="AM171" s="260"/>
      <c r="AN171" s="260"/>
      <c r="AO171" s="260"/>
      <c r="AP171" s="260"/>
      <c r="AQ171" s="260"/>
      <c r="AR171" s="260"/>
      <c r="AS171" s="260"/>
      <c r="AT171" s="260"/>
      <c r="AU171" s="260">
        <v>20</v>
      </c>
      <c r="AV171" s="271">
        <v>320</v>
      </c>
      <c r="AW171" s="260">
        <v>20</v>
      </c>
      <c r="AX171" s="271">
        <v>320</v>
      </c>
      <c r="AY171" s="260">
        <v>10</v>
      </c>
      <c r="AZ171" s="271">
        <v>5</v>
      </c>
      <c r="BA171" s="276">
        <v>5</v>
      </c>
      <c r="BB171" s="276">
        <v>160</v>
      </c>
      <c r="BC171" s="276"/>
      <c r="BD171" s="276"/>
      <c r="BE171" s="276">
        <v>20</v>
      </c>
      <c r="BF171" s="276">
        <v>640</v>
      </c>
      <c r="BG171" s="260">
        <v>10</v>
      </c>
      <c r="BH171" s="271">
        <v>320</v>
      </c>
      <c r="BI171" s="276"/>
      <c r="BJ171" s="276"/>
      <c r="BK171" s="276"/>
      <c r="BL171" s="275"/>
      <c r="BM171" s="323">
        <v>329</v>
      </c>
      <c r="BN171" s="272">
        <v>10</v>
      </c>
      <c r="BO171" s="270">
        <v>80</v>
      </c>
      <c r="BP171" s="272"/>
      <c r="BQ171" s="260"/>
      <c r="BR171" s="260"/>
      <c r="BS171" s="260"/>
      <c r="BT171" s="260"/>
      <c r="BU171" s="260"/>
      <c r="BV171" s="260">
        <v>5</v>
      </c>
      <c r="BW171" s="260">
        <v>320</v>
      </c>
      <c r="BX171" s="260"/>
      <c r="BY171" s="260"/>
      <c r="BZ171" s="260"/>
      <c r="CA171" s="260"/>
      <c r="CB171" s="260"/>
      <c r="CC171" s="260"/>
      <c r="CD171" s="260">
        <v>80</v>
      </c>
      <c r="CE171" s="260">
        <v>640</v>
      </c>
      <c r="CF171" s="272"/>
      <c r="CG171" s="260"/>
      <c r="CH171" s="260"/>
      <c r="CI171" s="260"/>
      <c r="CJ171" s="260"/>
      <c r="CK171" s="260"/>
      <c r="CL171" s="260"/>
      <c r="CM171" s="260"/>
      <c r="CN171" s="260">
        <v>40</v>
      </c>
      <c r="CO171" s="260">
        <v>160</v>
      </c>
      <c r="CP171" s="260">
        <v>40</v>
      </c>
      <c r="CQ171" s="260">
        <v>320</v>
      </c>
      <c r="CR171" s="260">
        <v>40</v>
      </c>
      <c r="CS171" s="270">
        <v>160</v>
      </c>
      <c r="CT171" s="322">
        <v>329</v>
      </c>
      <c r="CU171" s="249">
        <f>Table2821115[[#This Row],[D28 - BR/18]]/Table2821115[[#This Row],[D0 - BR/18]]</f>
        <v>8</v>
      </c>
      <c r="CV171" s="248">
        <f>Table2821115[[#This Row],[D28 - KS/17]]/Table2821115[[#This Row],[D0 - KS/17]]</f>
        <v>32</v>
      </c>
      <c r="CW171" s="248">
        <f>Table2821115[[#This Row],[D28 - Phu/13]]/Table2821115[[#This Row],[D0 - Phu/13]]</f>
        <v>8</v>
      </c>
      <c r="CX171" s="248">
        <f>Table2821115[[#This Row],[D28 - CO/17]]/Table2821115[[#This Row],[D0 - CO/17]]</f>
        <v>8</v>
      </c>
      <c r="CY171" s="248">
        <f>LOG(Table2821115[[#This Row],[BR/18 Fold]],2)</f>
        <v>3</v>
      </c>
      <c r="CZ171" s="248">
        <f>LOG(Table2821115[[#This Row],[KS/17 Fold]],2)</f>
        <v>5</v>
      </c>
      <c r="DA171" s="248">
        <f>LOG(Table2821115[[#This Row],[Phu/13 Fold]],2)</f>
        <v>3</v>
      </c>
      <c r="DB171" s="248">
        <f>LOG(Table2821115[[#This Row],[CO/17 Fold]],2)</f>
        <v>3</v>
      </c>
      <c r="DC171" s="248">
        <f>SUM(Table2821115[[#This Row],[BR/18 Log2]:[CO/17 Log2]])</f>
        <v>14</v>
      </c>
    </row>
    <row r="172" spans="1:107" ht="24" customHeight="1">
      <c r="A172" s="324">
        <v>330</v>
      </c>
      <c r="B172" s="190">
        <v>29404</v>
      </c>
      <c r="C172" s="190">
        <v>43760</v>
      </c>
      <c r="D172" s="189">
        <v>39</v>
      </c>
      <c r="E172" s="3" t="s">
        <v>61</v>
      </c>
      <c r="F172" s="143" t="s">
        <v>118</v>
      </c>
      <c r="G172" s="142">
        <v>38.607444988905321</v>
      </c>
      <c r="H172" s="11" t="s">
        <v>59</v>
      </c>
      <c r="I172" s="277" t="s">
        <v>62</v>
      </c>
      <c r="J172" s="260">
        <v>5</v>
      </c>
      <c r="K172" s="260">
        <v>5</v>
      </c>
      <c r="L172" s="260"/>
      <c r="M172" s="260"/>
      <c r="N172" s="260"/>
      <c r="O172" s="260"/>
      <c r="P172" s="260"/>
      <c r="Q172" s="260"/>
      <c r="R172" s="260"/>
      <c r="S172" s="260"/>
      <c r="T172" s="260"/>
      <c r="U172" s="260"/>
      <c r="V172" s="260">
        <v>5</v>
      </c>
      <c r="W172" s="260">
        <v>5</v>
      </c>
      <c r="X172" s="260">
        <v>20</v>
      </c>
      <c r="Y172" s="260">
        <v>40</v>
      </c>
      <c r="Z172" s="260">
        <v>10</v>
      </c>
      <c r="AA172" s="260">
        <v>20</v>
      </c>
      <c r="AB172" s="260">
        <v>5</v>
      </c>
      <c r="AC172" s="260">
        <v>10</v>
      </c>
      <c r="AD172" s="260"/>
      <c r="AE172" s="260"/>
      <c r="AF172" s="260"/>
      <c r="AG172" s="260"/>
      <c r="AH172" s="198">
        <v>330</v>
      </c>
      <c r="AI172" s="272">
        <v>5</v>
      </c>
      <c r="AJ172" s="271">
        <v>10</v>
      </c>
      <c r="AK172" s="260"/>
      <c r="AL172" s="260"/>
      <c r="AM172" s="260"/>
      <c r="AN172" s="260"/>
      <c r="AO172" s="260"/>
      <c r="AP172" s="260"/>
      <c r="AQ172" s="260"/>
      <c r="AR172" s="260"/>
      <c r="AS172" s="260"/>
      <c r="AT172" s="260"/>
      <c r="AU172" s="260">
        <v>40</v>
      </c>
      <c r="AV172" s="271">
        <v>80</v>
      </c>
      <c r="AW172" s="260">
        <v>10</v>
      </c>
      <c r="AX172" s="271">
        <v>40</v>
      </c>
      <c r="AY172" s="260">
        <v>20</v>
      </c>
      <c r="AZ172" s="271">
        <v>5</v>
      </c>
      <c r="BA172" s="276">
        <v>20</v>
      </c>
      <c r="BB172" s="276">
        <v>20</v>
      </c>
      <c r="BC172" s="276"/>
      <c r="BD172" s="276"/>
      <c r="BE172" s="276">
        <v>5</v>
      </c>
      <c r="BF172" s="276">
        <v>20</v>
      </c>
      <c r="BG172" s="260">
        <v>20</v>
      </c>
      <c r="BH172" s="271">
        <v>40</v>
      </c>
      <c r="BI172" s="276"/>
      <c r="BJ172" s="276"/>
      <c r="BK172" s="276"/>
      <c r="BL172" s="275"/>
      <c r="BM172" s="323">
        <v>330</v>
      </c>
      <c r="BN172" s="272">
        <v>10</v>
      </c>
      <c r="BO172" s="270">
        <v>40</v>
      </c>
      <c r="BP172" s="272"/>
      <c r="BQ172" s="260"/>
      <c r="BR172" s="260"/>
      <c r="BS172" s="260"/>
      <c r="BT172" s="260"/>
      <c r="BU172" s="260"/>
      <c r="BV172" s="260">
        <v>10</v>
      </c>
      <c r="BW172" s="260">
        <v>40</v>
      </c>
      <c r="BX172" s="260"/>
      <c r="BY172" s="260"/>
      <c r="BZ172" s="260"/>
      <c r="CA172" s="260"/>
      <c r="CB172" s="260"/>
      <c r="CC172" s="260"/>
      <c r="CD172" s="260">
        <v>10</v>
      </c>
      <c r="CE172" s="260">
        <v>40</v>
      </c>
      <c r="CF172" s="272"/>
      <c r="CG172" s="260"/>
      <c r="CH172" s="260"/>
      <c r="CI172" s="260"/>
      <c r="CJ172" s="260"/>
      <c r="CK172" s="260"/>
      <c r="CL172" s="260"/>
      <c r="CM172" s="260"/>
      <c r="CN172" s="260">
        <v>5</v>
      </c>
      <c r="CO172" s="260">
        <v>10</v>
      </c>
      <c r="CP172" s="260">
        <v>10</v>
      </c>
      <c r="CQ172" s="260">
        <v>20</v>
      </c>
      <c r="CR172" s="260">
        <v>10</v>
      </c>
      <c r="CS172" s="270">
        <v>20</v>
      </c>
      <c r="CT172" s="322">
        <v>330</v>
      </c>
      <c r="CU172" s="249">
        <f>Table2821115[[#This Row],[D28 - BR/18]]/Table2821115[[#This Row],[D0 - BR/18]]</f>
        <v>2</v>
      </c>
      <c r="CV172" s="248">
        <f>Table2821115[[#This Row],[D28 - KS/17]]/Table2821115[[#This Row],[D0 - KS/17]]</f>
        <v>4</v>
      </c>
      <c r="CW172" s="248">
        <f>Table2821115[[#This Row],[D28 - Phu/13]]/Table2821115[[#This Row],[D0 - Phu/13]]</f>
        <v>4</v>
      </c>
      <c r="CX172" s="248">
        <f>Table2821115[[#This Row],[D28 - CO/17]]/Table2821115[[#This Row],[D0 - CO/17]]</f>
        <v>2</v>
      </c>
      <c r="CY172" s="248">
        <f>LOG(Table2821115[[#This Row],[BR/18 Fold]],2)</f>
        <v>1</v>
      </c>
      <c r="CZ172" s="248">
        <f>LOG(Table2821115[[#This Row],[KS/17 Fold]],2)</f>
        <v>2</v>
      </c>
      <c r="DA172" s="248">
        <f>LOG(Table2821115[[#This Row],[Phu/13 Fold]],2)</f>
        <v>2</v>
      </c>
      <c r="DB172" s="248">
        <f>LOG(Table2821115[[#This Row],[CO/17 Fold]],2)</f>
        <v>1</v>
      </c>
      <c r="DC172" s="248">
        <f>SUM(Table2821115[[#This Row],[BR/18 Log2]:[CO/17 Log2]])</f>
        <v>6</v>
      </c>
    </row>
    <row r="173" spans="1:107" ht="24" customHeight="1">
      <c r="A173" s="324">
        <v>331</v>
      </c>
      <c r="B173" s="190">
        <v>26822</v>
      </c>
      <c r="C173" s="190">
        <v>43753</v>
      </c>
      <c r="D173" s="189">
        <v>46</v>
      </c>
      <c r="E173" s="3" t="s">
        <v>61</v>
      </c>
      <c r="F173" s="143" t="s">
        <v>116</v>
      </c>
      <c r="G173" s="142">
        <v>24.124473090873447</v>
      </c>
      <c r="H173" s="11" t="s">
        <v>59</v>
      </c>
      <c r="I173" s="277" t="s">
        <v>60</v>
      </c>
      <c r="J173" s="260">
        <v>5</v>
      </c>
      <c r="K173" s="260">
        <v>10</v>
      </c>
      <c r="L173" s="260"/>
      <c r="M173" s="260"/>
      <c r="N173" s="260"/>
      <c r="O173" s="260"/>
      <c r="P173" s="260"/>
      <c r="Q173" s="260"/>
      <c r="R173" s="260"/>
      <c r="S173" s="260"/>
      <c r="T173" s="260"/>
      <c r="U173" s="260"/>
      <c r="V173" s="260">
        <v>5</v>
      </c>
      <c r="W173" s="260">
        <v>5</v>
      </c>
      <c r="X173" s="260">
        <v>10</v>
      </c>
      <c r="Y173" s="260">
        <v>20</v>
      </c>
      <c r="Z173" s="260">
        <v>10</v>
      </c>
      <c r="AA173" s="260">
        <v>20</v>
      </c>
      <c r="AB173" s="260">
        <v>5</v>
      </c>
      <c r="AC173" s="260">
        <v>10</v>
      </c>
      <c r="AD173" s="260"/>
      <c r="AE173" s="260"/>
      <c r="AF173" s="260"/>
      <c r="AG173" s="260"/>
      <c r="AH173" s="198">
        <v>331</v>
      </c>
      <c r="AI173" s="272">
        <v>40</v>
      </c>
      <c r="AJ173" s="271">
        <v>80</v>
      </c>
      <c r="AK173" s="260"/>
      <c r="AL173" s="260"/>
      <c r="AM173" s="260"/>
      <c r="AN173" s="260"/>
      <c r="AO173" s="260"/>
      <c r="AP173" s="260"/>
      <c r="AQ173" s="260"/>
      <c r="AR173" s="260"/>
      <c r="AS173" s="260"/>
      <c r="AT173" s="260"/>
      <c r="AU173" s="260">
        <v>80</v>
      </c>
      <c r="AV173" s="271">
        <v>160</v>
      </c>
      <c r="AW173" s="260">
        <v>80</v>
      </c>
      <c r="AX173" s="271">
        <v>160</v>
      </c>
      <c r="AY173" s="260">
        <v>40</v>
      </c>
      <c r="AZ173" s="271">
        <v>5</v>
      </c>
      <c r="BA173" s="276">
        <v>40</v>
      </c>
      <c r="BB173" s="276">
        <v>80</v>
      </c>
      <c r="BC173" s="276"/>
      <c r="BD173" s="276"/>
      <c r="BE173" s="276">
        <v>40</v>
      </c>
      <c r="BF173" s="276">
        <v>80</v>
      </c>
      <c r="BG173" s="260">
        <v>40</v>
      </c>
      <c r="BH173" s="271">
        <v>80</v>
      </c>
      <c r="BI173" s="276"/>
      <c r="BJ173" s="276"/>
      <c r="BK173" s="276"/>
      <c r="BL173" s="275"/>
      <c r="BM173" s="323">
        <v>331</v>
      </c>
      <c r="BN173" s="272">
        <v>40</v>
      </c>
      <c r="BO173" s="270">
        <v>80</v>
      </c>
      <c r="BP173" s="272"/>
      <c r="BQ173" s="260"/>
      <c r="BR173" s="260"/>
      <c r="BS173" s="260"/>
      <c r="BT173" s="260"/>
      <c r="BU173" s="260"/>
      <c r="BV173" s="260">
        <v>40</v>
      </c>
      <c r="BW173" s="260">
        <v>80</v>
      </c>
      <c r="BX173" s="260"/>
      <c r="BY173" s="260"/>
      <c r="BZ173" s="260"/>
      <c r="CA173" s="260"/>
      <c r="CB173" s="260"/>
      <c r="CC173" s="260"/>
      <c r="CD173" s="260">
        <v>80</v>
      </c>
      <c r="CE173" s="260">
        <v>80</v>
      </c>
      <c r="CF173" s="272"/>
      <c r="CG173" s="260"/>
      <c r="CH173" s="260"/>
      <c r="CI173" s="260"/>
      <c r="CJ173" s="260"/>
      <c r="CK173" s="260"/>
      <c r="CL173" s="260"/>
      <c r="CM173" s="260"/>
      <c r="CN173" s="260">
        <v>10</v>
      </c>
      <c r="CO173" s="260">
        <v>20</v>
      </c>
      <c r="CP173" s="260">
        <v>10</v>
      </c>
      <c r="CQ173" s="260">
        <v>20</v>
      </c>
      <c r="CR173" s="260">
        <v>5</v>
      </c>
      <c r="CS173" s="270">
        <v>10</v>
      </c>
      <c r="CT173" s="322">
        <v>331</v>
      </c>
      <c r="CU173" s="249">
        <f>Table2821115[[#This Row],[D28 - BR/18]]/Table2821115[[#This Row],[D0 - BR/18]]</f>
        <v>2</v>
      </c>
      <c r="CV173" s="248">
        <f>Table2821115[[#This Row],[D28 - KS/17]]/Table2821115[[#This Row],[D0 - KS/17]]</f>
        <v>2</v>
      </c>
      <c r="CW173" s="248">
        <f>Table2821115[[#This Row],[D28 - Phu/13]]/Table2821115[[#This Row],[D0 - Phu/13]]</f>
        <v>1</v>
      </c>
      <c r="CX173" s="248">
        <f>Table2821115[[#This Row],[D28 - CO/17]]/Table2821115[[#This Row],[D0 - CO/17]]</f>
        <v>2</v>
      </c>
      <c r="CY173" s="248">
        <f>LOG(Table2821115[[#This Row],[BR/18 Fold]],2)</f>
        <v>1</v>
      </c>
      <c r="CZ173" s="248">
        <f>LOG(Table2821115[[#This Row],[KS/17 Fold]],2)</f>
        <v>1</v>
      </c>
      <c r="DA173" s="248">
        <f>LOG(Table2821115[[#This Row],[Phu/13 Fold]],2)</f>
        <v>0</v>
      </c>
      <c r="DB173" s="248">
        <f>LOG(Table2821115[[#This Row],[CO/17 Fold]],2)</f>
        <v>1</v>
      </c>
      <c r="DC173" s="248">
        <f>SUM(Table2821115[[#This Row],[BR/18 Log2]:[CO/17 Log2]])</f>
        <v>3</v>
      </c>
    </row>
    <row r="174" spans="1:107" ht="24" customHeight="1">
      <c r="A174" s="330">
        <v>332</v>
      </c>
      <c r="B174" s="210">
        <v>18374</v>
      </c>
      <c r="C174" s="210">
        <v>43754</v>
      </c>
      <c r="D174" s="209">
        <v>69</v>
      </c>
      <c r="E174" s="3" t="s">
        <v>61</v>
      </c>
      <c r="F174" s="143" t="s">
        <v>116</v>
      </c>
      <c r="G174" s="142">
        <v>26.274073792191551</v>
      </c>
      <c r="H174" s="5" t="s">
        <v>64</v>
      </c>
      <c r="I174" s="277" t="s">
        <v>60</v>
      </c>
      <c r="J174" s="260">
        <v>5</v>
      </c>
      <c r="K174" s="260">
        <v>5</v>
      </c>
      <c r="L174" s="260"/>
      <c r="M174" s="260"/>
      <c r="N174" s="260"/>
      <c r="O174" s="260"/>
      <c r="P174" s="260"/>
      <c r="Q174" s="260"/>
      <c r="R174" s="260"/>
      <c r="S174" s="260"/>
      <c r="T174" s="260"/>
      <c r="U174" s="260"/>
      <c r="V174" s="260">
        <v>5</v>
      </c>
      <c r="W174" s="260">
        <v>5</v>
      </c>
      <c r="X174" s="260">
        <v>5</v>
      </c>
      <c r="Y174" s="260">
        <v>10</v>
      </c>
      <c r="Z174" s="260">
        <v>5</v>
      </c>
      <c r="AA174" s="260">
        <v>5</v>
      </c>
      <c r="AB174" s="260">
        <v>5</v>
      </c>
      <c r="AC174" s="260">
        <v>5</v>
      </c>
      <c r="AD174" s="260"/>
      <c r="AE174" s="260"/>
      <c r="AF174" s="260"/>
      <c r="AG174" s="260"/>
      <c r="AH174" s="208">
        <v>332</v>
      </c>
      <c r="AI174" s="272">
        <v>5</v>
      </c>
      <c r="AJ174" s="271">
        <v>5</v>
      </c>
      <c r="AK174" s="260"/>
      <c r="AL174" s="260"/>
      <c r="AM174" s="260"/>
      <c r="AN174" s="260"/>
      <c r="AO174" s="260"/>
      <c r="AP174" s="260"/>
      <c r="AQ174" s="260"/>
      <c r="AR174" s="260"/>
      <c r="AS174" s="260"/>
      <c r="AT174" s="260"/>
      <c r="AU174" s="260">
        <v>20</v>
      </c>
      <c r="AV174" s="271">
        <v>80</v>
      </c>
      <c r="AW174" s="260">
        <v>10</v>
      </c>
      <c r="AX174" s="271">
        <v>40</v>
      </c>
      <c r="AY174" s="260">
        <v>10</v>
      </c>
      <c r="AZ174" s="271">
        <v>5</v>
      </c>
      <c r="BA174" s="276">
        <v>10</v>
      </c>
      <c r="BB174" s="276">
        <v>20</v>
      </c>
      <c r="BC174" s="276"/>
      <c r="BD174" s="276"/>
      <c r="BE174" s="276">
        <v>5</v>
      </c>
      <c r="BF174" s="276">
        <v>20</v>
      </c>
      <c r="BG174" s="260">
        <v>20</v>
      </c>
      <c r="BH174" s="271">
        <v>40</v>
      </c>
      <c r="BI174" s="276"/>
      <c r="BJ174" s="276"/>
      <c r="BK174" s="276"/>
      <c r="BL174" s="275"/>
      <c r="BM174" s="329">
        <v>332</v>
      </c>
      <c r="BN174" s="272">
        <v>10</v>
      </c>
      <c r="BO174" s="270">
        <v>10</v>
      </c>
      <c r="BP174" s="272"/>
      <c r="BQ174" s="260"/>
      <c r="BR174" s="260"/>
      <c r="BS174" s="260"/>
      <c r="BT174" s="260"/>
      <c r="BU174" s="260"/>
      <c r="BV174" s="260">
        <v>5</v>
      </c>
      <c r="BW174" s="260">
        <v>5</v>
      </c>
      <c r="BX174" s="260"/>
      <c r="BY174" s="260"/>
      <c r="BZ174" s="260"/>
      <c r="CA174" s="260"/>
      <c r="CB174" s="260"/>
      <c r="CC174" s="260"/>
      <c r="CD174" s="260">
        <v>5</v>
      </c>
      <c r="CE174" s="260">
        <v>5</v>
      </c>
      <c r="CF174" s="272"/>
      <c r="CG174" s="260"/>
      <c r="CH174" s="260"/>
      <c r="CI174" s="260"/>
      <c r="CJ174" s="260"/>
      <c r="CK174" s="260"/>
      <c r="CL174" s="260"/>
      <c r="CM174" s="260"/>
      <c r="CN174" s="260">
        <v>10</v>
      </c>
      <c r="CO174" s="260">
        <v>10</v>
      </c>
      <c r="CP174" s="260">
        <v>5</v>
      </c>
      <c r="CQ174" s="260">
        <v>10</v>
      </c>
      <c r="CR174" s="260">
        <v>5</v>
      </c>
      <c r="CS174" s="270">
        <v>5</v>
      </c>
      <c r="CT174" s="328">
        <v>332</v>
      </c>
      <c r="CU174" s="249">
        <f>Table2821115[[#This Row],[D28 - BR/18]]/Table2821115[[#This Row],[D0 - BR/18]]</f>
        <v>1</v>
      </c>
      <c r="CV174" s="248">
        <f>Table2821115[[#This Row],[D28 - KS/17]]/Table2821115[[#This Row],[D0 - KS/17]]</f>
        <v>4</v>
      </c>
      <c r="CW174" s="248">
        <f>Table2821115[[#This Row],[D28 - Phu/13]]/Table2821115[[#This Row],[D0 - Phu/13]]</f>
        <v>1</v>
      </c>
      <c r="CX174" s="248">
        <f>Table2821115[[#This Row],[D28 - CO/17]]/Table2821115[[#This Row],[D0 - CO/17]]</f>
        <v>2</v>
      </c>
      <c r="CY174" s="248">
        <f>LOG(Table2821115[[#This Row],[BR/18 Fold]],2)</f>
        <v>0</v>
      </c>
      <c r="CZ174" s="248">
        <f>LOG(Table2821115[[#This Row],[KS/17 Fold]],2)</f>
        <v>2</v>
      </c>
      <c r="DA174" s="248">
        <f>LOG(Table2821115[[#This Row],[Phu/13 Fold]],2)</f>
        <v>0</v>
      </c>
      <c r="DB174" s="248">
        <f>LOG(Table2821115[[#This Row],[CO/17 Fold]],2)</f>
        <v>1</v>
      </c>
      <c r="DC174" s="248">
        <f>SUM(Table2821115[[#This Row],[BR/18 Log2]:[CO/17 Log2]])</f>
        <v>3</v>
      </c>
    </row>
    <row r="175" spans="1:107" ht="24" customHeight="1">
      <c r="A175" s="318">
        <v>333</v>
      </c>
      <c r="B175" s="180">
        <v>21467</v>
      </c>
      <c r="C175" s="180">
        <v>43756</v>
      </c>
      <c r="D175" s="179">
        <v>61</v>
      </c>
      <c r="E175" s="3" t="s">
        <v>61</v>
      </c>
      <c r="F175" s="143" t="s">
        <v>116</v>
      </c>
      <c r="G175" s="142">
        <v>33.318397969662676</v>
      </c>
      <c r="H175" s="11" t="s">
        <v>59</v>
      </c>
      <c r="I175" s="277" t="s">
        <v>60</v>
      </c>
      <c r="J175" s="260">
        <v>5</v>
      </c>
      <c r="K175" s="260">
        <v>5</v>
      </c>
      <c r="L175" s="260"/>
      <c r="M175" s="260"/>
      <c r="N175" s="260"/>
      <c r="O175" s="260"/>
      <c r="P175" s="260"/>
      <c r="Q175" s="260"/>
      <c r="R175" s="260"/>
      <c r="S175" s="260"/>
      <c r="T175" s="260"/>
      <c r="U175" s="260"/>
      <c r="V175" s="260">
        <v>5</v>
      </c>
      <c r="W175" s="260">
        <v>5</v>
      </c>
      <c r="X175" s="260">
        <v>20</v>
      </c>
      <c r="Y175" s="260">
        <v>160</v>
      </c>
      <c r="Z175" s="260">
        <v>20</v>
      </c>
      <c r="AA175" s="260">
        <v>160</v>
      </c>
      <c r="AB175" s="260">
        <v>20</v>
      </c>
      <c r="AC175" s="260">
        <v>80</v>
      </c>
      <c r="AD175" s="260"/>
      <c r="AE175" s="260"/>
      <c r="AF175" s="260"/>
      <c r="AG175" s="260"/>
      <c r="AH175" s="195">
        <v>333</v>
      </c>
      <c r="AI175" s="272">
        <v>10</v>
      </c>
      <c r="AJ175" s="271">
        <v>20</v>
      </c>
      <c r="AK175" s="260"/>
      <c r="AL175" s="260"/>
      <c r="AM175" s="260"/>
      <c r="AN175" s="260"/>
      <c r="AO175" s="260"/>
      <c r="AP175" s="260"/>
      <c r="AQ175" s="260"/>
      <c r="AR175" s="260"/>
      <c r="AS175" s="260"/>
      <c r="AT175" s="260"/>
      <c r="AU175" s="260">
        <v>160</v>
      </c>
      <c r="AV175" s="271">
        <v>640</v>
      </c>
      <c r="AW175" s="260">
        <v>80</v>
      </c>
      <c r="AX175" s="271">
        <v>640</v>
      </c>
      <c r="AY175" s="260">
        <v>40</v>
      </c>
      <c r="AZ175" s="271">
        <v>5</v>
      </c>
      <c r="BA175" s="276">
        <v>80</v>
      </c>
      <c r="BB175" s="276">
        <v>640</v>
      </c>
      <c r="BC175" s="276"/>
      <c r="BD175" s="276"/>
      <c r="BE175" s="276">
        <v>10</v>
      </c>
      <c r="BF175" s="276">
        <v>160</v>
      </c>
      <c r="BG175" s="260">
        <v>80</v>
      </c>
      <c r="BH175" s="271">
        <v>320</v>
      </c>
      <c r="BI175" s="276"/>
      <c r="BJ175" s="276"/>
      <c r="BK175" s="276"/>
      <c r="BL175" s="275"/>
      <c r="BM175" s="316">
        <v>333</v>
      </c>
      <c r="BN175" s="272">
        <v>80</v>
      </c>
      <c r="BO175" s="270">
        <v>160</v>
      </c>
      <c r="BP175" s="272"/>
      <c r="BQ175" s="260"/>
      <c r="BR175" s="260"/>
      <c r="BS175" s="260"/>
      <c r="BT175" s="260"/>
      <c r="BU175" s="260"/>
      <c r="BV175" s="260">
        <v>80</v>
      </c>
      <c r="BW175" s="260">
        <v>320</v>
      </c>
      <c r="BX175" s="260"/>
      <c r="BY175" s="260"/>
      <c r="BZ175" s="260"/>
      <c r="CA175" s="260"/>
      <c r="CB175" s="260"/>
      <c r="CC175" s="260"/>
      <c r="CD175" s="260">
        <v>160</v>
      </c>
      <c r="CE175" s="260">
        <v>320</v>
      </c>
      <c r="CF175" s="272"/>
      <c r="CG175" s="260"/>
      <c r="CH175" s="260"/>
      <c r="CI175" s="260"/>
      <c r="CJ175" s="260"/>
      <c r="CK175" s="260"/>
      <c r="CL175" s="260"/>
      <c r="CM175" s="260"/>
      <c r="CN175" s="260">
        <v>20</v>
      </c>
      <c r="CO175" s="260">
        <v>160</v>
      </c>
      <c r="CP175" s="260">
        <v>80</v>
      </c>
      <c r="CQ175" s="260">
        <v>160</v>
      </c>
      <c r="CR175" s="260">
        <v>40</v>
      </c>
      <c r="CS175" s="270">
        <v>80</v>
      </c>
      <c r="CT175" s="315">
        <v>333</v>
      </c>
      <c r="CU175" s="249">
        <f>Table2821115[[#This Row],[D28 - BR/18]]/Table2821115[[#This Row],[D0 - BR/18]]</f>
        <v>4</v>
      </c>
      <c r="CV175" s="248">
        <f>Table2821115[[#This Row],[D28 - KS/17]]/Table2821115[[#This Row],[D0 - KS/17]]</f>
        <v>16</v>
      </c>
      <c r="CW175" s="248">
        <f>Table2821115[[#This Row],[D28 - Phu/13]]/Table2821115[[#This Row],[D0 - Phu/13]]</f>
        <v>2</v>
      </c>
      <c r="CX175" s="248">
        <f>Table2821115[[#This Row],[D28 - CO/17]]/Table2821115[[#This Row],[D0 - CO/17]]</f>
        <v>2</v>
      </c>
      <c r="CY175" s="248">
        <f>LOG(Table2821115[[#This Row],[BR/18 Fold]],2)</f>
        <v>2</v>
      </c>
      <c r="CZ175" s="248">
        <f>LOG(Table2821115[[#This Row],[KS/17 Fold]],2)</f>
        <v>4</v>
      </c>
      <c r="DA175" s="248">
        <f>LOG(Table2821115[[#This Row],[Phu/13 Fold]],2)</f>
        <v>1</v>
      </c>
      <c r="DB175" s="248">
        <f>LOG(Table2821115[[#This Row],[CO/17 Fold]],2)</f>
        <v>1</v>
      </c>
      <c r="DC175" s="248">
        <f>SUM(Table2821115[[#This Row],[BR/18 Log2]:[CO/17 Log2]])</f>
        <v>8</v>
      </c>
    </row>
    <row r="176" spans="1:107" ht="24" customHeight="1">
      <c r="A176" s="330">
        <v>334</v>
      </c>
      <c r="B176" s="210">
        <v>18939</v>
      </c>
      <c r="C176" s="210">
        <v>43770</v>
      </c>
      <c r="D176" s="209">
        <v>67</v>
      </c>
      <c r="E176" s="4" t="s">
        <v>58</v>
      </c>
      <c r="F176" s="143" t="s">
        <v>116</v>
      </c>
      <c r="G176" s="142">
        <v>30.903439994349089</v>
      </c>
      <c r="H176" s="5" t="s">
        <v>64</v>
      </c>
      <c r="I176" s="277" t="s">
        <v>60</v>
      </c>
      <c r="J176" s="260">
        <v>5</v>
      </c>
      <c r="K176" s="260">
        <v>5</v>
      </c>
      <c r="L176" s="260"/>
      <c r="M176" s="260"/>
      <c r="N176" s="260"/>
      <c r="O176" s="260"/>
      <c r="P176" s="260"/>
      <c r="Q176" s="260"/>
      <c r="R176" s="260"/>
      <c r="S176" s="260"/>
      <c r="T176" s="260"/>
      <c r="U176" s="260"/>
      <c r="V176" s="260">
        <v>5</v>
      </c>
      <c r="W176" s="260">
        <v>10</v>
      </c>
      <c r="X176" s="260">
        <v>20</v>
      </c>
      <c r="Y176" s="260">
        <v>40</v>
      </c>
      <c r="Z176" s="260">
        <v>20</v>
      </c>
      <c r="AA176" s="260">
        <v>40</v>
      </c>
      <c r="AB176" s="260">
        <v>10</v>
      </c>
      <c r="AC176" s="260">
        <v>20</v>
      </c>
      <c r="AD176" s="260"/>
      <c r="AE176" s="260"/>
      <c r="AF176" s="260"/>
      <c r="AG176" s="260"/>
      <c r="AH176" s="208">
        <v>334</v>
      </c>
      <c r="AI176" s="272">
        <v>5</v>
      </c>
      <c r="AJ176" s="271">
        <v>5</v>
      </c>
      <c r="AK176" s="260"/>
      <c r="AL176" s="260"/>
      <c r="AM176" s="260"/>
      <c r="AN176" s="260"/>
      <c r="AO176" s="260"/>
      <c r="AP176" s="260"/>
      <c r="AQ176" s="260"/>
      <c r="AR176" s="260"/>
      <c r="AS176" s="260"/>
      <c r="AT176" s="260"/>
      <c r="AU176" s="260">
        <v>20</v>
      </c>
      <c r="AV176" s="271">
        <v>80</v>
      </c>
      <c r="AW176" s="260">
        <v>10</v>
      </c>
      <c r="AX176" s="271">
        <v>80</v>
      </c>
      <c r="AY176" s="260">
        <v>5</v>
      </c>
      <c r="AZ176" s="271">
        <v>5</v>
      </c>
      <c r="BA176" s="276">
        <v>10</v>
      </c>
      <c r="BB176" s="276">
        <v>80</v>
      </c>
      <c r="BC176" s="276"/>
      <c r="BD176" s="276"/>
      <c r="BE176" s="276">
        <v>5</v>
      </c>
      <c r="BF176" s="276">
        <v>40</v>
      </c>
      <c r="BG176" s="260">
        <v>10</v>
      </c>
      <c r="BH176" s="271">
        <v>20</v>
      </c>
      <c r="BI176" s="276"/>
      <c r="BJ176" s="276"/>
      <c r="BK176" s="276"/>
      <c r="BL176" s="275"/>
      <c r="BM176" s="329">
        <v>334</v>
      </c>
      <c r="BN176" s="272">
        <v>40</v>
      </c>
      <c r="BO176" s="270">
        <v>40</v>
      </c>
      <c r="BP176" s="272"/>
      <c r="BQ176" s="260"/>
      <c r="BR176" s="260"/>
      <c r="BS176" s="260"/>
      <c r="BT176" s="260"/>
      <c r="BU176" s="260"/>
      <c r="BV176" s="260">
        <v>80</v>
      </c>
      <c r="BW176" s="260">
        <v>80</v>
      </c>
      <c r="BX176" s="260"/>
      <c r="BY176" s="260"/>
      <c r="BZ176" s="260"/>
      <c r="CA176" s="260"/>
      <c r="CB176" s="260"/>
      <c r="CC176" s="260"/>
      <c r="CD176" s="260">
        <v>80</v>
      </c>
      <c r="CE176" s="260">
        <v>80</v>
      </c>
      <c r="CF176" s="272"/>
      <c r="CG176" s="260"/>
      <c r="CH176" s="260"/>
      <c r="CI176" s="260"/>
      <c r="CJ176" s="260"/>
      <c r="CK176" s="260"/>
      <c r="CL176" s="260"/>
      <c r="CM176" s="260"/>
      <c r="CN176" s="260">
        <v>40</v>
      </c>
      <c r="CO176" s="260">
        <v>40</v>
      </c>
      <c r="CP176" s="260">
        <v>40</v>
      </c>
      <c r="CQ176" s="260">
        <v>40</v>
      </c>
      <c r="CR176" s="260">
        <v>40</v>
      </c>
      <c r="CS176" s="270">
        <v>40</v>
      </c>
      <c r="CT176" s="328">
        <v>334</v>
      </c>
      <c r="CU176" s="249">
        <f>Table2821115[[#This Row],[D28 - BR/18]]/Table2821115[[#This Row],[D0 - BR/18]]</f>
        <v>2</v>
      </c>
      <c r="CV176" s="248">
        <f>Table2821115[[#This Row],[D28 - KS/17]]/Table2821115[[#This Row],[D0 - KS/17]]</f>
        <v>8</v>
      </c>
      <c r="CW176" s="248">
        <f>Table2821115[[#This Row],[D28 - Phu/13]]/Table2821115[[#This Row],[D0 - Phu/13]]</f>
        <v>1</v>
      </c>
      <c r="CX176" s="248">
        <f>Table2821115[[#This Row],[D28 - CO/17]]/Table2821115[[#This Row],[D0 - CO/17]]</f>
        <v>1</v>
      </c>
      <c r="CY176" s="248">
        <f>LOG(Table2821115[[#This Row],[BR/18 Fold]],2)</f>
        <v>1</v>
      </c>
      <c r="CZ176" s="248">
        <f>LOG(Table2821115[[#This Row],[KS/17 Fold]],2)</f>
        <v>3</v>
      </c>
      <c r="DA176" s="248">
        <f>LOG(Table2821115[[#This Row],[Phu/13 Fold]],2)</f>
        <v>0</v>
      </c>
      <c r="DB176" s="248">
        <f>LOG(Table2821115[[#This Row],[CO/17 Fold]],2)</f>
        <v>0</v>
      </c>
      <c r="DC176" s="248">
        <f>SUM(Table2821115[[#This Row],[BR/18 Log2]:[CO/17 Log2]])</f>
        <v>4</v>
      </c>
    </row>
    <row r="177" spans="1:107" ht="24" customHeight="1">
      <c r="A177" s="330">
        <v>335</v>
      </c>
      <c r="B177" s="210">
        <v>18963</v>
      </c>
      <c r="C177" s="210">
        <v>43770</v>
      </c>
      <c r="D177" s="209">
        <v>67</v>
      </c>
      <c r="E177" s="3" t="s">
        <v>61</v>
      </c>
      <c r="F177" s="143" t="s">
        <v>116</v>
      </c>
      <c r="G177" s="142">
        <v>31.12806364933482</v>
      </c>
      <c r="H177" s="5" t="s">
        <v>64</v>
      </c>
      <c r="I177" s="277" t="s">
        <v>60</v>
      </c>
      <c r="J177" s="260">
        <v>5</v>
      </c>
      <c r="K177" s="260">
        <v>5</v>
      </c>
      <c r="L177" s="260"/>
      <c r="M177" s="260"/>
      <c r="N177" s="260"/>
      <c r="O177" s="260"/>
      <c r="P177" s="260"/>
      <c r="Q177" s="260"/>
      <c r="R177" s="260"/>
      <c r="S177" s="260"/>
      <c r="T177" s="260"/>
      <c r="U177" s="260"/>
      <c r="V177" s="260">
        <v>5</v>
      </c>
      <c r="W177" s="260">
        <v>5</v>
      </c>
      <c r="X177" s="260">
        <v>10</v>
      </c>
      <c r="Y177" s="260">
        <v>40</v>
      </c>
      <c r="Z177" s="260">
        <v>20</v>
      </c>
      <c r="AA177" s="260">
        <v>40</v>
      </c>
      <c r="AB177" s="260">
        <v>5</v>
      </c>
      <c r="AC177" s="260">
        <v>5</v>
      </c>
      <c r="AD177" s="260"/>
      <c r="AE177" s="260"/>
      <c r="AF177" s="260"/>
      <c r="AG177" s="260"/>
      <c r="AH177" s="208">
        <v>335</v>
      </c>
      <c r="AI177" s="272">
        <v>20</v>
      </c>
      <c r="AJ177" s="271">
        <v>20</v>
      </c>
      <c r="AK177" s="260"/>
      <c r="AL177" s="260"/>
      <c r="AM177" s="260"/>
      <c r="AN177" s="260"/>
      <c r="AO177" s="260"/>
      <c r="AP177" s="260"/>
      <c r="AQ177" s="260"/>
      <c r="AR177" s="260"/>
      <c r="AS177" s="260"/>
      <c r="AT177" s="260"/>
      <c r="AU177" s="260">
        <v>40</v>
      </c>
      <c r="AV177" s="271">
        <v>160</v>
      </c>
      <c r="AW177" s="260">
        <v>40</v>
      </c>
      <c r="AX177" s="271">
        <v>160</v>
      </c>
      <c r="AY177" s="260">
        <v>20</v>
      </c>
      <c r="AZ177" s="271">
        <v>5</v>
      </c>
      <c r="BA177" s="276">
        <v>20</v>
      </c>
      <c r="BB177" s="276">
        <v>160</v>
      </c>
      <c r="BC177" s="276"/>
      <c r="BD177" s="276"/>
      <c r="BE177" s="276">
        <v>10</v>
      </c>
      <c r="BF177" s="276">
        <v>80</v>
      </c>
      <c r="BG177" s="260">
        <v>40</v>
      </c>
      <c r="BH177" s="271">
        <v>160</v>
      </c>
      <c r="BI177" s="276"/>
      <c r="BJ177" s="276"/>
      <c r="BK177" s="276"/>
      <c r="BL177" s="275"/>
      <c r="BM177" s="329">
        <v>335</v>
      </c>
      <c r="BN177" s="272">
        <v>10</v>
      </c>
      <c r="BO177" s="270">
        <v>40</v>
      </c>
      <c r="BP177" s="272"/>
      <c r="BQ177" s="260"/>
      <c r="BR177" s="260"/>
      <c r="BS177" s="260"/>
      <c r="BT177" s="260"/>
      <c r="BU177" s="260"/>
      <c r="BV177" s="260">
        <v>5</v>
      </c>
      <c r="BW177" s="260">
        <v>20</v>
      </c>
      <c r="BX177" s="260"/>
      <c r="BY177" s="260"/>
      <c r="BZ177" s="260"/>
      <c r="CA177" s="260"/>
      <c r="CB177" s="260"/>
      <c r="CC177" s="260"/>
      <c r="CD177" s="260">
        <v>5</v>
      </c>
      <c r="CE177" s="260">
        <v>5</v>
      </c>
      <c r="CF177" s="272"/>
      <c r="CG177" s="260"/>
      <c r="CH177" s="260"/>
      <c r="CI177" s="260"/>
      <c r="CJ177" s="260"/>
      <c r="CK177" s="260"/>
      <c r="CL177" s="260"/>
      <c r="CM177" s="260"/>
      <c r="CN177" s="260">
        <v>20</v>
      </c>
      <c r="CO177" s="260">
        <v>40</v>
      </c>
      <c r="CP177" s="260">
        <v>5</v>
      </c>
      <c r="CQ177" s="260">
        <v>5</v>
      </c>
      <c r="CR177" s="260">
        <v>10</v>
      </c>
      <c r="CS177" s="270">
        <v>20</v>
      </c>
      <c r="CT177" s="328">
        <v>335</v>
      </c>
      <c r="CU177" s="249">
        <f>Table2821115[[#This Row],[D28 - BR/18]]/Table2821115[[#This Row],[D0 - BR/18]]</f>
        <v>1</v>
      </c>
      <c r="CV177" s="248">
        <f>Table2821115[[#This Row],[D28 - KS/17]]/Table2821115[[#This Row],[D0 - KS/17]]</f>
        <v>8</v>
      </c>
      <c r="CW177" s="248">
        <f>Table2821115[[#This Row],[D28 - Phu/13]]/Table2821115[[#This Row],[D0 - Phu/13]]</f>
        <v>1</v>
      </c>
      <c r="CX177" s="248">
        <f>Table2821115[[#This Row],[D28 - CO/17]]/Table2821115[[#This Row],[D0 - CO/17]]</f>
        <v>1</v>
      </c>
      <c r="CY177" s="248">
        <f>LOG(Table2821115[[#This Row],[BR/18 Fold]],2)</f>
        <v>0</v>
      </c>
      <c r="CZ177" s="248">
        <f>LOG(Table2821115[[#This Row],[KS/17 Fold]],2)</f>
        <v>3</v>
      </c>
      <c r="DA177" s="248">
        <f>LOG(Table2821115[[#This Row],[Phu/13 Fold]],2)</f>
        <v>0</v>
      </c>
      <c r="DB177" s="248">
        <f>LOG(Table2821115[[#This Row],[CO/17 Fold]],2)</f>
        <v>0</v>
      </c>
      <c r="DC177" s="248">
        <f>SUM(Table2821115[[#This Row],[BR/18 Log2]:[CO/17 Log2]])</f>
        <v>3</v>
      </c>
    </row>
    <row r="178" spans="1:107" ht="24" customHeight="1">
      <c r="A178" s="318">
        <v>336</v>
      </c>
      <c r="B178" s="180">
        <v>23252</v>
      </c>
      <c r="C178" s="180">
        <v>43755</v>
      </c>
      <c r="D178" s="179">
        <v>56</v>
      </c>
      <c r="E178" s="4" t="s">
        <v>58</v>
      </c>
      <c r="F178" s="143" t="s">
        <v>116</v>
      </c>
      <c r="G178" s="142">
        <v>41.109160336602443</v>
      </c>
      <c r="H178" s="11" t="s">
        <v>59</v>
      </c>
      <c r="I178" s="277" t="s">
        <v>60</v>
      </c>
      <c r="J178" s="260">
        <v>5</v>
      </c>
      <c r="K178" s="260">
        <v>40</v>
      </c>
      <c r="L178" s="260"/>
      <c r="M178" s="260"/>
      <c r="N178" s="260"/>
      <c r="O178" s="260"/>
      <c r="P178" s="260"/>
      <c r="Q178" s="260"/>
      <c r="R178" s="260"/>
      <c r="S178" s="260"/>
      <c r="T178" s="260"/>
      <c r="U178" s="260"/>
      <c r="V178" s="260">
        <v>5</v>
      </c>
      <c r="W178" s="260">
        <v>10</v>
      </c>
      <c r="X178" s="260">
        <v>40</v>
      </c>
      <c r="Y178" s="260">
        <v>80</v>
      </c>
      <c r="Z178" s="260">
        <v>40</v>
      </c>
      <c r="AA178" s="260">
        <v>80</v>
      </c>
      <c r="AB178" s="260">
        <v>20</v>
      </c>
      <c r="AC178" s="260">
        <v>40</v>
      </c>
      <c r="AD178" s="260"/>
      <c r="AE178" s="260"/>
      <c r="AF178" s="260"/>
      <c r="AG178" s="260"/>
      <c r="AH178" s="195">
        <v>336</v>
      </c>
      <c r="AI178" s="272">
        <v>5</v>
      </c>
      <c r="AJ178" s="271">
        <v>10</v>
      </c>
      <c r="AK178" s="260"/>
      <c r="AL178" s="260"/>
      <c r="AM178" s="260"/>
      <c r="AN178" s="260"/>
      <c r="AO178" s="260"/>
      <c r="AP178" s="260"/>
      <c r="AQ178" s="260"/>
      <c r="AR178" s="260"/>
      <c r="AS178" s="260"/>
      <c r="AT178" s="260"/>
      <c r="AU178" s="260">
        <v>20</v>
      </c>
      <c r="AV178" s="271">
        <v>40</v>
      </c>
      <c r="AW178" s="260">
        <v>5</v>
      </c>
      <c r="AX178" s="271">
        <v>40</v>
      </c>
      <c r="AY178" s="260">
        <v>5</v>
      </c>
      <c r="AZ178" s="271">
        <v>5</v>
      </c>
      <c r="BA178" s="276">
        <v>10</v>
      </c>
      <c r="BB178" s="276">
        <v>40</v>
      </c>
      <c r="BC178" s="276"/>
      <c r="BD178" s="276"/>
      <c r="BE178" s="276">
        <v>5</v>
      </c>
      <c r="BF178" s="276">
        <v>20</v>
      </c>
      <c r="BG178" s="260">
        <v>10</v>
      </c>
      <c r="BH178" s="271">
        <v>40</v>
      </c>
      <c r="BI178" s="276"/>
      <c r="BJ178" s="276"/>
      <c r="BK178" s="276"/>
      <c r="BL178" s="275"/>
      <c r="BM178" s="316">
        <v>336</v>
      </c>
      <c r="BN178" s="272">
        <v>80</v>
      </c>
      <c r="BO178" s="270">
        <v>160</v>
      </c>
      <c r="BP178" s="272"/>
      <c r="BQ178" s="260"/>
      <c r="BR178" s="260"/>
      <c r="BS178" s="260"/>
      <c r="BT178" s="260"/>
      <c r="BU178" s="260"/>
      <c r="BV178" s="260">
        <v>5</v>
      </c>
      <c r="BW178" s="260">
        <v>160</v>
      </c>
      <c r="BX178" s="260"/>
      <c r="BY178" s="260"/>
      <c r="BZ178" s="260"/>
      <c r="CA178" s="260"/>
      <c r="CB178" s="260"/>
      <c r="CC178" s="260"/>
      <c r="CD178" s="260">
        <v>80</v>
      </c>
      <c r="CE178" s="260">
        <v>160</v>
      </c>
      <c r="CF178" s="272"/>
      <c r="CG178" s="260"/>
      <c r="CH178" s="260"/>
      <c r="CI178" s="260"/>
      <c r="CJ178" s="260"/>
      <c r="CK178" s="260"/>
      <c r="CL178" s="260"/>
      <c r="CM178" s="260"/>
      <c r="CN178" s="260">
        <v>40</v>
      </c>
      <c r="CO178" s="260">
        <v>80</v>
      </c>
      <c r="CP178" s="260">
        <v>40</v>
      </c>
      <c r="CQ178" s="260">
        <v>80</v>
      </c>
      <c r="CR178" s="260">
        <v>20</v>
      </c>
      <c r="CS178" s="270">
        <v>40</v>
      </c>
      <c r="CT178" s="315">
        <v>336</v>
      </c>
      <c r="CU178" s="249">
        <f>Table2821115[[#This Row],[D28 - BR/18]]/Table2821115[[#This Row],[D0 - BR/18]]</f>
        <v>2</v>
      </c>
      <c r="CV178" s="248">
        <f>Table2821115[[#This Row],[D28 - KS/17]]/Table2821115[[#This Row],[D0 - KS/17]]</f>
        <v>4</v>
      </c>
      <c r="CW178" s="248">
        <f>Table2821115[[#This Row],[D28 - Phu/13]]/Table2821115[[#This Row],[D0 - Phu/13]]</f>
        <v>2</v>
      </c>
      <c r="CX178" s="248">
        <f>Table2821115[[#This Row],[D28 - CO/17]]/Table2821115[[#This Row],[D0 - CO/17]]</f>
        <v>2</v>
      </c>
      <c r="CY178" s="248">
        <f>LOG(Table2821115[[#This Row],[BR/18 Fold]],2)</f>
        <v>1</v>
      </c>
      <c r="CZ178" s="248">
        <f>LOG(Table2821115[[#This Row],[KS/17 Fold]],2)</f>
        <v>2</v>
      </c>
      <c r="DA178" s="248">
        <f>LOG(Table2821115[[#This Row],[Phu/13 Fold]],2)</f>
        <v>1</v>
      </c>
      <c r="DB178" s="248">
        <f>LOG(Table2821115[[#This Row],[CO/17 Fold]],2)</f>
        <v>1</v>
      </c>
      <c r="DC178" s="248">
        <f>SUM(Table2821115[[#This Row],[BR/18 Log2]:[CO/17 Log2]])</f>
        <v>5</v>
      </c>
    </row>
    <row r="179" spans="1:107" ht="24" customHeight="1">
      <c r="A179" s="324">
        <v>337</v>
      </c>
      <c r="B179" s="190">
        <v>28165</v>
      </c>
      <c r="C179" s="190">
        <v>43774</v>
      </c>
      <c r="D179" s="189">
        <v>42</v>
      </c>
      <c r="E179" s="3" t="s">
        <v>61</v>
      </c>
      <c r="F179" s="143" t="s">
        <v>116</v>
      </c>
      <c r="G179" s="142">
        <v>22.776987676388654</v>
      </c>
      <c r="H179" s="11" t="s">
        <v>59</v>
      </c>
      <c r="I179" s="277" t="s">
        <v>60</v>
      </c>
      <c r="J179" s="260">
        <v>5</v>
      </c>
      <c r="K179" s="260">
        <v>5</v>
      </c>
      <c r="L179" s="260"/>
      <c r="M179" s="260"/>
      <c r="N179" s="260"/>
      <c r="O179" s="260"/>
      <c r="P179" s="260"/>
      <c r="Q179" s="260"/>
      <c r="R179" s="260"/>
      <c r="S179" s="260"/>
      <c r="T179" s="260"/>
      <c r="U179" s="260"/>
      <c r="V179" s="260">
        <v>20</v>
      </c>
      <c r="W179" s="260">
        <v>20</v>
      </c>
      <c r="X179" s="260">
        <v>10</v>
      </c>
      <c r="Y179" s="260">
        <v>5</v>
      </c>
      <c r="Z179" s="260">
        <v>20</v>
      </c>
      <c r="AA179" s="260">
        <v>20</v>
      </c>
      <c r="AB179" s="260">
        <v>5</v>
      </c>
      <c r="AC179" s="260">
        <v>5</v>
      </c>
      <c r="AD179" s="260"/>
      <c r="AE179" s="260"/>
      <c r="AF179" s="260"/>
      <c r="AG179" s="260"/>
      <c r="AH179" s="198">
        <v>337</v>
      </c>
      <c r="AI179" s="272">
        <v>5</v>
      </c>
      <c r="AJ179" s="271">
        <v>5</v>
      </c>
      <c r="AK179" s="260"/>
      <c r="AL179" s="260"/>
      <c r="AM179" s="260"/>
      <c r="AN179" s="260"/>
      <c r="AO179" s="260"/>
      <c r="AP179" s="260"/>
      <c r="AQ179" s="260"/>
      <c r="AR179" s="260"/>
      <c r="AS179" s="260"/>
      <c r="AT179" s="260"/>
      <c r="AU179" s="260">
        <v>40</v>
      </c>
      <c r="AV179" s="271">
        <v>40</v>
      </c>
      <c r="AW179" s="260">
        <v>40</v>
      </c>
      <c r="AX179" s="271">
        <v>40</v>
      </c>
      <c r="AY179" s="260">
        <v>20</v>
      </c>
      <c r="AZ179" s="271">
        <v>5</v>
      </c>
      <c r="BA179" s="276">
        <v>20</v>
      </c>
      <c r="BB179" s="276">
        <v>20</v>
      </c>
      <c r="BC179" s="276"/>
      <c r="BD179" s="276"/>
      <c r="BE179" s="276">
        <v>10</v>
      </c>
      <c r="BF179" s="276">
        <v>10</v>
      </c>
      <c r="BG179" s="260">
        <v>40</v>
      </c>
      <c r="BH179" s="271">
        <v>40</v>
      </c>
      <c r="BI179" s="276"/>
      <c r="BJ179" s="276"/>
      <c r="BK179" s="276"/>
      <c r="BL179" s="275"/>
      <c r="BM179" s="323">
        <v>337</v>
      </c>
      <c r="BN179" s="272">
        <v>40</v>
      </c>
      <c r="BO179" s="270">
        <v>40</v>
      </c>
      <c r="BP179" s="272"/>
      <c r="BQ179" s="260"/>
      <c r="BR179" s="260"/>
      <c r="BS179" s="260"/>
      <c r="BT179" s="260"/>
      <c r="BU179" s="260"/>
      <c r="BV179" s="260">
        <v>40</v>
      </c>
      <c r="BW179" s="260">
        <v>5</v>
      </c>
      <c r="BX179" s="260"/>
      <c r="BY179" s="260"/>
      <c r="BZ179" s="260"/>
      <c r="CA179" s="260"/>
      <c r="CB179" s="260"/>
      <c r="CC179" s="260"/>
      <c r="CD179" s="260">
        <v>80</v>
      </c>
      <c r="CE179" s="260">
        <v>80</v>
      </c>
      <c r="CF179" s="272"/>
      <c r="CG179" s="260"/>
      <c r="CH179" s="260"/>
      <c r="CI179" s="260"/>
      <c r="CJ179" s="260"/>
      <c r="CK179" s="260"/>
      <c r="CL179" s="260"/>
      <c r="CM179" s="260"/>
      <c r="CN179" s="260">
        <v>40</v>
      </c>
      <c r="CO179" s="260">
        <v>40</v>
      </c>
      <c r="CP179" s="260">
        <v>80</v>
      </c>
      <c r="CQ179" s="260">
        <v>80</v>
      </c>
      <c r="CR179" s="260">
        <v>80</v>
      </c>
      <c r="CS179" s="270">
        <v>80</v>
      </c>
      <c r="CT179" s="322">
        <v>337</v>
      </c>
      <c r="CU179" s="249">
        <f>Table2821115[[#This Row],[D28 - BR/18]]/Table2821115[[#This Row],[D0 - BR/18]]</f>
        <v>1</v>
      </c>
      <c r="CV179" s="248">
        <f>Table2821115[[#This Row],[D28 - KS/17]]/Table2821115[[#This Row],[D0 - KS/17]]</f>
        <v>1</v>
      </c>
      <c r="CW179" s="248">
        <f>Table2821115[[#This Row],[D28 - Phu/13]]/Table2821115[[#This Row],[D0 - Phu/13]]</f>
        <v>1</v>
      </c>
      <c r="CX179" s="248">
        <f>Table2821115[[#This Row],[D28 - CO/17]]/Table2821115[[#This Row],[D0 - CO/17]]</f>
        <v>1</v>
      </c>
      <c r="CY179" s="248">
        <f>LOG(Table2821115[[#This Row],[BR/18 Fold]],2)</f>
        <v>0</v>
      </c>
      <c r="CZ179" s="248">
        <f>LOG(Table2821115[[#This Row],[KS/17 Fold]],2)</f>
        <v>0</v>
      </c>
      <c r="DA179" s="248">
        <f>LOG(Table2821115[[#This Row],[Phu/13 Fold]],2)</f>
        <v>0</v>
      </c>
      <c r="DB179" s="248">
        <f>LOG(Table2821115[[#This Row],[CO/17 Fold]],2)</f>
        <v>0</v>
      </c>
      <c r="DC179" s="248">
        <f>SUM(Table2821115[[#This Row],[BR/18 Log2]:[CO/17 Log2]])</f>
        <v>0</v>
      </c>
    </row>
    <row r="180" spans="1:107" ht="24" customHeight="1">
      <c r="A180" s="330">
        <v>338</v>
      </c>
      <c r="B180" s="210">
        <v>14933</v>
      </c>
      <c r="C180" s="210">
        <v>43755</v>
      </c>
      <c r="D180" s="209">
        <v>78</v>
      </c>
      <c r="E180" s="3" t="s">
        <v>61</v>
      </c>
      <c r="F180" s="143" t="s">
        <v>118</v>
      </c>
      <c r="G180" s="142">
        <v>52.140197642843162</v>
      </c>
      <c r="H180" s="5" t="s">
        <v>64</v>
      </c>
      <c r="I180" s="277" t="s">
        <v>60</v>
      </c>
      <c r="J180" s="260">
        <v>5</v>
      </c>
      <c r="K180" s="260">
        <v>5</v>
      </c>
      <c r="L180" s="260"/>
      <c r="M180" s="260"/>
      <c r="N180" s="260"/>
      <c r="O180" s="260"/>
      <c r="P180" s="260"/>
      <c r="Q180" s="260"/>
      <c r="R180" s="260"/>
      <c r="S180" s="260"/>
      <c r="T180" s="260"/>
      <c r="U180" s="260"/>
      <c r="V180" s="260">
        <v>5</v>
      </c>
      <c r="W180" s="260">
        <v>5</v>
      </c>
      <c r="X180" s="260">
        <v>5</v>
      </c>
      <c r="Y180" s="260">
        <v>5</v>
      </c>
      <c r="Z180" s="260">
        <v>5</v>
      </c>
      <c r="AA180" s="260">
        <v>10</v>
      </c>
      <c r="AB180" s="260">
        <v>5</v>
      </c>
      <c r="AC180" s="260">
        <v>5</v>
      </c>
      <c r="AD180" s="260"/>
      <c r="AE180" s="260"/>
      <c r="AF180" s="260"/>
      <c r="AG180" s="260"/>
      <c r="AH180" s="208">
        <v>338</v>
      </c>
      <c r="AI180" s="272">
        <v>5</v>
      </c>
      <c r="AJ180" s="271">
        <v>5</v>
      </c>
      <c r="AK180" s="260"/>
      <c r="AL180" s="260"/>
      <c r="AM180" s="260"/>
      <c r="AN180" s="260"/>
      <c r="AO180" s="260"/>
      <c r="AP180" s="260"/>
      <c r="AQ180" s="260"/>
      <c r="AR180" s="260"/>
      <c r="AS180" s="260"/>
      <c r="AT180" s="260"/>
      <c r="AU180" s="260">
        <v>40</v>
      </c>
      <c r="AV180" s="271">
        <v>80</v>
      </c>
      <c r="AW180" s="260">
        <v>20</v>
      </c>
      <c r="AX180" s="271">
        <v>40</v>
      </c>
      <c r="AY180" s="260">
        <v>5</v>
      </c>
      <c r="AZ180" s="271">
        <v>5</v>
      </c>
      <c r="BA180" s="276">
        <v>5</v>
      </c>
      <c r="BB180" s="276">
        <v>20</v>
      </c>
      <c r="BC180" s="276"/>
      <c r="BD180" s="276"/>
      <c r="BE180" s="276">
        <v>5</v>
      </c>
      <c r="BF180" s="276">
        <v>5</v>
      </c>
      <c r="BG180" s="260">
        <v>20</v>
      </c>
      <c r="BH180" s="271">
        <v>40</v>
      </c>
      <c r="BI180" s="276"/>
      <c r="BJ180" s="276"/>
      <c r="BK180" s="276"/>
      <c r="BL180" s="275"/>
      <c r="BM180" s="329">
        <v>338</v>
      </c>
      <c r="BN180" s="272">
        <v>5</v>
      </c>
      <c r="BO180" s="270">
        <v>20</v>
      </c>
      <c r="BP180" s="272"/>
      <c r="BQ180" s="260"/>
      <c r="BR180" s="260"/>
      <c r="BS180" s="260"/>
      <c r="BT180" s="260"/>
      <c r="BU180" s="260"/>
      <c r="BV180" s="260">
        <v>5</v>
      </c>
      <c r="BW180" s="260">
        <v>20</v>
      </c>
      <c r="BX180" s="260"/>
      <c r="BY180" s="260"/>
      <c r="BZ180" s="260"/>
      <c r="CA180" s="260"/>
      <c r="CB180" s="260"/>
      <c r="CC180" s="260"/>
      <c r="CD180" s="260">
        <v>40</v>
      </c>
      <c r="CE180" s="260">
        <v>20</v>
      </c>
      <c r="CF180" s="272"/>
      <c r="CG180" s="260"/>
      <c r="CH180" s="260"/>
      <c r="CI180" s="260"/>
      <c r="CJ180" s="260"/>
      <c r="CK180" s="260"/>
      <c r="CL180" s="260"/>
      <c r="CM180" s="260"/>
      <c r="CN180" s="260">
        <v>5</v>
      </c>
      <c r="CO180" s="260">
        <v>5</v>
      </c>
      <c r="CP180" s="260">
        <v>5</v>
      </c>
      <c r="CQ180" s="260">
        <v>20</v>
      </c>
      <c r="CR180" s="260">
        <v>5</v>
      </c>
      <c r="CS180" s="270">
        <v>20</v>
      </c>
      <c r="CT180" s="328">
        <v>338</v>
      </c>
      <c r="CU180" s="249">
        <f>Table2821115[[#This Row],[D28 - BR/18]]/Table2821115[[#This Row],[D0 - BR/18]]</f>
        <v>1</v>
      </c>
      <c r="CV180" s="248">
        <f>Table2821115[[#This Row],[D28 - KS/17]]/Table2821115[[#This Row],[D0 - KS/17]]</f>
        <v>1</v>
      </c>
      <c r="CW180" s="248">
        <f>Table2821115[[#This Row],[D28 - Phu/13]]/Table2821115[[#This Row],[D0 - Phu/13]]</f>
        <v>0.5</v>
      </c>
      <c r="CX180" s="248">
        <f>Table2821115[[#This Row],[D28 - CO/17]]/Table2821115[[#This Row],[D0 - CO/17]]</f>
        <v>4</v>
      </c>
      <c r="CY180" s="248">
        <f>LOG(Table2821115[[#This Row],[BR/18 Fold]],2)</f>
        <v>0</v>
      </c>
      <c r="CZ180" s="248">
        <f>LOG(Table2821115[[#This Row],[KS/17 Fold]],2)</f>
        <v>0</v>
      </c>
      <c r="DA180" s="248">
        <f>LOG(Table2821115[[#This Row],[Phu/13 Fold]],2)</f>
        <v>-1</v>
      </c>
      <c r="DB180" s="248">
        <f>LOG(Table2821115[[#This Row],[CO/17 Fold]],2)</f>
        <v>2</v>
      </c>
      <c r="DC180" s="248">
        <f>SUM(Table2821115[[#This Row],[BR/18 Log2]:[CO/17 Log2]])</f>
        <v>1</v>
      </c>
    </row>
    <row r="181" spans="1:107" ht="24" customHeight="1">
      <c r="A181" s="327">
        <v>339</v>
      </c>
      <c r="B181" s="205">
        <v>18861</v>
      </c>
      <c r="C181" s="205">
        <v>43754</v>
      </c>
      <c r="D181" s="204">
        <v>68</v>
      </c>
      <c r="E181" s="4" t="s">
        <v>58</v>
      </c>
      <c r="F181" s="143" t="s">
        <v>116</v>
      </c>
      <c r="G181" s="142">
        <v>25.6370733099277</v>
      </c>
      <c r="H181" s="11" t="s">
        <v>59</v>
      </c>
      <c r="I181" s="277" t="s">
        <v>60</v>
      </c>
      <c r="J181" s="260">
        <v>5</v>
      </c>
      <c r="K181" s="260">
        <v>5</v>
      </c>
      <c r="L181" s="260"/>
      <c r="M181" s="260"/>
      <c r="N181" s="260"/>
      <c r="O181" s="260"/>
      <c r="P181" s="260"/>
      <c r="Q181" s="260"/>
      <c r="R181" s="260"/>
      <c r="S181" s="260"/>
      <c r="T181" s="260"/>
      <c r="U181" s="260"/>
      <c r="V181" s="260">
        <v>5</v>
      </c>
      <c r="W181" s="260">
        <v>5</v>
      </c>
      <c r="X181" s="260">
        <v>10</v>
      </c>
      <c r="Y181" s="260">
        <v>20</v>
      </c>
      <c r="Z181" s="260">
        <v>20</v>
      </c>
      <c r="AA181" s="260">
        <v>20</v>
      </c>
      <c r="AB181" s="260">
        <v>10</v>
      </c>
      <c r="AC181" s="260">
        <v>10</v>
      </c>
      <c r="AD181" s="260"/>
      <c r="AE181" s="260"/>
      <c r="AF181" s="260"/>
      <c r="AG181" s="260"/>
      <c r="AH181" s="203">
        <v>339</v>
      </c>
      <c r="AI181" s="272">
        <v>40</v>
      </c>
      <c r="AJ181" s="271">
        <v>40</v>
      </c>
      <c r="AK181" s="260"/>
      <c r="AL181" s="260"/>
      <c r="AM181" s="260"/>
      <c r="AN181" s="260"/>
      <c r="AO181" s="260"/>
      <c r="AP181" s="260"/>
      <c r="AQ181" s="260"/>
      <c r="AR181" s="260"/>
      <c r="AS181" s="260"/>
      <c r="AT181" s="260"/>
      <c r="AU181" s="260">
        <v>80</v>
      </c>
      <c r="AV181" s="271">
        <v>80</v>
      </c>
      <c r="AW181" s="260">
        <v>40</v>
      </c>
      <c r="AX181" s="271">
        <v>40</v>
      </c>
      <c r="AY181" s="260">
        <v>20</v>
      </c>
      <c r="AZ181" s="271">
        <v>5</v>
      </c>
      <c r="BA181" s="276">
        <v>20</v>
      </c>
      <c r="BB181" s="276">
        <v>20</v>
      </c>
      <c r="BC181" s="276"/>
      <c r="BD181" s="276"/>
      <c r="BE181" s="276">
        <v>5</v>
      </c>
      <c r="BF181" s="276">
        <v>5</v>
      </c>
      <c r="BG181" s="260">
        <v>80</v>
      </c>
      <c r="BH181" s="271">
        <v>80</v>
      </c>
      <c r="BI181" s="276"/>
      <c r="BJ181" s="276"/>
      <c r="BK181" s="276"/>
      <c r="BL181" s="275"/>
      <c r="BM181" s="326">
        <v>339</v>
      </c>
      <c r="BN181" s="272">
        <v>80</v>
      </c>
      <c r="BO181" s="270">
        <v>80</v>
      </c>
      <c r="BP181" s="272"/>
      <c r="BQ181" s="260"/>
      <c r="BR181" s="260"/>
      <c r="BS181" s="260"/>
      <c r="BT181" s="260"/>
      <c r="BU181" s="260"/>
      <c r="BV181" s="260">
        <v>80</v>
      </c>
      <c r="BW181" s="260">
        <v>160</v>
      </c>
      <c r="BX181" s="260"/>
      <c r="BY181" s="260"/>
      <c r="BZ181" s="260"/>
      <c r="CA181" s="260"/>
      <c r="CB181" s="260"/>
      <c r="CC181" s="260"/>
      <c r="CD181" s="260">
        <v>160</v>
      </c>
      <c r="CE181" s="260">
        <v>160</v>
      </c>
      <c r="CF181" s="272"/>
      <c r="CG181" s="260"/>
      <c r="CH181" s="260"/>
      <c r="CI181" s="260"/>
      <c r="CJ181" s="260"/>
      <c r="CK181" s="260"/>
      <c r="CL181" s="260"/>
      <c r="CM181" s="260"/>
      <c r="CN181" s="260">
        <v>20</v>
      </c>
      <c r="CO181" s="260">
        <v>20</v>
      </c>
      <c r="CP181" s="260">
        <v>20</v>
      </c>
      <c r="CQ181" s="260">
        <v>40</v>
      </c>
      <c r="CR181" s="260">
        <v>20</v>
      </c>
      <c r="CS181" s="270">
        <v>20</v>
      </c>
      <c r="CT181" s="325">
        <v>339</v>
      </c>
      <c r="CU181" s="249">
        <f>Table2821115[[#This Row],[D28 - BR/18]]/Table2821115[[#This Row],[D0 - BR/18]]</f>
        <v>1</v>
      </c>
      <c r="CV181" s="248">
        <f>Table2821115[[#This Row],[D28 - KS/17]]/Table2821115[[#This Row],[D0 - KS/17]]</f>
        <v>1</v>
      </c>
      <c r="CW181" s="248">
        <f>Table2821115[[#This Row],[D28 - Phu/13]]/Table2821115[[#This Row],[D0 - Phu/13]]</f>
        <v>1</v>
      </c>
      <c r="CX181" s="248">
        <f>Table2821115[[#This Row],[D28 - CO/17]]/Table2821115[[#This Row],[D0 - CO/17]]</f>
        <v>2</v>
      </c>
      <c r="CY181" s="248">
        <f>LOG(Table2821115[[#This Row],[BR/18 Fold]],2)</f>
        <v>0</v>
      </c>
      <c r="CZ181" s="248">
        <f>LOG(Table2821115[[#This Row],[KS/17 Fold]],2)</f>
        <v>0</v>
      </c>
      <c r="DA181" s="248">
        <f>LOG(Table2821115[[#This Row],[Phu/13 Fold]],2)</f>
        <v>0</v>
      </c>
      <c r="DB181" s="248">
        <f>LOG(Table2821115[[#This Row],[CO/17 Fold]],2)</f>
        <v>1</v>
      </c>
      <c r="DC181" s="248">
        <f>SUM(Table2821115[[#This Row],[BR/18 Log2]:[CO/17 Log2]])</f>
        <v>1</v>
      </c>
    </row>
    <row r="182" spans="1:107" ht="24" customHeight="1">
      <c r="A182" s="318">
        <v>340</v>
      </c>
      <c r="B182" s="180">
        <v>25451</v>
      </c>
      <c r="C182" s="180">
        <v>43763</v>
      </c>
      <c r="D182" s="179">
        <v>50</v>
      </c>
      <c r="E182" s="4" t="s">
        <v>58</v>
      </c>
      <c r="F182" s="143" t="s">
        <v>116</v>
      </c>
      <c r="G182" s="142">
        <v>26.097158998028579</v>
      </c>
      <c r="H182" s="11" t="s">
        <v>59</v>
      </c>
      <c r="I182" s="277" t="s">
        <v>60</v>
      </c>
      <c r="J182" s="260">
        <v>5</v>
      </c>
      <c r="K182" s="260">
        <v>5</v>
      </c>
      <c r="L182" s="260"/>
      <c r="M182" s="260"/>
      <c r="N182" s="260"/>
      <c r="O182" s="260"/>
      <c r="P182" s="260"/>
      <c r="Q182" s="260"/>
      <c r="R182" s="260"/>
      <c r="S182" s="260"/>
      <c r="T182" s="260"/>
      <c r="U182" s="260"/>
      <c r="V182" s="260">
        <v>20</v>
      </c>
      <c r="W182" s="260">
        <v>20</v>
      </c>
      <c r="X182" s="260">
        <v>5</v>
      </c>
      <c r="Y182" s="260">
        <v>10</v>
      </c>
      <c r="Z182" s="260">
        <v>10</v>
      </c>
      <c r="AA182" s="260">
        <v>20</v>
      </c>
      <c r="AB182" s="260">
        <v>10</v>
      </c>
      <c r="AC182" s="260">
        <v>10</v>
      </c>
      <c r="AD182" s="260"/>
      <c r="AE182" s="260"/>
      <c r="AF182" s="260"/>
      <c r="AG182" s="260"/>
      <c r="AH182" s="195">
        <v>340</v>
      </c>
      <c r="AI182" s="272">
        <v>20</v>
      </c>
      <c r="AJ182" s="271">
        <v>40</v>
      </c>
      <c r="AK182" s="260"/>
      <c r="AL182" s="260"/>
      <c r="AM182" s="260"/>
      <c r="AN182" s="260"/>
      <c r="AO182" s="260"/>
      <c r="AP182" s="260"/>
      <c r="AQ182" s="260"/>
      <c r="AR182" s="260"/>
      <c r="AS182" s="260"/>
      <c r="AT182" s="260"/>
      <c r="AU182" s="260">
        <v>20</v>
      </c>
      <c r="AV182" s="271">
        <v>80</v>
      </c>
      <c r="AW182" s="260">
        <v>20</v>
      </c>
      <c r="AX182" s="271">
        <v>40</v>
      </c>
      <c r="AY182" s="260">
        <v>5</v>
      </c>
      <c r="AZ182" s="271">
        <v>5</v>
      </c>
      <c r="BA182" s="276">
        <v>20</v>
      </c>
      <c r="BB182" s="276">
        <v>40</v>
      </c>
      <c r="BC182" s="276"/>
      <c r="BD182" s="276"/>
      <c r="BE182" s="276">
        <v>5</v>
      </c>
      <c r="BF182" s="276">
        <v>40</v>
      </c>
      <c r="BG182" s="260">
        <v>20</v>
      </c>
      <c r="BH182" s="271">
        <v>40</v>
      </c>
      <c r="BI182" s="276"/>
      <c r="BJ182" s="276"/>
      <c r="BK182" s="276"/>
      <c r="BL182" s="275"/>
      <c r="BM182" s="316">
        <v>340</v>
      </c>
      <c r="BN182" s="272">
        <v>320</v>
      </c>
      <c r="BO182" s="270">
        <v>320</v>
      </c>
      <c r="BP182" s="272"/>
      <c r="BQ182" s="260"/>
      <c r="BR182" s="260"/>
      <c r="BS182" s="260"/>
      <c r="BT182" s="260"/>
      <c r="BU182" s="260"/>
      <c r="BV182" s="260">
        <v>160</v>
      </c>
      <c r="BW182" s="260">
        <v>320</v>
      </c>
      <c r="BX182" s="260"/>
      <c r="BY182" s="260"/>
      <c r="BZ182" s="260"/>
      <c r="CA182" s="260"/>
      <c r="CB182" s="260"/>
      <c r="CC182" s="260"/>
      <c r="CD182" s="260">
        <v>320</v>
      </c>
      <c r="CE182" s="260">
        <v>320</v>
      </c>
      <c r="CF182" s="272"/>
      <c r="CG182" s="260"/>
      <c r="CH182" s="260"/>
      <c r="CI182" s="260"/>
      <c r="CJ182" s="260"/>
      <c r="CK182" s="260"/>
      <c r="CL182" s="260"/>
      <c r="CM182" s="260"/>
      <c r="CN182" s="260">
        <v>160</v>
      </c>
      <c r="CO182" s="260">
        <v>160</v>
      </c>
      <c r="CP182" s="260">
        <v>160</v>
      </c>
      <c r="CQ182" s="260">
        <v>160</v>
      </c>
      <c r="CR182" s="260">
        <v>160</v>
      </c>
      <c r="CS182" s="270">
        <v>160</v>
      </c>
      <c r="CT182" s="315">
        <v>340</v>
      </c>
      <c r="CU182" s="249">
        <f>Table2821115[[#This Row],[D28 - BR/18]]/Table2821115[[#This Row],[D0 - BR/18]]</f>
        <v>1</v>
      </c>
      <c r="CV182" s="248">
        <f>Table2821115[[#This Row],[D28 - KS/17]]/Table2821115[[#This Row],[D0 - KS/17]]</f>
        <v>8</v>
      </c>
      <c r="CW182" s="248">
        <f>Table2821115[[#This Row],[D28 - Phu/13]]/Table2821115[[#This Row],[D0 - Phu/13]]</f>
        <v>1</v>
      </c>
      <c r="CX182" s="248">
        <f>Table2821115[[#This Row],[D28 - CO/17]]/Table2821115[[#This Row],[D0 - CO/17]]</f>
        <v>1</v>
      </c>
      <c r="CY182" s="248">
        <f>LOG(Table2821115[[#This Row],[BR/18 Fold]],2)</f>
        <v>0</v>
      </c>
      <c r="CZ182" s="248">
        <f>LOG(Table2821115[[#This Row],[KS/17 Fold]],2)</f>
        <v>3</v>
      </c>
      <c r="DA182" s="248">
        <f>LOG(Table2821115[[#This Row],[Phu/13 Fold]],2)</f>
        <v>0</v>
      </c>
      <c r="DB182" s="248">
        <f>LOG(Table2821115[[#This Row],[CO/17 Fold]],2)</f>
        <v>0</v>
      </c>
      <c r="DC182" s="248">
        <f>SUM(Table2821115[[#This Row],[BR/18 Log2]:[CO/17 Log2]])</f>
        <v>3</v>
      </c>
    </row>
    <row r="183" spans="1:107" ht="24" customHeight="1">
      <c r="A183" s="318">
        <v>341</v>
      </c>
      <c r="B183" s="180">
        <v>20355</v>
      </c>
      <c r="C183" s="180">
        <v>43754</v>
      </c>
      <c r="D183" s="179">
        <v>64</v>
      </c>
      <c r="E183" s="4" t="s">
        <v>58</v>
      </c>
      <c r="F183" s="143" t="s">
        <v>116</v>
      </c>
      <c r="G183" s="142">
        <v>27.992475141091106</v>
      </c>
      <c r="H183" s="11" t="s">
        <v>59</v>
      </c>
      <c r="I183" s="277" t="s">
        <v>62</v>
      </c>
      <c r="J183" s="260">
        <v>5</v>
      </c>
      <c r="K183" s="260">
        <v>5</v>
      </c>
      <c r="L183" s="260"/>
      <c r="M183" s="260"/>
      <c r="N183" s="260"/>
      <c r="O183" s="260"/>
      <c r="P183" s="260"/>
      <c r="Q183" s="260"/>
      <c r="R183" s="260"/>
      <c r="S183" s="260"/>
      <c r="T183" s="260"/>
      <c r="U183" s="260"/>
      <c r="V183" s="260">
        <v>5</v>
      </c>
      <c r="W183" s="260">
        <v>5</v>
      </c>
      <c r="X183" s="260">
        <v>5</v>
      </c>
      <c r="Y183" s="260">
        <v>20</v>
      </c>
      <c r="Z183" s="260">
        <v>10</v>
      </c>
      <c r="AA183" s="260">
        <v>40</v>
      </c>
      <c r="AB183" s="260">
        <v>10</v>
      </c>
      <c r="AC183" s="260">
        <v>40</v>
      </c>
      <c r="AD183" s="260"/>
      <c r="AE183" s="260"/>
      <c r="AF183" s="260"/>
      <c r="AG183" s="260"/>
      <c r="AH183" s="195">
        <v>341</v>
      </c>
      <c r="AI183" s="272">
        <v>5</v>
      </c>
      <c r="AJ183" s="271">
        <v>10</v>
      </c>
      <c r="AK183" s="260"/>
      <c r="AL183" s="260"/>
      <c r="AM183" s="260"/>
      <c r="AN183" s="260"/>
      <c r="AO183" s="260"/>
      <c r="AP183" s="260"/>
      <c r="AQ183" s="260"/>
      <c r="AR183" s="260"/>
      <c r="AS183" s="260"/>
      <c r="AT183" s="260"/>
      <c r="AU183" s="260">
        <v>640</v>
      </c>
      <c r="AV183" s="271">
        <v>1280</v>
      </c>
      <c r="AW183" s="260">
        <v>1280</v>
      </c>
      <c r="AX183" s="271">
        <v>2560</v>
      </c>
      <c r="AY183" s="260">
        <v>640</v>
      </c>
      <c r="AZ183" s="271">
        <v>5120</v>
      </c>
      <c r="BA183" s="276">
        <v>640</v>
      </c>
      <c r="BB183" s="276">
        <v>1280</v>
      </c>
      <c r="BC183" s="276"/>
      <c r="BD183" s="276"/>
      <c r="BE183" s="276">
        <v>160</v>
      </c>
      <c r="BF183" s="276">
        <v>1280</v>
      </c>
      <c r="BG183" s="260">
        <v>640</v>
      </c>
      <c r="BH183" s="271">
        <v>1280</v>
      </c>
      <c r="BI183" s="276"/>
      <c r="BJ183" s="276"/>
      <c r="BK183" s="276"/>
      <c r="BL183" s="275"/>
      <c r="BM183" s="316">
        <v>341</v>
      </c>
      <c r="BN183" s="272">
        <v>160</v>
      </c>
      <c r="BO183" s="270">
        <v>320</v>
      </c>
      <c r="BP183" s="272"/>
      <c r="BQ183" s="260"/>
      <c r="BR183" s="260"/>
      <c r="BS183" s="260"/>
      <c r="BT183" s="260"/>
      <c r="BU183" s="260"/>
      <c r="BV183" s="260">
        <v>5</v>
      </c>
      <c r="BW183" s="260">
        <v>160</v>
      </c>
      <c r="BX183" s="260"/>
      <c r="BY183" s="260"/>
      <c r="BZ183" s="260"/>
      <c r="CA183" s="260"/>
      <c r="CB183" s="260"/>
      <c r="CC183" s="260"/>
      <c r="CD183" s="260">
        <v>160</v>
      </c>
      <c r="CE183" s="260">
        <v>160</v>
      </c>
      <c r="CF183" s="272"/>
      <c r="CG183" s="260"/>
      <c r="CH183" s="260"/>
      <c r="CI183" s="260"/>
      <c r="CJ183" s="260"/>
      <c r="CK183" s="260"/>
      <c r="CL183" s="260"/>
      <c r="CM183" s="260"/>
      <c r="CN183" s="260">
        <v>20</v>
      </c>
      <c r="CO183" s="260">
        <v>80</v>
      </c>
      <c r="CP183" s="260">
        <v>40</v>
      </c>
      <c r="CQ183" s="260">
        <v>80</v>
      </c>
      <c r="CR183" s="260">
        <v>40</v>
      </c>
      <c r="CS183" s="270">
        <v>40</v>
      </c>
      <c r="CT183" s="315">
        <v>341</v>
      </c>
      <c r="CU183" s="249">
        <f>Table2821115[[#This Row],[D28 - BR/18]]/Table2821115[[#This Row],[D0 - BR/18]]</f>
        <v>4</v>
      </c>
      <c r="CV183" s="248">
        <f>Table2821115[[#This Row],[D28 - KS/17]]/Table2821115[[#This Row],[D0 - KS/17]]</f>
        <v>8</v>
      </c>
      <c r="CW183" s="248">
        <f>Table2821115[[#This Row],[D28 - Phu/13]]/Table2821115[[#This Row],[D0 - Phu/13]]</f>
        <v>1</v>
      </c>
      <c r="CX183" s="248">
        <f>Table2821115[[#This Row],[D28 - CO/17]]/Table2821115[[#This Row],[D0 - CO/17]]</f>
        <v>2</v>
      </c>
      <c r="CY183" s="248">
        <f>LOG(Table2821115[[#This Row],[BR/18 Fold]],2)</f>
        <v>2</v>
      </c>
      <c r="CZ183" s="248">
        <f>LOG(Table2821115[[#This Row],[KS/17 Fold]],2)</f>
        <v>3</v>
      </c>
      <c r="DA183" s="248">
        <f>LOG(Table2821115[[#This Row],[Phu/13 Fold]],2)</f>
        <v>0</v>
      </c>
      <c r="DB183" s="248">
        <f>LOG(Table2821115[[#This Row],[CO/17 Fold]],2)</f>
        <v>1</v>
      </c>
      <c r="DC183" s="248">
        <f>SUM(Table2821115[[#This Row],[BR/18 Log2]:[CO/17 Log2]])</f>
        <v>6</v>
      </c>
    </row>
    <row r="184" spans="1:107" ht="24" customHeight="1">
      <c r="A184" s="330">
        <v>342</v>
      </c>
      <c r="B184" s="210">
        <v>17953</v>
      </c>
      <c r="C184" s="210">
        <v>43761</v>
      </c>
      <c r="D184" s="209">
        <v>70</v>
      </c>
      <c r="E184" s="3" t="s">
        <v>61</v>
      </c>
      <c r="F184" s="143" t="s">
        <v>116</v>
      </c>
      <c r="G184" s="142">
        <v>23.968945258382181</v>
      </c>
      <c r="H184" s="5" t="s">
        <v>64</v>
      </c>
      <c r="I184" s="277" t="s">
        <v>60</v>
      </c>
      <c r="J184" s="260">
        <v>5</v>
      </c>
      <c r="K184" s="260">
        <v>5</v>
      </c>
      <c r="L184" s="260"/>
      <c r="M184" s="260"/>
      <c r="N184" s="260"/>
      <c r="O184" s="260"/>
      <c r="P184" s="260"/>
      <c r="Q184" s="260"/>
      <c r="R184" s="260"/>
      <c r="S184" s="260"/>
      <c r="T184" s="260"/>
      <c r="U184" s="260"/>
      <c r="V184" s="260">
        <v>5</v>
      </c>
      <c r="W184" s="260">
        <v>5</v>
      </c>
      <c r="X184" s="260">
        <v>5</v>
      </c>
      <c r="Y184" s="260">
        <v>10</v>
      </c>
      <c r="Z184" s="260">
        <v>5</v>
      </c>
      <c r="AA184" s="260">
        <v>10</v>
      </c>
      <c r="AB184" s="260">
        <v>5</v>
      </c>
      <c r="AC184" s="260">
        <v>5</v>
      </c>
      <c r="AD184" s="260"/>
      <c r="AE184" s="260"/>
      <c r="AF184" s="260"/>
      <c r="AG184" s="260"/>
      <c r="AH184" s="208">
        <v>342</v>
      </c>
      <c r="AI184" s="272">
        <v>10</v>
      </c>
      <c r="AJ184" s="271">
        <v>10</v>
      </c>
      <c r="AK184" s="260"/>
      <c r="AL184" s="260"/>
      <c r="AM184" s="260"/>
      <c r="AN184" s="260"/>
      <c r="AO184" s="260"/>
      <c r="AP184" s="260"/>
      <c r="AQ184" s="260"/>
      <c r="AR184" s="260"/>
      <c r="AS184" s="260"/>
      <c r="AT184" s="260"/>
      <c r="AU184" s="260">
        <v>20</v>
      </c>
      <c r="AV184" s="271">
        <v>40</v>
      </c>
      <c r="AW184" s="260">
        <v>20</v>
      </c>
      <c r="AX184" s="271">
        <v>80</v>
      </c>
      <c r="AY184" s="260">
        <v>5</v>
      </c>
      <c r="AZ184" s="271">
        <v>20</v>
      </c>
      <c r="BA184" s="276">
        <v>5</v>
      </c>
      <c r="BB184" s="276">
        <v>20</v>
      </c>
      <c r="BC184" s="276"/>
      <c r="BD184" s="276"/>
      <c r="BE184" s="276">
        <v>5</v>
      </c>
      <c r="BF184" s="276">
        <v>20</v>
      </c>
      <c r="BG184" s="260">
        <v>10</v>
      </c>
      <c r="BH184" s="271">
        <v>10</v>
      </c>
      <c r="BI184" s="276"/>
      <c r="BJ184" s="276"/>
      <c r="BK184" s="276"/>
      <c r="BL184" s="275"/>
      <c r="BM184" s="329">
        <v>342</v>
      </c>
      <c r="BN184" s="272">
        <v>20</v>
      </c>
      <c r="BO184" s="270">
        <v>20</v>
      </c>
      <c r="BP184" s="272"/>
      <c r="BQ184" s="260"/>
      <c r="BR184" s="260"/>
      <c r="BS184" s="260"/>
      <c r="BT184" s="260"/>
      <c r="BU184" s="260"/>
      <c r="BV184" s="260">
        <v>40</v>
      </c>
      <c r="BW184" s="260">
        <v>40</v>
      </c>
      <c r="BX184" s="260"/>
      <c r="BY184" s="260"/>
      <c r="BZ184" s="260"/>
      <c r="CA184" s="260"/>
      <c r="CB184" s="260"/>
      <c r="CC184" s="260"/>
      <c r="CD184" s="260">
        <v>80</v>
      </c>
      <c r="CE184" s="260">
        <v>40</v>
      </c>
      <c r="CF184" s="272"/>
      <c r="CG184" s="260"/>
      <c r="CH184" s="260"/>
      <c r="CI184" s="260"/>
      <c r="CJ184" s="260"/>
      <c r="CK184" s="260"/>
      <c r="CL184" s="260"/>
      <c r="CM184" s="260"/>
      <c r="CN184" s="260">
        <v>5</v>
      </c>
      <c r="CO184" s="260">
        <v>10</v>
      </c>
      <c r="CP184" s="260">
        <v>80</v>
      </c>
      <c r="CQ184" s="260">
        <v>80</v>
      </c>
      <c r="CR184" s="260">
        <v>80</v>
      </c>
      <c r="CS184" s="270">
        <v>80</v>
      </c>
      <c r="CT184" s="328">
        <v>342</v>
      </c>
      <c r="CU184" s="249">
        <f>Table2821115[[#This Row],[D28 - BR/18]]/Table2821115[[#This Row],[D0 - BR/18]]</f>
        <v>1</v>
      </c>
      <c r="CV184" s="248">
        <f>Table2821115[[#This Row],[D28 - KS/17]]/Table2821115[[#This Row],[D0 - KS/17]]</f>
        <v>4</v>
      </c>
      <c r="CW184" s="248">
        <f>Table2821115[[#This Row],[D28 - Phu/13]]/Table2821115[[#This Row],[D0 - Phu/13]]</f>
        <v>0.5</v>
      </c>
      <c r="CX184" s="248">
        <f>Table2821115[[#This Row],[D28 - CO/17]]/Table2821115[[#This Row],[D0 - CO/17]]</f>
        <v>1</v>
      </c>
      <c r="CY184" s="248">
        <f>LOG(Table2821115[[#This Row],[BR/18 Fold]],2)</f>
        <v>0</v>
      </c>
      <c r="CZ184" s="248">
        <f>LOG(Table2821115[[#This Row],[KS/17 Fold]],2)</f>
        <v>2</v>
      </c>
      <c r="DA184" s="248">
        <f>LOG(Table2821115[[#This Row],[Phu/13 Fold]],2)</f>
        <v>-1</v>
      </c>
      <c r="DB184" s="248">
        <f>LOG(Table2821115[[#This Row],[CO/17 Fold]],2)</f>
        <v>0</v>
      </c>
      <c r="DC184" s="248">
        <f>SUM(Table2821115[[#This Row],[BR/18 Log2]:[CO/17 Log2]])</f>
        <v>1</v>
      </c>
    </row>
    <row r="185" spans="1:107" ht="24" customHeight="1">
      <c r="A185" s="330">
        <v>343</v>
      </c>
      <c r="B185" s="210">
        <v>16650</v>
      </c>
      <c r="C185" s="210">
        <v>43763</v>
      </c>
      <c r="D185" s="209">
        <v>74</v>
      </c>
      <c r="E185" s="4" t="s">
        <v>58</v>
      </c>
      <c r="F185" s="143" t="s">
        <v>116</v>
      </c>
      <c r="G185" s="142">
        <v>36.704880525613881</v>
      </c>
      <c r="H185" s="5" t="s">
        <v>64</v>
      </c>
      <c r="I185" s="277" t="s">
        <v>60</v>
      </c>
      <c r="J185" s="260">
        <v>5</v>
      </c>
      <c r="K185" s="260">
        <v>5</v>
      </c>
      <c r="L185" s="260"/>
      <c r="M185" s="260"/>
      <c r="N185" s="260"/>
      <c r="O185" s="260"/>
      <c r="P185" s="260"/>
      <c r="Q185" s="260"/>
      <c r="R185" s="260"/>
      <c r="S185" s="260"/>
      <c r="T185" s="260"/>
      <c r="U185" s="260"/>
      <c r="V185" s="260">
        <v>5</v>
      </c>
      <c r="W185" s="260">
        <v>5</v>
      </c>
      <c r="X185" s="260">
        <v>5</v>
      </c>
      <c r="Y185" s="260">
        <v>20</v>
      </c>
      <c r="Z185" s="260">
        <v>5</v>
      </c>
      <c r="AA185" s="260">
        <v>10</v>
      </c>
      <c r="AB185" s="260">
        <v>5</v>
      </c>
      <c r="AC185" s="260">
        <v>5</v>
      </c>
      <c r="AD185" s="260"/>
      <c r="AE185" s="260"/>
      <c r="AF185" s="260"/>
      <c r="AG185" s="260"/>
      <c r="AH185" s="208">
        <v>343</v>
      </c>
      <c r="AI185" s="272">
        <v>10</v>
      </c>
      <c r="AJ185" s="271">
        <v>20</v>
      </c>
      <c r="AK185" s="260"/>
      <c r="AL185" s="260"/>
      <c r="AM185" s="260"/>
      <c r="AN185" s="260"/>
      <c r="AO185" s="260"/>
      <c r="AP185" s="260"/>
      <c r="AQ185" s="260"/>
      <c r="AR185" s="260"/>
      <c r="AS185" s="260"/>
      <c r="AT185" s="260"/>
      <c r="AU185" s="260">
        <v>40</v>
      </c>
      <c r="AV185" s="271">
        <v>40</v>
      </c>
      <c r="AW185" s="260">
        <v>160</v>
      </c>
      <c r="AX185" s="271">
        <v>160</v>
      </c>
      <c r="AY185" s="260">
        <v>20</v>
      </c>
      <c r="AZ185" s="271">
        <v>20</v>
      </c>
      <c r="BA185" s="276">
        <v>40</v>
      </c>
      <c r="BB185" s="276">
        <v>80</v>
      </c>
      <c r="BC185" s="276"/>
      <c r="BD185" s="276"/>
      <c r="BE185" s="276">
        <v>5</v>
      </c>
      <c r="BF185" s="276">
        <v>10</v>
      </c>
      <c r="BG185" s="260">
        <v>5</v>
      </c>
      <c r="BH185" s="271">
        <v>20</v>
      </c>
      <c r="BI185" s="276"/>
      <c r="BJ185" s="276"/>
      <c r="BK185" s="276"/>
      <c r="BL185" s="275"/>
      <c r="BM185" s="329">
        <v>343</v>
      </c>
      <c r="BN185" s="272">
        <v>40</v>
      </c>
      <c r="BO185" s="270">
        <v>40</v>
      </c>
      <c r="BP185" s="272"/>
      <c r="BQ185" s="260"/>
      <c r="BR185" s="260"/>
      <c r="BS185" s="260"/>
      <c r="BT185" s="260"/>
      <c r="BU185" s="260"/>
      <c r="BV185" s="260">
        <v>5</v>
      </c>
      <c r="BW185" s="260">
        <v>5</v>
      </c>
      <c r="BX185" s="260"/>
      <c r="BY185" s="260"/>
      <c r="BZ185" s="260"/>
      <c r="CA185" s="260"/>
      <c r="CB185" s="260"/>
      <c r="CC185" s="260"/>
      <c r="CD185" s="260">
        <v>10</v>
      </c>
      <c r="CE185" s="260">
        <v>20</v>
      </c>
      <c r="CF185" s="272"/>
      <c r="CG185" s="260"/>
      <c r="CH185" s="260"/>
      <c r="CI185" s="260"/>
      <c r="CJ185" s="260"/>
      <c r="CK185" s="260"/>
      <c r="CL185" s="260"/>
      <c r="CM185" s="260"/>
      <c r="CN185" s="260">
        <v>10</v>
      </c>
      <c r="CO185" s="260">
        <v>20</v>
      </c>
      <c r="CP185" s="260">
        <v>40</v>
      </c>
      <c r="CQ185" s="260">
        <v>80</v>
      </c>
      <c r="CR185" s="260">
        <v>80</v>
      </c>
      <c r="CS185" s="270">
        <v>80</v>
      </c>
      <c r="CT185" s="328">
        <v>343</v>
      </c>
      <c r="CU185" s="249">
        <f>Table2821115[[#This Row],[D28 - BR/18]]/Table2821115[[#This Row],[D0 - BR/18]]</f>
        <v>1</v>
      </c>
      <c r="CV185" s="248">
        <f>Table2821115[[#This Row],[D28 - KS/17]]/Table2821115[[#This Row],[D0 - KS/17]]</f>
        <v>2</v>
      </c>
      <c r="CW185" s="248">
        <f>Table2821115[[#This Row],[D28 - Phu/13]]/Table2821115[[#This Row],[D0 - Phu/13]]</f>
        <v>2</v>
      </c>
      <c r="CX185" s="248">
        <f>Table2821115[[#This Row],[D28 - CO/17]]/Table2821115[[#This Row],[D0 - CO/17]]</f>
        <v>2</v>
      </c>
      <c r="CY185" s="248">
        <f>LOG(Table2821115[[#This Row],[BR/18 Fold]],2)</f>
        <v>0</v>
      </c>
      <c r="CZ185" s="248">
        <f>LOG(Table2821115[[#This Row],[KS/17 Fold]],2)</f>
        <v>1</v>
      </c>
      <c r="DA185" s="248">
        <f>LOG(Table2821115[[#This Row],[Phu/13 Fold]],2)</f>
        <v>1</v>
      </c>
      <c r="DB185" s="248">
        <f>LOG(Table2821115[[#This Row],[CO/17 Fold]],2)</f>
        <v>1</v>
      </c>
      <c r="DC185" s="248">
        <f>SUM(Table2821115[[#This Row],[BR/18 Log2]:[CO/17 Log2]])</f>
        <v>3</v>
      </c>
    </row>
    <row r="186" spans="1:107" ht="24" customHeight="1">
      <c r="A186" s="330">
        <v>344</v>
      </c>
      <c r="B186" s="210">
        <v>18063</v>
      </c>
      <c r="C186" s="210">
        <v>43760</v>
      </c>
      <c r="D186" s="209">
        <v>70</v>
      </c>
      <c r="E186" s="3" t="s">
        <v>61</v>
      </c>
      <c r="F186" s="143" t="s">
        <v>116</v>
      </c>
      <c r="G186" s="142">
        <v>27.636054421768712</v>
      </c>
      <c r="H186" s="5" t="s">
        <v>64</v>
      </c>
      <c r="I186" s="277" t="s">
        <v>60</v>
      </c>
      <c r="J186" s="260">
        <v>5</v>
      </c>
      <c r="K186" s="260">
        <v>5</v>
      </c>
      <c r="L186" s="260"/>
      <c r="M186" s="260"/>
      <c r="N186" s="260"/>
      <c r="O186" s="260"/>
      <c r="P186" s="260"/>
      <c r="Q186" s="260"/>
      <c r="R186" s="260"/>
      <c r="S186" s="260"/>
      <c r="T186" s="260"/>
      <c r="U186" s="260"/>
      <c r="V186" s="260">
        <v>5</v>
      </c>
      <c r="W186" s="260">
        <v>5</v>
      </c>
      <c r="X186" s="260">
        <v>10</v>
      </c>
      <c r="Y186" s="260">
        <v>20</v>
      </c>
      <c r="Z186" s="260">
        <v>10</v>
      </c>
      <c r="AA186" s="260">
        <v>40</v>
      </c>
      <c r="AB186" s="260">
        <v>10</v>
      </c>
      <c r="AC186" s="260">
        <v>20</v>
      </c>
      <c r="AD186" s="260"/>
      <c r="AE186" s="260"/>
      <c r="AF186" s="260"/>
      <c r="AG186" s="260"/>
      <c r="AH186" s="208">
        <v>344</v>
      </c>
      <c r="AI186" s="272">
        <v>5</v>
      </c>
      <c r="AJ186" s="271">
        <v>5</v>
      </c>
      <c r="AK186" s="260"/>
      <c r="AL186" s="260"/>
      <c r="AM186" s="260"/>
      <c r="AN186" s="260"/>
      <c r="AO186" s="260"/>
      <c r="AP186" s="260"/>
      <c r="AQ186" s="260"/>
      <c r="AR186" s="260"/>
      <c r="AS186" s="260"/>
      <c r="AT186" s="260"/>
      <c r="AU186" s="260">
        <v>10</v>
      </c>
      <c r="AV186" s="271">
        <v>10</v>
      </c>
      <c r="AW186" s="260">
        <v>10</v>
      </c>
      <c r="AX186" s="271">
        <v>20</v>
      </c>
      <c r="AY186" s="260">
        <v>5</v>
      </c>
      <c r="AZ186" s="271">
        <v>5</v>
      </c>
      <c r="BA186" s="276">
        <v>5</v>
      </c>
      <c r="BB186" s="276">
        <v>10</v>
      </c>
      <c r="BC186" s="276"/>
      <c r="BD186" s="276"/>
      <c r="BE186" s="276">
        <v>5</v>
      </c>
      <c r="BF186" s="276">
        <v>10</v>
      </c>
      <c r="BG186" s="260">
        <v>5</v>
      </c>
      <c r="BH186" s="271">
        <v>5</v>
      </c>
      <c r="BI186" s="276"/>
      <c r="BJ186" s="276"/>
      <c r="BK186" s="276"/>
      <c r="BL186" s="275"/>
      <c r="BM186" s="329">
        <v>344</v>
      </c>
      <c r="BN186" s="272">
        <v>80</v>
      </c>
      <c r="BO186" s="270">
        <v>80</v>
      </c>
      <c r="BP186" s="272"/>
      <c r="BQ186" s="260"/>
      <c r="BR186" s="260"/>
      <c r="BS186" s="260"/>
      <c r="BT186" s="260"/>
      <c r="BU186" s="260"/>
      <c r="BV186" s="260">
        <v>10</v>
      </c>
      <c r="BW186" s="260">
        <v>80</v>
      </c>
      <c r="BX186" s="260"/>
      <c r="BY186" s="260"/>
      <c r="BZ186" s="260"/>
      <c r="CA186" s="260"/>
      <c r="CB186" s="260"/>
      <c r="CC186" s="260"/>
      <c r="CD186" s="260">
        <v>80</v>
      </c>
      <c r="CE186" s="260">
        <v>80</v>
      </c>
      <c r="CF186" s="272"/>
      <c r="CG186" s="260"/>
      <c r="CH186" s="260"/>
      <c r="CI186" s="260"/>
      <c r="CJ186" s="260"/>
      <c r="CK186" s="260"/>
      <c r="CL186" s="260"/>
      <c r="CM186" s="260"/>
      <c r="CN186" s="260">
        <v>10</v>
      </c>
      <c r="CO186" s="260">
        <v>20</v>
      </c>
      <c r="CP186" s="260">
        <v>20</v>
      </c>
      <c r="CQ186" s="260">
        <v>40</v>
      </c>
      <c r="CR186" s="260">
        <v>10</v>
      </c>
      <c r="CS186" s="270">
        <v>20</v>
      </c>
      <c r="CT186" s="328">
        <v>344</v>
      </c>
      <c r="CU186" s="249">
        <f>Table2821115[[#This Row],[D28 - BR/18]]/Table2821115[[#This Row],[D0 - BR/18]]</f>
        <v>2</v>
      </c>
      <c r="CV186" s="248">
        <f>Table2821115[[#This Row],[D28 - KS/17]]/Table2821115[[#This Row],[D0 - KS/17]]</f>
        <v>2</v>
      </c>
      <c r="CW186" s="248">
        <f>Table2821115[[#This Row],[D28 - Phu/13]]/Table2821115[[#This Row],[D0 - Phu/13]]</f>
        <v>1</v>
      </c>
      <c r="CX186" s="248">
        <f>Table2821115[[#This Row],[D28 - CO/17]]/Table2821115[[#This Row],[D0 - CO/17]]</f>
        <v>2</v>
      </c>
      <c r="CY186" s="248">
        <f>LOG(Table2821115[[#This Row],[BR/18 Fold]],2)</f>
        <v>1</v>
      </c>
      <c r="CZ186" s="248">
        <f>LOG(Table2821115[[#This Row],[KS/17 Fold]],2)</f>
        <v>1</v>
      </c>
      <c r="DA186" s="248">
        <f>LOG(Table2821115[[#This Row],[Phu/13 Fold]],2)</f>
        <v>0</v>
      </c>
      <c r="DB186" s="248">
        <f>LOG(Table2821115[[#This Row],[CO/17 Fold]],2)</f>
        <v>1</v>
      </c>
      <c r="DC186" s="248">
        <f>SUM(Table2821115[[#This Row],[BR/18 Log2]:[CO/17 Log2]])</f>
        <v>3</v>
      </c>
    </row>
    <row r="187" spans="1:107" ht="24" customHeight="1">
      <c r="A187" s="330">
        <v>345</v>
      </c>
      <c r="B187" s="210">
        <v>18071</v>
      </c>
      <c r="C187" s="210">
        <v>43762</v>
      </c>
      <c r="D187" s="209">
        <v>70</v>
      </c>
      <c r="E187" s="3" t="s">
        <v>61</v>
      </c>
      <c r="F187" s="143" t="s">
        <v>116</v>
      </c>
      <c r="G187" s="142">
        <v>23.908455348898563</v>
      </c>
      <c r="H187" s="5" t="s">
        <v>64</v>
      </c>
      <c r="I187" s="277" t="s">
        <v>60</v>
      </c>
      <c r="J187" s="260">
        <v>5</v>
      </c>
      <c r="K187" s="260">
        <v>5</v>
      </c>
      <c r="L187" s="260"/>
      <c r="M187" s="260"/>
      <c r="N187" s="260"/>
      <c r="O187" s="260"/>
      <c r="P187" s="260"/>
      <c r="Q187" s="260"/>
      <c r="R187" s="260"/>
      <c r="S187" s="260"/>
      <c r="T187" s="260"/>
      <c r="U187" s="260"/>
      <c r="V187" s="260">
        <v>5</v>
      </c>
      <c r="W187" s="260">
        <v>5</v>
      </c>
      <c r="X187" s="260">
        <v>80</v>
      </c>
      <c r="Y187" s="260">
        <v>80</v>
      </c>
      <c r="Z187" s="260">
        <v>10</v>
      </c>
      <c r="AA187" s="260">
        <v>20</v>
      </c>
      <c r="AB187" s="260">
        <v>10</v>
      </c>
      <c r="AC187" s="260">
        <v>20</v>
      </c>
      <c r="AD187" s="260"/>
      <c r="AE187" s="260"/>
      <c r="AF187" s="260"/>
      <c r="AG187" s="260"/>
      <c r="AH187" s="208">
        <v>345</v>
      </c>
      <c r="AI187" s="272">
        <v>40</v>
      </c>
      <c r="AJ187" s="271">
        <v>80</v>
      </c>
      <c r="AK187" s="260"/>
      <c r="AL187" s="260"/>
      <c r="AM187" s="260"/>
      <c r="AN187" s="260"/>
      <c r="AO187" s="260"/>
      <c r="AP187" s="260"/>
      <c r="AQ187" s="260"/>
      <c r="AR187" s="260"/>
      <c r="AS187" s="260"/>
      <c r="AT187" s="260"/>
      <c r="AU187" s="260">
        <v>80</v>
      </c>
      <c r="AV187" s="271">
        <v>160</v>
      </c>
      <c r="AW187" s="260">
        <v>40</v>
      </c>
      <c r="AX187" s="271">
        <v>160</v>
      </c>
      <c r="AY187" s="260">
        <v>40</v>
      </c>
      <c r="AZ187" s="271">
        <v>80</v>
      </c>
      <c r="BA187" s="276">
        <v>40</v>
      </c>
      <c r="BB187" s="276">
        <v>80</v>
      </c>
      <c r="BC187" s="276"/>
      <c r="BD187" s="276"/>
      <c r="BE187" s="276">
        <v>20</v>
      </c>
      <c r="BF187" s="276">
        <v>40</v>
      </c>
      <c r="BG187" s="260">
        <v>80</v>
      </c>
      <c r="BH187" s="271">
        <v>160</v>
      </c>
      <c r="BI187" s="276"/>
      <c r="BJ187" s="276"/>
      <c r="BK187" s="276"/>
      <c r="BL187" s="275"/>
      <c r="BM187" s="329">
        <v>345</v>
      </c>
      <c r="BN187" s="272">
        <v>320</v>
      </c>
      <c r="BO187" s="270">
        <v>160</v>
      </c>
      <c r="BP187" s="272"/>
      <c r="BQ187" s="260"/>
      <c r="BR187" s="260"/>
      <c r="BS187" s="260"/>
      <c r="BT187" s="260"/>
      <c r="BU187" s="260"/>
      <c r="BV187" s="260">
        <v>10</v>
      </c>
      <c r="BW187" s="260">
        <v>10</v>
      </c>
      <c r="BX187" s="260"/>
      <c r="BY187" s="260"/>
      <c r="BZ187" s="260"/>
      <c r="CA187" s="260"/>
      <c r="CB187" s="260"/>
      <c r="CC187" s="260"/>
      <c r="CD187" s="260">
        <v>40</v>
      </c>
      <c r="CE187" s="260">
        <v>20</v>
      </c>
      <c r="CF187" s="272"/>
      <c r="CG187" s="260"/>
      <c r="CH187" s="260"/>
      <c r="CI187" s="260"/>
      <c r="CJ187" s="260"/>
      <c r="CK187" s="260"/>
      <c r="CL187" s="260"/>
      <c r="CM187" s="260"/>
      <c r="CN187" s="260">
        <v>40</v>
      </c>
      <c r="CO187" s="260">
        <v>20</v>
      </c>
      <c r="CP187" s="260">
        <v>160</v>
      </c>
      <c r="CQ187" s="260">
        <v>160</v>
      </c>
      <c r="CR187" s="260">
        <v>40</v>
      </c>
      <c r="CS187" s="270">
        <v>40</v>
      </c>
      <c r="CT187" s="328">
        <v>345</v>
      </c>
      <c r="CU187" s="249">
        <f>Table2821115[[#This Row],[D28 - BR/18]]/Table2821115[[#This Row],[D0 - BR/18]]</f>
        <v>2</v>
      </c>
      <c r="CV187" s="248">
        <f>Table2821115[[#This Row],[D28 - KS/17]]/Table2821115[[#This Row],[D0 - KS/17]]</f>
        <v>2</v>
      </c>
      <c r="CW187" s="248">
        <f>Table2821115[[#This Row],[D28 - Phu/13]]/Table2821115[[#This Row],[D0 - Phu/13]]</f>
        <v>0.5</v>
      </c>
      <c r="CX187" s="248">
        <f>Table2821115[[#This Row],[D28 - CO/17]]/Table2821115[[#This Row],[D0 - CO/17]]</f>
        <v>1</v>
      </c>
      <c r="CY187" s="248">
        <f>LOG(Table2821115[[#This Row],[BR/18 Fold]],2)</f>
        <v>1</v>
      </c>
      <c r="CZ187" s="248">
        <f>LOG(Table2821115[[#This Row],[KS/17 Fold]],2)</f>
        <v>1</v>
      </c>
      <c r="DA187" s="248">
        <f>LOG(Table2821115[[#This Row],[Phu/13 Fold]],2)</f>
        <v>-1</v>
      </c>
      <c r="DB187" s="248">
        <f>LOG(Table2821115[[#This Row],[CO/17 Fold]],2)</f>
        <v>0</v>
      </c>
      <c r="DC187" s="248">
        <f>SUM(Table2821115[[#This Row],[BR/18 Log2]:[CO/17 Log2]])</f>
        <v>1</v>
      </c>
    </row>
    <row r="188" spans="1:107" ht="24" customHeight="1">
      <c r="A188" s="330">
        <v>346</v>
      </c>
      <c r="B188" s="210">
        <v>19472</v>
      </c>
      <c r="C188" s="210">
        <v>43773</v>
      </c>
      <c r="D188" s="209">
        <v>66</v>
      </c>
      <c r="E188" s="3" t="s">
        <v>61</v>
      </c>
      <c r="F188" s="143" t="s">
        <v>116</v>
      </c>
      <c r="G188" s="142">
        <v>27.415006477364241</v>
      </c>
      <c r="H188" s="5" t="s">
        <v>64</v>
      </c>
      <c r="I188" s="277" t="s">
        <v>60</v>
      </c>
      <c r="J188" s="260">
        <v>5</v>
      </c>
      <c r="K188" s="260">
        <v>5</v>
      </c>
      <c r="L188" s="260"/>
      <c r="M188" s="260"/>
      <c r="N188" s="260"/>
      <c r="O188" s="260"/>
      <c r="P188" s="260"/>
      <c r="Q188" s="260"/>
      <c r="R188" s="260"/>
      <c r="S188" s="260"/>
      <c r="T188" s="260"/>
      <c r="U188" s="260"/>
      <c r="V188" s="260">
        <v>5</v>
      </c>
      <c r="W188" s="260">
        <v>5</v>
      </c>
      <c r="X188" s="260">
        <v>10</v>
      </c>
      <c r="Y188" s="260">
        <v>40</v>
      </c>
      <c r="Z188" s="260">
        <v>10</v>
      </c>
      <c r="AA188" s="260">
        <v>80</v>
      </c>
      <c r="AB188" s="260">
        <v>5</v>
      </c>
      <c r="AC188" s="260">
        <v>40</v>
      </c>
      <c r="AD188" s="260"/>
      <c r="AE188" s="260"/>
      <c r="AF188" s="260"/>
      <c r="AG188" s="260"/>
      <c r="AH188" s="208">
        <v>346</v>
      </c>
      <c r="AI188" s="272">
        <v>20</v>
      </c>
      <c r="AJ188" s="271">
        <v>40</v>
      </c>
      <c r="AK188" s="260"/>
      <c r="AL188" s="260"/>
      <c r="AM188" s="260"/>
      <c r="AN188" s="260"/>
      <c r="AO188" s="260"/>
      <c r="AP188" s="260"/>
      <c r="AQ188" s="260"/>
      <c r="AR188" s="260"/>
      <c r="AS188" s="260"/>
      <c r="AT188" s="260"/>
      <c r="AU188" s="260">
        <v>10</v>
      </c>
      <c r="AV188" s="271">
        <v>320</v>
      </c>
      <c r="AW188" s="260">
        <v>5</v>
      </c>
      <c r="AX188" s="271">
        <v>320</v>
      </c>
      <c r="AY188" s="260">
        <v>80</v>
      </c>
      <c r="AZ188" s="271">
        <v>320</v>
      </c>
      <c r="BA188" s="276">
        <v>40</v>
      </c>
      <c r="BB188" s="276">
        <v>320</v>
      </c>
      <c r="BC188" s="276"/>
      <c r="BD188" s="276"/>
      <c r="BE188" s="276">
        <v>5</v>
      </c>
      <c r="BF188" s="276">
        <v>320</v>
      </c>
      <c r="BG188" s="260">
        <v>40</v>
      </c>
      <c r="BH188" s="271">
        <v>320</v>
      </c>
      <c r="BI188" s="276"/>
      <c r="BJ188" s="276"/>
      <c r="BK188" s="276"/>
      <c r="BL188" s="275"/>
      <c r="BM188" s="329">
        <v>346</v>
      </c>
      <c r="BN188" s="272">
        <v>10</v>
      </c>
      <c r="BO188" s="270">
        <v>20</v>
      </c>
      <c r="BP188" s="272"/>
      <c r="BQ188" s="260"/>
      <c r="BR188" s="260"/>
      <c r="BS188" s="260"/>
      <c r="BT188" s="260"/>
      <c r="BU188" s="260"/>
      <c r="BV188" s="260">
        <v>5</v>
      </c>
      <c r="BW188" s="260">
        <v>10</v>
      </c>
      <c r="BX188" s="260"/>
      <c r="BY188" s="260"/>
      <c r="BZ188" s="260"/>
      <c r="CA188" s="260"/>
      <c r="CB188" s="260"/>
      <c r="CC188" s="260"/>
      <c r="CD188" s="260">
        <v>10</v>
      </c>
      <c r="CE188" s="260">
        <v>20</v>
      </c>
      <c r="CF188" s="272"/>
      <c r="CG188" s="260"/>
      <c r="CH188" s="260"/>
      <c r="CI188" s="260"/>
      <c r="CJ188" s="260"/>
      <c r="CK188" s="260"/>
      <c r="CL188" s="260"/>
      <c r="CM188" s="260"/>
      <c r="CN188" s="260">
        <v>5</v>
      </c>
      <c r="CO188" s="260">
        <v>40</v>
      </c>
      <c r="CP188" s="260">
        <v>10</v>
      </c>
      <c r="CQ188" s="260">
        <v>20</v>
      </c>
      <c r="CR188" s="260">
        <v>5</v>
      </c>
      <c r="CS188" s="270">
        <v>20</v>
      </c>
      <c r="CT188" s="328">
        <v>346</v>
      </c>
      <c r="CU188" s="249">
        <f>Table2821115[[#This Row],[D28 - BR/18]]/Table2821115[[#This Row],[D0 - BR/18]]</f>
        <v>8</v>
      </c>
      <c r="CV188" s="248">
        <f>Table2821115[[#This Row],[D28 - KS/17]]/Table2821115[[#This Row],[D0 - KS/17]]</f>
        <v>64</v>
      </c>
      <c r="CW188" s="248">
        <f>Table2821115[[#This Row],[D28 - Phu/13]]/Table2821115[[#This Row],[D0 - Phu/13]]</f>
        <v>2</v>
      </c>
      <c r="CX188" s="248">
        <f>Table2821115[[#This Row],[D28 - CO/17]]/Table2821115[[#This Row],[D0 - CO/17]]</f>
        <v>2</v>
      </c>
      <c r="CY188" s="248">
        <f>LOG(Table2821115[[#This Row],[BR/18 Fold]],2)</f>
        <v>3</v>
      </c>
      <c r="CZ188" s="248">
        <f>LOG(Table2821115[[#This Row],[KS/17 Fold]],2)</f>
        <v>6</v>
      </c>
      <c r="DA188" s="248">
        <f>LOG(Table2821115[[#This Row],[Phu/13 Fold]],2)</f>
        <v>1</v>
      </c>
      <c r="DB188" s="248">
        <f>LOG(Table2821115[[#This Row],[CO/17 Fold]],2)</f>
        <v>1</v>
      </c>
      <c r="DC188" s="248">
        <f>SUM(Table2821115[[#This Row],[BR/18 Log2]:[CO/17 Log2]])</f>
        <v>11</v>
      </c>
    </row>
    <row r="189" spans="1:107" ht="24" customHeight="1">
      <c r="A189" s="318">
        <v>347</v>
      </c>
      <c r="B189" s="180">
        <v>21485</v>
      </c>
      <c r="C189" s="180">
        <v>43755</v>
      </c>
      <c r="D189" s="179">
        <v>60</v>
      </c>
      <c r="E189" s="4" t="s">
        <v>58</v>
      </c>
      <c r="F189" s="143" t="s">
        <v>116</v>
      </c>
      <c r="G189" s="142">
        <v>27.255086824903014</v>
      </c>
      <c r="H189" s="11" t="s">
        <v>59</v>
      </c>
      <c r="I189" s="277" t="s">
        <v>1216</v>
      </c>
      <c r="J189" s="260">
        <v>5</v>
      </c>
      <c r="K189" s="260">
        <v>40</v>
      </c>
      <c r="L189" s="260"/>
      <c r="M189" s="260"/>
      <c r="N189" s="260"/>
      <c r="O189" s="260"/>
      <c r="P189" s="260"/>
      <c r="Q189" s="260"/>
      <c r="R189" s="260"/>
      <c r="S189" s="260"/>
      <c r="T189" s="260"/>
      <c r="U189" s="260"/>
      <c r="V189" s="260">
        <v>5</v>
      </c>
      <c r="W189" s="260">
        <v>10</v>
      </c>
      <c r="X189" s="260">
        <v>40</v>
      </c>
      <c r="Y189" s="260">
        <v>160</v>
      </c>
      <c r="Z189" s="260">
        <v>40</v>
      </c>
      <c r="AA189" s="260">
        <v>160</v>
      </c>
      <c r="AB189" s="260">
        <v>20</v>
      </c>
      <c r="AC189" s="260">
        <v>160</v>
      </c>
      <c r="AD189" s="260"/>
      <c r="AE189" s="260"/>
      <c r="AF189" s="260"/>
      <c r="AG189" s="260"/>
      <c r="AH189" s="195">
        <v>347</v>
      </c>
      <c r="AI189" s="272">
        <v>10</v>
      </c>
      <c r="AJ189" s="271">
        <v>40</v>
      </c>
      <c r="AK189" s="260"/>
      <c r="AL189" s="260"/>
      <c r="AM189" s="260"/>
      <c r="AN189" s="260"/>
      <c r="AO189" s="260"/>
      <c r="AP189" s="260"/>
      <c r="AQ189" s="260"/>
      <c r="AR189" s="260"/>
      <c r="AS189" s="260"/>
      <c r="AT189" s="260"/>
      <c r="AU189" s="260">
        <v>80</v>
      </c>
      <c r="AV189" s="271">
        <v>640</v>
      </c>
      <c r="AW189" s="260">
        <v>40</v>
      </c>
      <c r="AX189" s="271">
        <v>1280</v>
      </c>
      <c r="AY189" s="260">
        <v>10</v>
      </c>
      <c r="AZ189" s="271">
        <v>320</v>
      </c>
      <c r="BA189" s="276">
        <v>10</v>
      </c>
      <c r="BB189" s="276">
        <v>320</v>
      </c>
      <c r="BC189" s="276"/>
      <c r="BD189" s="276"/>
      <c r="BE189" s="276">
        <v>5</v>
      </c>
      <c r="BF189" s="276">
        <v>320</v>
      </c>
      <c r="BG189" s="260">
        <v>80</v>
      </c>
      <c r="BH189" s="271">
        <v>640</v>
      </c>
      <c r="BI189" s="276"/>
      <c r="BJ189" s="276"/>
      <c r="BK189" s="276"/>
      <c r="BL189" s="275"/>
      <c r="BM189" s="316">
        <v>347</v>
      </c>
      <c r="BN189" s="272">
        <v>20</v>
      </c>
      <c r="BO189" s="270">
        <v>80</v>
      </c>
      <c r="BP189" s="272"/>
      <c r="BQ189" s="260"/>
      <c r="BR189" s="260"/>
      <c r="BS189" s="260"/>
      <c r="BT189" s="260"/>
      <c r="BU189" s="260"/>
      <c r="BV189" s="260">
        <v>5</v>
      </c>
      <c r="BW189" s="260">
        <v>160</v>
      </c>
      <c r="BX189" s="260"/>
      <c r="BY189" s="260"/>
      <c r="BZ189" s="260"/>
      <c r="CA189" s="260"/>
      <c r="CB189" s="260"/>
      <c r="CC189" s="260"/>
      <c r="CD189" s="260">
        <v>80</v>
      </c>
      <c r="CE189" s="260">
        <v>160</v>
      </c>
      <c r="CF189" s="272"/>
      <c r="CG189" s="260"/>
      <c r="CH189" s="260"/>
      <c r="CI189" s="260"/>
      <c r="CJ189" s="260"/>
      <c r="CK189" s="260"/>
      <c r="CL189" s="260"/>
      <c r="CM189" s="260"/>
      <c r="CN189" s="260">
        <v>10</v>
      </c>
      <c r="CO189" s="260">
        <v>80</v>
      </c>
      <c r="CP189" s="260">
        <v>20</v>
      </c>
      <c r="CQ189" s="260">
        <v>80</v>
      </c>
      <c r="CR189" s="260">
        <v>20</v>
      </c>
      <c r="CS189" s="270">
        <v>40</v>
      </c>
      <c r="CT189" s="315">
        <v>347</v>
      </c>
      <c r="CU189" s="249">
        <f>Table2821115[[#This Row],[D28 - BR/18]]/Table2821115[[#This Row],[D0 - BR/18]]</f>
        <v>8</v>
      </c>
      <c r="CV189" s="248">
        <f>Table2821115[[#This Row],[D28 - KS/17]]/Table2821115[[#This Row],[D0 - KS/17]]</f>
        <v>64</v>
      </c>
      <c r="CW189" s="248">
        <f>Table2821115[[#This Row],[D28 - Phu/13]]/Table2821115[[#This Row],[D0 - Phu/13]]</f>
        <v>2</v>
      </c>
      <c r="CX189" s="248">
        <f>Table2821115[[#This Row],[D28 - CO/17]]/Table2821115[[#This Row],[D0 - CO/17]]</f>
        <v>4</v>
      </c>
      <c r="CY189" s="248">
        <f>LOG(Table2821115[[#This Row],[BR/18 Fold]],2)</f>
        <v>3</v>
      </c>
      <c r="CZ189" s="248">
        <f>LOG(Table2821115[[#This Row],[KS/17 Fold]],2)</f>
        <v>6</v>
      </c>
      <c r="DA189" s="248">
        <f>LOG(Table2821115[[#This Row],[Phu/13 Fold]],2)</f>
        <v>1</v>
      </c>
      <c r="DB189" s="248">
        <f>LOG(Table2821115[[#This Row],[CO/17 Fold]],2)</f>
        <v>2</v>
      </c>
      <c r="DC189" s="248">
        <f>SUM(Table2821115[[#This Row],[BR/18 Log2]:[CO/17 Log2]])</f>
        <v>12</v>
      </c>
    </row>
    <row r="190" spans="1:107" ht="24" customHeight="1">
      <c r="A190" s="330">
        <v>348</v>
      </c>
      <c r="B190" s="210">
        <v>19612</v>
      </c>
      <c r="C190" s="210">
        <v>43756</v>
      </c>
      <c r="D190" s="209">
        <v>66</v>
      </c>
      <c r="E190" s="3" t="s">
        <v>61</v>
      </c>
      <c r="F190" s="143" t="s">
        <v>116</v>
      </c>
      <c r="G190" s="142">
        <v>25.612801857312881</v>
      </c>
      <c r="H190" s="5" t="s">
        <v>64</v>
      </c>
      <c r="I190" s="277" t="s">
        <v>60</v>
      </c>
      <c r="J190" s="260">
        <v>5</v>
      </c>
      <c r="K190" s="260">
        <v>5</v>
      </c>
      <c r="L190" s="260"/>
      <c r="M190" s="260"/>
      <c r="N190" s="260"/>
      <c r="O190" s="260"/>
      <c r="P190" s="260"/>
      <c r="Q190" s="260"/>
      <c r="R190" s="260"/>
      <c r="S190" s="260"/>
      <c r="T190" s="260"/>
      <c r="U190" s="260"/>
      <c r="V190" s="260">
        <v>5</v>
      </c>
      <c r="W190" s="260">
        <v>5</v>
      </c>
      <c r="X190" s="260">
        <v>80</v>
      </c>
      <c r="Y190" s="260">
        <v>80</v>
      </c>
      <c r="Z190" s="260">
        <v>80</v>
      </c>
      <c r="AA190" s="260">
        <v>160</v>
      </c>
      <c r="AB190" s="260">
        <v>40</v>
      </c>
      <c r="AC190" s="260">
        <v>80</v>
      </c>
      <c r="AD190" s="260"/>
      <c r="AE190" s="260"/>
      <c r="AF190" s="260"/>
      <c r="AG190" s="260"/>
      <c r="AH190" s="208">
        <v>348</v>
      </c>
      <c r="AI190" s="272">
        <v>5</v>
      </c>
      <c r="AJ190" s="271">
        <v>20</v>
      </c>
      <c r="AK190" s="260"/>
      <c r="AL190" s="260"/>
      <c r="AM190" s="260"/>
      <c r="AN190" s="260"/>
      <c r="AO190" s="260"/>
      <c r="AP190" s="260"/>
      <c r="AQ190" s="260"/>
      <c r="AR190" s="260"/>
      <c r="AS190" s="260"/>
      <c r="AT190" s="260"/>
      <c r="AU190" s="260">
        <v>160</v>
      </c>
      <c r="AV190" s="271">
        <v>320</v>
      </c>
      <c r="AW190" s="260">
        <v>80</v>
      </c>
      <c r="AX190" s="271">
        <v>640</v>
      </c>
      <c r="AY190" s="260">
        <v>40</v>
      </c>
      <c r="AZ190" s="271">
        <v>160</v>
      </c>
      <c r="BA190" s="276">
        <v>40</v>
      </c>
      <c r="BB190" s="276">
        <v>160</v>
      </c>
      <c r="BC190" s="276"/>
      <c r="BD190" s="276"/>
      <c r="BE190" s="276">
        <v>40</v>
      </c>
      <c r="BF190" s="276">
        <v>160</v>
      </c>
      <c r="BG190" s="260">
        <v>80</v>
      </c>
      <c r="BH190" s="271">
        <v>320</v>
      </c>
      <c r="BI190" s="276"/>
      <c r="BJ190" s="276"/>
      <c r="BK190" s="276"/>
      <c r="BL190" s="275"/>
      <c r="BM190" s="329">
        <v>348</v>
      </c>
      <c r="BN190" s="272">
        <v>20</v>
      </c>
      <c r="BO190" s="270">
        <v>40</v>
      </c>
      <c r="BP190" s="272"/>
      <c r="BQ190" s="260"/>
      <c r="BR190" s="260"/>
      <c r="BS190" s="260"/>
      <c r="BT190" s="260"/>
      <c r="BU190" s="260"/>
      <c r="BV190" s="260">
        <v>5</v>
      </c>
      <c r="BW190" s="260">
        <v>10</v>
      </c>
      <c r="BX190" s="260"/>
      <c r="BY190" s="260"/>
      <c r="BZ190" s="260"/>
      <c r="CA190" s="260"/>
      <c r="CB190" s="260"/>
      <c r="CC190" s="260"/>
      <c r="CD190" s="260">
        <v>20</v>
      </c>
      <c r="CE190" s="260">
        <v>40</v>
      </c>
      <c r="CF190" s="272"/>
      <c r="CG190" s="260"/>
      <c r="CH190" s="260"/>
      <c r="CI190" s="260"/>
      <c r="CJ190" s="260"/>
      <c r="CK190" s="260"/>
      <c r="CL190" s="260"/>
      <c r="CM190" s="260"/>
      <c r="CN190" s="260">
        <v>10</v>
      </c>
      <c r="CO190" s="260">
        <v>20</v>
      </c>
      <c r="CP190" s="260">
        <v>10</v>
      </c>
      <c r="CQ190" s="260">
        <v>40</v>
      </c>
      <c r="CR190" s="260">
        <v>10</v>
      </c>
      <c r="CS190" s="270">
        <v>20</v>
      </c>
      <c r="CT190" s="328">
        <v>348</v>
      </c>
      <c r="CU190" s="249">
        <f>Table2821115[[#This Row],[D28 - BR/18]]/Table2821115[[#This Row],[D0 - BR/18]]</f>
        <v>2</v>
      </c>
      <c r="CV190" s="248">
        <f>Table2821115[[#This Row],[D28 - KS/17]]/Table2821115[[#This Row],[D0 - KS/17]]</f>
        <v>4</v>
      </c>
      <c r="CW190" s="248">
        <f>Table2821115[[#This Row],[D28 - Phu/13]]/Table2821115[[#This Row],[D0 - Phu/13]]</f>
        <v>2</v>
      </c>
      <c r="CX190" s="248">
        <f>Table2821115[[#This Row],[D28 - CO/17]]/Table2821115[[#This Row],[D0 - CO/17]]</f>
        <v>4</v>
      </c>
      <c r="CY190" s="248">
        <f>LOG(Table2821115[[#This Row],[BR/18 Fold]],2)</f>
        <v>1</v>
      </c>
      <c r="CZ190" s="248">
        <f>LOG(Table2821115[[#This Row],[KS/17 Fold]],2)</f>
        <v>2</v>
      </c>
      <c r="DA190" s="248">
        <f>LOG(Table2821115[[#This Row],[Phu/13 Fold]],2)</f>
        <v>1</v>
      </c>
      <c r="DB190" s="248">
        <f>LOG(Table2821115[[#This Row],[CO/17 Fold]],2)</f>
        <v>2</v>
      </c>
      <c r="DC190" s="248">
        <f>SUM(Table2821115[[#This Row],[BR/18 Log2]:[CO/17 Log2]])</f>
        <v>6</v>
      </c>
    </row>
    <row r="191" spans="1:107" ht="24" customHeight="1">
      <c r="A191" s="318">
        <v>349</v>
      </c>
      <c r="B191" s="180">
        <v>24511</v>
      </c>
      <c r="C191" s="180">
        <v>43763</v>
      </c>
      <c r="D191" s="179">
        <v>52</v>
      </c>
      <c r="E191" s="3" t="s">
        <v>61</v>
      </c>
      <c r="F191" s="143" t="s">
        <v>116</v>
      </c>
      <c r="G191" s="142">
        <v>22.280274918901259</v>
      </c>
      <c r="H191" s="11" t="s">
        <v>59</v>
      </c>
      <c r="I191" s="277" t="s">
        <v>60</v>
      </c>
      <c r="J191" s="260">
        <v>5</v>
      </c>
      <c r="K191" s="260">
        <v>40</v>
      </c>
      <c r="L191" s="260"/>
      <c r="M191" s="260"/>
      <c r="N191" s="260"/>
      <c r="O191" s="260"/>
      <c r="P191" s="260"/>
      <c r="Q191" s="260"/>
      <c r="R191" s="260"/>
      <c r="S191" s="260"/>
      <c r="T191" s="260"/>
      <c r="U191" s="260"/>
      <c r="V191" s="260">
        <v>5</v>
      </c>
      <c r="W191" s="260">
        <v>5</v>
      </c>
      <c r="X191" s="260">
        <v>20</v>
      </c>
      <c r="Y191" s="260">
        <v>80</v>
      </c>
      <c r="Z191" s="260">
        <v>20</v>
      </c>
      <c r="AA191" s="260">
        <v>40</v>
      </c>
      <c r="AB191" s="260">
        <v>5</v>
      </c>
      <c r="AC191" s="260">
        <v>20</v>
      </c>
      <c r="AD191" s="260"/>
      <c r="AE191" s="260"/>
      <c r="AF191" s="260"/>
      <c r="AG191" s="260"/>
      <c r="AH191" s="195">
        <v>349</v>
      </c>
      <c r="AI191" s="272">
        <v>20</v>
      </c>
      <c r="AJ191" s="271">
        <v>40</v>
      </c>
      <c r="AK191" s="260"/>
      <c r="AL191" s="260"/>
      <c r="AM191" s="260"/>
      <c r="AN191" s="260"/>
      <c r="AO191" s="260"/>
      <c r="AP191" s="260"/>
      <c r="AQ191" s="260"/>
      <c r="AR191" s="260"/>
      <c r="AS191" s="260"/>
      <c r="AT191" s="260"/>
      <c r="AU191" s="260">
        <v>40</v>
      </c>
      <c r="AV191" s="271">
        <v>80</v>
      </c>
      <c r="AW191" s="260">
        <v>5</v>
      </c>
      <c r="AX191" s="271">
        <v>80</v>
      </c>
      <c r="AY191" s="260">
        <v>20</v>
      </c>
      <c r="AZ191" s="271">
        <v>40</v>
      </c>
      <c r="BA191" s="276">
        <v>5</v>
      </c>
      <c r="BB191" s="276">
        <v>40</v>
      </c>
      <c r="BC191" s="276"/>
      <c r="BD191" s="276"/>
      <c r="BE191" s="276">
        <v>5</v>
      </c>
      <c r="BF191" s="276">
        <v>40</v>
      </c>
      <c r="BG191" s="260">
        <v>40</v>
      </c>
      <c r="BH191" s="271">
        <v>80</v>
      </c>
      <c r="BI191" s="276"/>
      <c r="BJ191" s="276"/>
      <c r="BK191" s="276"/>
      <c r="BL191" s="275"/>
      <c r="BM191" s="316">
        <v>349</v>
      </c>
      <c r="BN191" s="272">
        <v>5</v>
      </c>
      <c r="BO191" s="270">
        <v>5</v>
      </c>
      <c r="BP191" s="272"/>
      <c r="BQ191" s="260"/>
      <c r="BR191" s="260"/>
      <c r="BS191" s="260"/>
      <c r="BT191" s="260"/>
      <c r="BU191" s="260"/>
      <c r="BV191" s="260">
        <v>80</v>
      </c>
      <c r="BW191" s="260">
        <v>80</v>
      </c>
      <c r="BX191" s="260"/>
      <c r="BY191" s="260"/>
      <c r="BZ191" s="260"/>
      <c r="CA191" s="260"/>
      <c r="CB191" s="260"/>
      <c r="CC191" s="260"/>
      <c r="CD191" s="260">
        <v>160</v>
      </c>
      <c r="CE191" s="260">
        <v>160</v>
      </c>
      <c r="CF191" s="272"/>
      <c r="CG191" s="260"/>
      <c r="CH191" s="260"/>
      <c r="CI191" s="260"/>
      <c r="CJ191" s="260"/>
      <c r="CK191" s="260"/>
      <c r="CL191" s="260"/>
      <c r="CM191" s="260"/>
      <c r="CN191" s="260">
        <v>20</v>
      </c>
      <c r="CO191" s="260">
        <v>40</v>
      </c>
      <c r="CP191" s="260">
        <v>40</v>
      </c>
      <c r="CQ191" s="260">
        <v>80</v>
      </c>
      <c r="CR191" s="260">
        <v>10</v>
      </c>
      <c r="CS191" s="270">
        <v>20</v>
      </c>
      <c r="CT191" s="315">
        <v>349</v>
      </c>
      <c r="CU191" s="249">
        <f>Table2821115[[#This Row],[D28 - BR/18]]/Table2821115[[#This Row],[D0 - BR/18]]</f>
        <v>4</v>
      </c>
      <c r="CV191" s="248">
        <f>Table2821115[[#This Row],[D28 - KS/17]]/Table2821115[[#This Row],[D0 - KS/17]]</f>
        <v>8</v>
      </c>
      <c r="CW191" s="248">
        <f>Table2821115[[#This Row],[D28 - Phu/13]]/Table2821115[[#This Row],[D0 - Phu/13]]</f>
        <v>1</v>
      </c>
      <c r="CX191" s="248">
        <f>Table2821115[[#This Row],[D28 - CO/17]]/Table2821115[[#This Row],[D0 - CO/17]]</f>
        <v>2</v>
      </c>
      <c r="CY191" s="248">
        <f>LOG(Table2821115[[#This Row],[BR/18 Fold]],2)</f>
        <v>2</v>
      </c>
      <c r="CZ191" s="248">
        <f>LOG(Table2821115[[#This Row],[KS/17 Fold]],2)</f>
        <v>3</v>
      </c>
      <c r="DA191" s="248">
        <f>LOG(Table2821115[[#This Row],[Phu/13 Fold]],2)</f>
        <v>0</v>
      </c>
      <c r="DB191" s="248">
        <f>LOG(Table2821115[[#This Row],[CO/17 Fold]],2)</f>
        <v>1</v>
      </c>
      <c r="DC191" s="248">
        <f>SUM(Table2821115[[#This Row],[BR/18 Log2]:[CO/17 Log2]])</f>
        <v>6</v>
      </c>
    </row>
    <row r="192" spans="1:107" ht="24" customHeight="1">
      <c r="A192" s="330">
        <v>350</v>
      </c>
      <c r="B192" s="210">
        <v>18806</v>
      </c>
      <c r="C192" s="210">
        <v>43759</v>
      </c>
      <c r="D192" s="209">
        <v>68</v>
      </c>
      <c r="E192" s="4" t="s">
        <v>58</v>
      </c>
      <c r="F192" s="143" t="s">
        <v>116</v>
      </c>
      <c r="G192" s="142">
        <v>25.808901195558374</v>
      </c>
      <c r="H192" s="5" t="s">
        <v>64</v>
      </c>
      <c r="I192" s="277" t="s">
        <v>60</v>
      </c>
      <c r="J192" s="260">
        <v>5</v>
      </c>
      <c r="K192" s="260">
        <v>5</v>
      </c>
      <c r="L192" s="260"/>
      <c r="M192" s="260"/>
      <c r="N192" s="260"/>
      <c r="O192" s="260"/>
      <c r="P192" s="260"/>
      <c r="Q192" s="260"/>
      <c r="R192" s="260"/>
      <c r="S192" s="260"/>
      <c r="T192" s="260"/>
      <c r="U192" s="260"/>
      <c r="V192" s="260">
        <v>5</v>
      </c>
      <c r="W192" s="260">
        <v>5</v>
      </c>
      <c r="X192" s="260">
        <v>5</v>
      </c>
      <c r="Y192" s="260">
        <v>20</v>
      </c>
      <c r="Z192" s="260">
        <v>5</v>
      </c>
      <c r="AA192" s="260">
        <v>10</v>
      </c>
      <c r="AB192" s="260">
        <v>5</v>
      </c>
      <c r="AC192" s="260">
        <v>10</v>
      </c>
      <c r="AD192" s="260"/>
      <c r="AE192" s="260"/>
      <c r="AF192" s="260"/>
      <c r="AG192" s="260"/>
      <c r="AH192" s="208">
        <v>350</v>
      </c>
      <c r="AI192" s="272">
        <v>5</v>
      </c>
      <c r="AJ192" s="271">
        <v>10</v>
      </c>
      <c r="AK192" s="260"/>
      <c r="AL192" s="260"/>
      <c r="AM192" s="260"/>
      <c r="AN192" s="260"/>
      <c r="AO192" s="260"/>
      <c r="AP192" s="260"/>
      <c r="AQ192" s="260"/>
      <c r="AR192" s="260"/>
      <c r="AS192" s="260"/>
      <c r="AT192" s="260"/>
      <c r="AU192" s="260">
        <v>40</v>
      </c>
      <c r="AV192" s="271">
        <v>80</v>
      </c>
      <c r="AW192" s="260">
        <v>20</v>
      </c>
      <c r="AX192" s="271">
        <v>320</v>
      </c>
      <c r="AY192" s="260">
        <v>20</v>
      </c>
      <c r="AZ192" s="271">
        <v>80</v>
      </c>
      <c r="BA192" s="276">
        <v>20</v>
      </c>
      <c r="BB192" s="276">
        <v>80</v>
      </c>
      <c r="BC192" s="276"/>
      <c r="BD192" s="276"/>
      <c r="BE192" s="276">
        <v>5</v>
      </c>
      <c r="BF192" s="276">
        <v>80</v>
      </c>
      <c r="BG192" s="260">
        <v>20</v>
      </c>
      <c r="BH192" s="271">
        <v>160</v>
      </c>
      <c r="BI192" s="276"/>
      <c r="BJ192" s="276"/>
      <c r="BK192" s="276"/>
      <c r="BL192" s="275"/>
      <c r="BM192" s="329">
        <v>350</v>
      </c>
      <c r="BN192" s="272">
        <v>80</v>
      </c>
      <c r="BO192" s="270">
        <v>80</v>
      </c>
      <c r="BP192" s="272"/>
      <c r="BQ192" s="260"/>
      <c r="BR192" s="260"/>
      <c r="BS192" s="260"/>
      <c r="BT192" s="260"/>
      <c r="BU192" s="260"/>
      <c r="BV192" s="260">
        <v>40</v>
      </c>
      <c r="BW192" s="260">
        <v>40</v>
      </c>
      <c r="BX192" s="260"/>
      <c r="BY192" s="260"/>
      <c r="BZ192" s="260"/>
      <c r="CA192" s="260"/>
      <c r="CB192" s="260"/>
      <c r="CC192" s="260"/>
      <c r="CD192" s="260">
        <v>80</v>
      </c>
      <c r="CE192" s="260">
        <v>80</v>
      </c>
      <c r="CF192" s="272"/>
      <c r="CG192" s="260"/>
      <c r="CH192" s="260"/>
      <c r="CI192" s="260"/>
      <c r="CJ192" s="260"/>
      <c r="CK192" s="260"/>
      <c r="CL192" s="260"/>
      <c r="CM192" s="260"/>
      <c r="CN192" s="260">
        <v>40</v>
      </c>
      <c r="CO192" s="260">
        <v>40</v>
      </c>
      <c r="CP192" s="260">
        <v>40</v>
      </c>
      <c r="CQ192" s="260">
        <v>80</v>
      </c>
      <c r="CR192" s="260">
        <v>20</v>
      </c>
      <c r="CS192" s="270">
        <v>20</v>
      </c>
      <c r="CT192" s="328">
        <v>350</v>
      </c>
      <c r="CU192" s="249">
        <f>Table2821115[[#This Row],[D28 - BR/18]]/Table2821115[[#This Row],[D0 - BR/18]]</f>
        <v>2</v>
      </c>
      <c r="CV192" s="248">
        <f>Table2821115[[#This Row],[D28 - KS/17]]/Table2821115[[#This Row],[D0 - KS/17]]</f>
        <v>16</v>
      </c>
      <c r="CW192" s="248">
        <f>Table2821115[[#This Row],[D28 - Phu/13]]/Table2821115[[#This Row],[D0 - Phu/13]]</f>
        <v>1</v>
      </c>
      <c r="CX192" s="248">
        <f>Table2821115[[#This Row],[D28 - CO/17]]/Table2821115[[#This Row],[D0 - CO/17]]</f>
        <v>2</v>
      </c>
      <c r="CY192" s="248">
        <f>LOG(Table2821115[[#This Row],[BR/18 Fold]],2)</f>
        <v>1</v>
      </c>
      <c r="CZ192" s="248">
        <f>LOG(Table2821115[[#This Row],[KS/17 Fold]],2)</f>
        <v>4</v>
      </c>
      <c r="DA192" s="248">
        <f>LOG(Table2821115[[#This Row],[Phu/13 Fold]],2)</f>
        <v>0</v>
      </c>
      <c r="DB192" s="248">
        <f>LOG(Table2821115[[#This Row],[CO/17 Fold]],2)</f>
        <v>1</v>
      </c>
      <c r="DC192" s="248">
        <f>SUM(Table2821115[[#This Row],[BR/18 Log2]:[CO/17 Log2]])</f>
        <v>6</v>
      </c>
    </row>
    <row r="193" spans="1:107" ht="24" customHeight="1">
      <c r="A193" s="324">
        <v>351</v>
      </c>
      <c r="B193" s="190">
        <v>29701</v>
      </c>
      <c r="C193" s="190">
        <v>43794</v>
      </c>
      <c r="D193" s="189">
        <v>38</v>
      </c>
      <c r="E193" s="3" t="s">
        <v>61</v>
      </c>
      <c r="F193" s="143" t="s">
        <v>116</v>
      </c>
      <c r="G193" s="142">
        <v>35.092134516933051</v>
      </c>
      <c r="H193" s="11" t="s">
        <v>59</v>
      </c>
      <c r="I193" s="277" t="s">
        <v>60</v>
      </c>
      <c r="J193" s="260">
        <v>5</v>
      </c>
      <c r="K193" s="260">
        <v>5</v>
      </c>
      <c r="L193" s="260"/>
      <c r="M193" s="260"/>
      <c r="N193" s="260"/>
      <c r="O193" s="260"/>
      <c r="P193" s="260"/>
      <c r="Q193" s="260"/>
      <c r="R193" s="260"/>
      <c r="S193" s="260"/>
      <c r="T193" s="260"/>
      <c r="U193" s="260"/>
      <c r="V193" s="260">
        <v>5</v>
      </c>
      <c r="W193" s="260">
        <v>5</v>
      </c>
      <c r="X193" s="260">
        <v>5</v>
      </c>
      <c r="Y193" s="260">
        <v>5</v>
      </c>
      <c r="Z193" s="260">
        <v>10</v>
      </c>
      <c r="AA193" s="260">
        <v>40</v>
      </c>
      <c r="AB193" s="260">
        <v>5</v>
      </c>
      <c r="AC193" s="260">
        <v>20</v>
      </c>
      <c r="AD193" s="260"/>
      <c r="AE193" s="260"/>
      <c r="AF193" s="260"/>
      <c r="AG193" s="260"/>
      <c r="AH193" s="198">
        <v>351</v>
      </c>
      <c r="AI193" s="272">
        <v>5</v>
      </c>
      <c r="AJ193" s="271">
        <v>20</v>
      </c>
      <c r="AK193" s="260"/>
      <c r="AL193" s="260"/>
      <c r="AM193" s="260"/>
      <c r="AN193" s="260"/>
      <c r="AO193" s="260"/>
      <c r="AP193" s="260"/>
      <c r="AQ193" s="260"/>
      <c r="AR193" s="260"/>
      <c r="AS193" s="260"/>
      <c r="AT193" s="260"/>
      <c r="AU193" s="260">
        <v>40</v>
      </c>
      <c r="AV193" s="271">
        <v>160</v>
      </c>
      <c r="AW193" s="260">
        <v>20</v>
      </c>
      <c r="AX193" s="271">
        <v>160</v>
      </c>
      <c r="AY193" s="260">
        <v>5</v>
      </c>
      <c r="AZ193" s="271">
        <v>80</v>
      </c>
      <c r="BA193" s="276">
        <v>10</v>
      </c>
      <c r="BB193" s="276">
        <v>80</v>
      </c>
      <c r="BC193" s="276"/>
      <c r="BD193" s="276"/>
      <c r="BE193" s="276">
        <v>5</v>
      </c>
      <c r="BF193" s="276">
        <v>80</v>
      </c>
      <c r="BG193" s="260">
        <v>20</v>
      </c>
      <c r="BH193" s="271">
        <v>80</v>
      </c>
      <c r="BI193" s="276"/>
      <c r="BJ193" s="276"/>
      <c r="BK193" s="276"/>
      <c r="BL193" s="275"/>
      <c r="BM193" s="323">
        <v>351</v>
      </c>
      <c r="BN193" s="272">
        <v>5</v>
      </c>
      <c r="BO193" s="270">
        <v>20</v>
      </c>
      <c r="BP193" s="272"/>
      <c r="BQ193" s="260"/>
      <c r="BR193" s="260"/>
      <c r="BS193" s="260"/>
      <c r="BT193" s="260"/>
      <c r="BU193" s="260"/>
      <c r="BV193" s="260">
        <v>5</v>
      </c>
      <c r="BW193" s="260">
        <v>5</v>
      </c>
      <c r="BX193" s="260"/>
      <c r="BY193" s="260"/>
      <c r="BZ193" s="260"/>
      <c r="CA193" s="260"/>
      <c r="CB193" s="260"/>
      <c r="CC193" s="260"/>
      <c r="CD193" s="260">
        <v>40</v>
      </c>
      <c r="CE193" s="260">
        <v>80</v>
      </c>
      <c r="CF193" s="272"/>
      <c r="CG193" s="260"/>
      <c r="CH193" s="260"/>
      <c r="CI193" s="260"/>
      <c r="CJ193" s="260"/>
      <c r="CK193" s="260"/>
      <c r="CL193" s="260"/>
      <c r="CM193" s="260"/>
      <c r="CN193" s="260">
        <v>5</v>
      </c>
      <c r="CO193" s="260">
        <v>20</v>
      </c>
      <c r="CP193" s="260">
        <v>10</v>
      </c>
      <c r="CQ193" s="260">
        <v>40</v>
      </c>
      <c r="CR193" s="260">
        <v>10</v>
      </c>
      <c r="CS193" s="270">
        <v>40</v>
      </c>
      <c r="CT193" s="322">
        <v>351</v>
      </c>
      <c r="CU193" s="249">
        <f>Table2821115[[#This Row],[D28 - BR/18]]/Table2821115[[#This Row],[D0 - BR/18]]</f>
        <v>4</v>
      </c>
      <c r="CV193" s="248">
        <f>Table2821115[[#This Row],[D28 - KS/17]]/Table2821115[[#This Row],[D0 - KS/17]]</f>
        <v>16</v>
      </c>
      <c r="CW193" s="248">
        <f>Table2821115[[#This Row],[D28 - Phu/13]]/Table2821115[[#This Row],[D0 - Phu/13]]</f>
        <v>2</v>
      </c>
      <c r="CX193" s="248">
        <f>Table2821115[[#This Row],[D28 - CO/17]]/Table2821115[[#This Row],[D0 - CO/17]]</f>
        <v>4</v>
      </c>
      <c r="CY193" s="248">
        <f>LOG(Table2821115[[#This Row],[BR/18 Fold]],2)</f>
        <v>2</v>
      </c>
      <c r="CZ193" s="248">
        <f>LOG(Table2821115[[#This Row],[KS/17 Fold]],2)</f>
        <v>4</v>
      </c>
      <c r="DA193" s="248">
        <f>LOG(Table2821115[[#This Row],[Phu/13 Fold]],2)</f>
        <v>1</v>
      </c>
      <c r="DB193" s="248">
        <f>LOG(Table2821115[[#This Row],[CO/17 Fold]],2)</f>
        <v>2</v>
      </c>
      <c r="DC193" s="248">
        <f>SUM(Table2821115[[#This Row],[BR/18 Log2]:[CO/17 Log2]])</f>
        <v>9</v>
      </c>
    </row>
    <row r="194" spans="1:107" ht="24" customHeight="1">
      <c r="A194" s="318">
        <v>352</v>
      </c>
      <c r="B194" s="180">
        <v>22347</v>
      </c>
      <c r="C194" s="180">
        <v>43762</v>
      </c>
      <c r="D194" s="179">
        <v>58</v>
      </c>
      <c r="E194" s="4" t="s">
        <v>58</v>
      </c>
      <c r="F194" s="143" t="s">
        <v>116</v>
      </c>
      <c r="G194" s="142">
        <v>27.14375385615417</v>
      </c>
      <c r="H194" s="11" t="s">
        <v>59</v>
      </c>
      <c r="I194" s="277" t="s">
        <v>62</v>
      </c>
      <c r="J194" s="260">
        <v>5</v>
      </c>
      <c r="K194" s="260">
        <v>5</v>
      </c>
      <c r="L194" s="260"/>
      <c r="M194" s="260"/>
      <c r="N194" s="260"/>
      <c r="O194" s="260"/>
      <c r="P194" s="260"/>
      <c r="Q194" s="260"/>
      <c r="R194" s="260"/>
      <c r="S194" s="260"/>
      <c r="T194" s="260"/>
      <c r="U194" s="260"/>
      <c r="V194" s="260">
        <v>5</v>
      </c>
      <c r="W194" s="260">
        <v>5</v>
      </c>
      <c r="X194" s="260">
        <v>5</v>
      </c>
      <c r="Y194" s="260">
        <v>160</v>
      </c>
      <c r="Z194" s="260">
        <v>10</v>
      </c>
      <c r="AA194" s="260">
        <v>320</v>
      </c>
      <c r="AB194" s="260">
        <v>5</v>
      </c>
      <c r="AC194" s="260">
        <v>160</v>
      </c>
      <c r="AD194" s="260"/>
      <c r="AE194" s="260"/>
      <c r="AF194" s="260"/>
      <c r="AG194" s="260"/>
      <c r="AH194" s="195">
        <v>352</v>
      </c>
      <c r="AI194" s="272">
        <v>5</v>
      </c>
      <c r="AJ194" s="271">
        <v>5</v>
      </c>
      <c r="AK194" s="260"/>
      <c r="AL194" s="260"/>
      <c r="AM194" s="260"/>
      <c r="AN194" s="260"/>
      <c r="AO194" s="260"/>
      <c r="AP194" s="260"/>
      <c r="AQ194" s="260"/>
      <c r="AR194" s="260"/>
      <c r="AS194" s="260"/>
      <c r="AT194" s="260"/>
      <c r="AU194" s="260">
        <v>20</v>
      </c>
      <c r="AV194" s="271">
        <v>40</v>
      </c>
      <c r="AW194" s="260">
        <v>10</v>
      </c>
      <c r="AX194" s="271">
        <v>20</v>
      </c>
      <c r="AY194" s="260">
        <v>5</v>
      </c>
      <c r="AZ194" s="271">
        <v>5</v>
      </c>
      <c r="BA194" s="276">
        <v>5</v>
      </c>
      <c r="BB194" s="276">
        <v>10</v>
      </c>
      <c r="BC194" s="276"/>
      <c r="BD194" s="276"/>
      <c r="BE194" s="276">
        <v>5</v>
      </c>
      <c r="BF194" s="276">
        <v>5</v>
      </c>
      <c r="BG194" s="260">
        <v>10</v>
      </c>
      <c r="BH194" s="271">
        <v>20</v>
      </c>
      <c r="BI194" s="276"/>
      <c r="BJ194" s="276"/>
      <c r="BK194" s="276"/>
      <c r="BL194" s="275"/>
      <c r="BM194" s="316">
        <v>352</v>
      </c>
      <c r="BN194" s="272">
        <v>20</v>
      </c>
      <c r="BO194" s="270">
        <v>40</v>
      </c>
      <c r="BP194" s="272"/>
      <c r="BQ194" s="260"/>
      <c r="BR194" s="260"/>
      <c r="BS194" s="260"/>
      <c r="BT194" s="260"/>
      <c r="BU194" s="260"/>
      <c r="BV194" s="260">
        <v>5</v>
      </c>
      <c r="BW194" s="260">
        <v>5</v>
      </c>
      <c r="BX194" s="260"/>
      <c r="BY194" s="260"/>
      <c r="BZ194" s="260"/>
      <c r="CA194" s="260"/>
      <c r="CB194" s="260"/>
      <c r="CC194" s="260"/>
      <c r="CD194" s="260">
        <v>40</v>
      </c>
      <c r="CE194" s="260">
        <v>160</v>
      </c>
      <c r="CF194" s="272"/>
      <c r="CG194" s="260"/>
      <c r="CH194" s="260"/>
      <c r="CI194" s="260"/>
      <c r="CJ194" s="260"/>
      <c r="CK194" s="260"/>
      <c r="CL194" s="260"/>
      <c r="CM194" s="260"/>
      <c r="CN194" s="260">
        <v>20</v>
      </c>
      <c r="CO194" s="260">
        <v>80</v>
      </c>
      <c r="CP194" s="260">
        <v>20</v>
      </c>
      <c r="CQ194" s="260">
        <v>80</v>
      </c>
      <c r="CR194" s="260">
        <v>20</v>
      </c>
      <c r="CS194" s="270">
        <v>80</v>
      </c>
      <c r="CT194" s="315">
        <v>352</v>
      </c>
      <c r="CU194" s="249">
        <f>Table2821115[[#This Row],[D28 - BR/18]]/Table2821115[[#This Row],[D0 - BR/18]]</f>
        <v>32</v>
      </c>
      <c r="CV194" s="248">
        <f>Table2821115[[#This Row],[D28 - KS/17]]/Table2821115[[#This Row],[D0 - KS/17]]</f>
        <v>1</v>
      </c>
      <c r="CW194" s="248">
        <f>Table2821115[[#This Row],[D28 - Phu/13]]/Table2821115[[#This Row],[D0 - Phu/13]]</f>
        <v>4</v>
      </c>
      <c r="CX194" s="248">
        <f>Table2821115[[#This Row],[D28 - CO/17]]/Table2821115[[#This Row],[D0 - CO/17]]</f>
        <v>4</v>
      </c>
      <c r="CY194" s="248">
        <f>LOG(Table2821115[[#This Row],[BR/18 Fold]],2)</f>
        <v>5</v>
      </c>
      <c r="CZ194" s="248">
        <f>LOG(Table2821115[[#This Row],[KS/17 Fold]],2)</f>
        <v>0</v>
      </c>
      <c r="DA194" s="248">
        <f>LOG(Table2821115[[#This Row],[Phu/13 Fold]],2)</f>
        <v>2</v>
      </c>
      <c r="DB194" s="248">
        <f>LOG(Table2821115[[#This Row],[CO/17 Fold]],2)</f>
        <v>2</v>
      </c>
      <c r="DC194" s="248">
        <f>SUM(Table2821115[[#This Row],[BR/18 Log2]:[CO/17 Log2]])</f>
        <v>9</v>
      </c>
    </row>
    <row r="195" spans="1:107" ht="24" customHeight="1">
      <c r="A195" s="327">
        <v>353</v>
      </c>
      <c r="B195" s="205">
        <v>17401</v>
      </c>
      <c r="C195" s="205">
        <v>43756</v>
      </c>
      <c r="D195" s="204">
        <v>72</v>
      </c>
      <c r="E195" s="4" t="s">
        <v>58</v>
      </c>
      <c r="F195" s="143" t="s">
        <v>116</v>
      </c>
      <c r="G195" s="142">
        <v>27.290906461374156</v>
      </c>
      <c r="H195" s="11" t="s">
        <v>59</v>
      </c>
      <c r="I195" s="277" t="s">
        <v>60</v>
      </c>
      <c r="J195" s="260">
        <v>5</v>
      </c>
      <c r="K195" s="260">
        <v>5</v>
      </c>
      <c r="L195" s="260"/>
      <c r="M195" s="260"/>
      <c r="N195" s="260"/>
      <c r="O195" s="260"/>
      <c r="P195" s="260"/>
      <c r="Q195" s="260"/>
      <c r="R195" s="260"/>
      <c r="S195" s="260"/>
      <c r="T195" s="260"/>
      <c r="U195" s="260"/>
      <c r="V195" s="260">
        <v>5</v>
      </c>
      <c r="W195" s="260">
        <v>5</v>
      </c>
      <c r="X195" s="260">
        <v>5</v>
      </c>
      <c r="Y195" s="260">
        <v>80</v>
      </c>
      <c r="Z195" s="260">
        <v>40</v>
      </c>
      <c r="AA195" s="260">
        <v>80</v>
      </c>
      <c r="AB195" s="260">
        <v>20</v>
      </c>
      <c r="AC195" s="260">
        <v>40</v>
      </c>
      <c r="AD195" s="260"/>
      <c r="AE195" s="260"/>
      <c r="AF195" s="260"/>
      <c r="AG195" s="260"/>
      <c r="AH195" s="203">
        <v>353</v>
      </c>
      <c r="AI195" s="272">
        <v>20</v>
      </c>
      <c r="AJ195" s="271">
        <v>20</v>
      </c>
      <c r="AK195" s="260"/>
      <c r="AL195" s="260"/>
      <c r="AM195" s="260"/>
      <c r="AN195" s="260"/>
      <c r="AO195" s="260"/>
      <c r="AP195" s="260"/>
      <c r="AQ195" s="260"/>
      <c r="AR195" s="260"/>
      <c r="AS195" s="260"/>
      <c r="AT195" s="260"/>
      <c r="AU195" s="260">
        <v>160</v>
      </c>
      <c r="AV195" s="271">
        <v>160</v>
      </c>
      <c r="AW195" s="260">
        <v>40</v>
      </c>
      <c r="AX195" s="271">
        <v>80</v>
      </c>
      <c r="AY195" s="260">
        <v>5</v>
      </c>
      <c r="AZ195" s="271">
        <v>5</v>
      </c>
      <c r="BA195" s="276">
        <v>40</v>
      </c>
      <c r="BB195" s="276">
        <v>40</v>
      </c>
      <c r="BC195" s="276"/>
      <c r="BD195" s="276"/>
      <c r="BE195" s="276">
        <v>5</v>
      </c>
      <c r="BF195" s="276">
        <v>5</v>
      </c>
      <c r="BG195" s="260">
        <v>80</v>
      </c>
      <c r="BH195" s="271">
        <v>80</v>
      </c>
      <c r="BI195" s="276"/>
      <c r="BJ195" s="276"/>
      <c r="BK195" s="276"/>
      <c r="BL195" s="275"/>
      <c r="BM195" s="326">
        <v>353</v>
      </c>
      <c r="BN195" s="272">
        <v>5</v>
      </c>
      <c r="BO195" s="270">
        <v>5</v>
      </c>
      <c r="BP195" s="272"/>
      <c r="BQ195" s="260"/>
      <c r="BR195" s="260"/>
      <c r="BS195" s="260"/>
      <c r="BT195" s="260"/>
      <c r="BU195" s="260"/>
      <c r="BV195" s="260">
        <v>5</v>
      </c>
      <c r="BW195" s="260">
        <v>5</v>
      </c>
      <c r="BX195" s="260"/>
      <c r="BY195" s="260"/>
      <c r="BZ195" s="260"/>
      <c r="CA195" s="260"/>
      <c r="CB195" s="260"/>
      <c r="CC195" s="260"/>
      <c r="CD195" s="260">
        <v>5</v>
      </c>
      <c r="CE195" s="260">
        <v>20</v>
      </c>
      <c r="CF195" s="272"/>
      <c r="CG195" s="260"/>
      <c r="CH195" s="260"/>
      <c r="CI195" s="260"/>
      <c r="CJ195" s="260"/>
      <c r="CK195" s="260"/>
      <c r="CL195" s="260"/>
      <c r="CM195" s="260"/>
      <c r="CN195" s="260">
        <v>5</v>
      </c>
      <c r="CO195" s="260">
        <v>10</v>
      </c>
      <c r="CP195" s="260">
        <v>40</v>
      </c>
      <c r="CQ195" s="260">
        <v>40</v>
      </c>
      <c r="CR195" s="260">
        <v>40</v>
      </c>
      <c r="CS195" s="270">
        <v>40</v>
      </c>
      <c r="CT195" s="325">
        <v>353</v>
      </c>
      <c r="CU195" s="249">
        <f>Table2821115[[#This Row],[D28 - BR/18]]/Table2821115[[#This Row],[D0 - BR/18]]</f>
        <v>2</v>
      </c>
      <c r="CV195" s="248">
        <f>Table2821115[[#This Row],[D28 - KS/17]]/Table2821115[[#This Row],[D0 - KS/17]]</f>
        <v>1</v>
      </c>
      <c r="CW195" s="248">
        <f>Table2821115[[#This Row],[D28 - Phu/13]]/Table2821115[[#This Row],[D0 - Phu/13]]</f>
        <v>4</v>
      </c>
      <c r="CX195" s="248">
        <f>Table2821115[[#This Row],[D28 - CO/17]]/Table2821115[[#This Row],[D0 - CO/17]]</f>
        <v>1</v>
      </c>
      <c r="CY195" s="248">
        <f>LOG(Table2821115[[#This Row],[BR/18 Fold]],2)</f>
        <v>1</v>
      </c>
      <c r="CZ195" s="248">
        <f>LOG(Table2821115[[#This Row],[KS/17 Fold]],2)</f>
        <v>0</v>
      </c>
      <c r="DA195" s="248">
        <f>LOG(Table2821115[[#This Row],[Phu/13 Fold]],2)</f>
        <v>2</v>
      </c>
      <c r="DB195" s="248">
        <f>LOG(Table2821115[[#This Row],[CO/17 Fold]],2)</f>
        <v>0</v>
      </c>
      <c r="DC195" s="248">
        <f>SUM(Table2821115[[#This Row],[BR/18 Log2]:[CO/17 Log2]])</f>
        <v>3</v>
      </c>
    </row>
    <row r="196" spans="1:107" ht="24" customHeight="1">
      <c r="A196" s="318">
        <v>354</v>
      </c>
      <c r="B196" s="180">
        <v>20488</v>
      </c>
      <c r="C196" s="180">
        <v>43811</v>
      </c>
      <c r="D196" s="179">
        <v>63</v>
      </c>
      <c r="E196" s="4" t="s">
        <v>58</v>
      </c>
      <c r="F196" s="143" t="s">
        <v>116</v>
      </c>
      <c r="G196" s="142">
        <v>24.122197976591949</v>
      </c>
      <c r="H196" s="11" t="s">
        <v>59</v>
      </c>
      <c r="I196" s="277" t="s">
        <v>60</v>
      </c>
      <c r="J196" s="260">
        <v>5</v>
      </c>
      <c r="K196" s="260">
        <v>5</v>
      </c>
      <c r="L196" s="260"/>
      <c r="M196" s="260"/>
      <c r="N196" s="260"/>
      <c r="O196" s="260"/>
      <c r="P196" s="260"/>
      <c r="Q196" s="260"/>
      <c r="R196" s="260"/>
      <c r="S196" s="260"/>
      <c r="T196" s="260"/>
      <c r="U196" s="260"/>
      <c r="V196" s="260">
        <v>5</v>
      </c>
      <c r="W196" s="260">
        <v>5</v>
      </c>
      <c r="X196" s="260">
        <v>5</v>
      </c>
      <c r="Y196" s="260">
        <v>80</v>
      </c>
      <c r="Z196" s="260">
        <v>5</v>
      </c>
      <c r="AA196" s="260">
        <v>160</v>
      </c>
      <c r="AB196" s="260">
        <v>5</v>
      </c>
      <c r="AC196" s="260">
        <v>80</v>
      </c>
      <c r="AD196" s="260"/>
      <c r="AE196" s="260"/>
      <c r="AF196" s="260"/>
      <c r="AG196" s="260"/>
      <c r="AH196" s="195">
        <v>354</v>
      </c>
      <c r="AI196" s="272">
        <v>5</v>
      </c>
      <c r="AJ196" s="271">
        <v>10</v>
      </c>
      <c r="AK196" s="260"/>
      <c r="AL196" s="260"/>
      <c r="AM196" s="260"/>
      <c r="AN196" s="260"/>
      <c r="AO196" s="260"/>
      <c r="AP196" s="260"/>
      <c r="AQ196" s="260"/>
      <c r="AR196" s="260"/>
      <c r="AS196" s="260"/>
      <c r="AT196" s="260"/>
      <c r="AU196" s="260">
        <v>5</v>
      </c>
      <c r="AV196" s="271">
        <v>20</v>
      </c>
      <c r="AW196" s="260">
        <v>10</v>
      </c>
      <c r="AX196" s="271">
        <v>80</v>
      </c>
      <c r="AY196" s="260">
        <v>5</v>
      </c>
      <c r="AZ196" s="271">
        <v>5</v>
      </c>
      <c r="BA196" s="276">
        <v>10</v>
      </c>
      <c r="BB196" s="276">
        <v>20</v>
      </c>
      <c r="BC196" s="276"/>
      <c r="BD196" s="276"/>
      <c r="BE196" s="276">
        <v>5</v>
      </c>
      <c r="BF196" s="276">
        <v>80</v>
      </c>
      <c r="BG196" s="260">
        <v>5</v>
      </c>
      <c r="BH196" s="271">
        <v>20</v>
      </c>
      <c r="BI196" s="276"/>
      <c r="BJ196" s="276"/>
      <c r="BK196" s="276"/>
      <c r="BL196" s="275"/>
      <c r="BM196" s="316">
        <v>354</v>
      </c>
      <c r="BN196" s="272">
        <v>10</v>
      </c>
      <c r="BO196" s="270">
        <v>20</v>
      </c>
      <c r="BP196" s="272"/>
      <c r="BQ196" s="260"/>
      <c r="BR196" s="260"/>
      <c r="BS196" s="260"/>
      <c r="BT196" s="260"/>
      <c r="BU196" s="260"/>
      <c r="BV196" s="260">
        <v>5</v>
      </c>
      <c r="BW196" s="260">
        <v>5</v>
      </c>
      <c r="BX196" s="260"/>
      <c r="BY196" s="260"/>
      <c r="BZ196" s="260"/>
      <c r="CA196" s="260"/>
      <c r="CB196" s="260"/>
      <c r="CC196" s="260"/>
      <c r="CD196" s="260">
        <v>10</v>
      </c>
      <c r="CE196" s="260">
        <v>20</v>
      </c>
      <c r="CF196" s="272"/>
      <c r="CG196" s="260"/>
      <c r="CH196" s="260"/>
      <c r="CI196" s="260"/>
      <c r="CJ196" s="260"/>
      <c r="CK196" s="260"/>
      <c r="CL196" s="260"/>
      <c r="CM196" s="260"/>
      <c r="CN196" s="260">
        <v>5</v>
      </c>
      <c r="CO196" s="260">
        <v>5</v>
      </c>
      <c r="CP196" s="260">
        <v>20</v>
      </c>
      <c r="CQ196" s="260">
        <v>20</v>
      </c>
      <c r="CR196" s="260">
        <v>10</v>
      </c>
      <c r="CS196" s="270">
        <v>20</v>
      </c>
      <c r="CT196" s="315">
        <v>354</v>
      </c>
      <c r="CU196" s="249">
        <f>Table2821115[[#This Row],[D28 - BR/18]]/Table2821115[[#This Row],[D0 - BR/18]]</f>
        <v>16</v>
      </c>
      <c r="CV196" s="248">
        <f>Table2821115[[#This Row],[D28 - KS/17]]/Table2821115[[#This Row],[D0 - KS/17]]</f>
        <v>16</v>
      </c>
      <c r="CW196" s="248">
        <f>Table2821115[[#This Row],[D28 - Phu/13]]/Table2821115[[#This Row],[D0 - Phu/13]]</f>
        <v>2</v>
      </c>
      <c r="CX196" s="248">
        <f>Table2821115[[#This Row],[D28 - CO/17]]/Table2821115[[#This Row],[D0 - CO/17]]</f>
        <v>1</v>
      </c>
      <c r="CY196" s="248">
        <f>LOG(Table2821115[[#This Row],[BR/18 Fold]],2)</f>
        <v>4</v>
      </c>
      <c r="CZ196" s="248">
        <f>LOG(Table2821115[[#This Row],[KS/17 Fold]],2)</f>
        <v>4</v>
      </c>
      <c r="DA196" s="248">
        <f>LOG(Table2821115[[#This Row],[Phu/13 Fold]],2)</f>
        <v>1</v>
      </c>
      <c r="DB196" s="248">
        <f>LOG(Table2821115[[#This Row],[CO/17 Fold]],2)</f>
        <v>0</v>
      </c>
      <c r="DC196" s="248">
        <f>SUM(Table2821115[[#This Row],[BR/18 Log2]:[CO/17 Log2]])</f>
        <v>9</v>
      </c>
    </row>
    <row r="197" spans="1:107" ht="24" customHeight="1">
      <c r="A197" s="324">
        <v>355</v>
      </c>
      <c r="B197" s="190">
        <v>27787</v>
      </c>
      <c r="C197" s="190">
        <v>43792</v>
      </c>
      <c r="D197" s="189">
        <v>43</v>
      </c>
      <c r="E197" s="3" t="s">
        <v>61</v>
      </c>
      <c r="F197" s="143" t="s">
        <v>116</v>
      </c>
      <c r="G197" s="142">
        <v>49.868588226701945</v>
      </c>
      <c r="H197" s="11" t="s">
        <v>59</v>
      </c>
      <c r="I197" s="277" t="s">
        <v>62</v>
      </c>
      <c r="J197" s="260">
        <v>5</v>
      </c>
      <c r="K197" s="260">
        <v>40</v>
      </c>
      <c r="L197" s="260"/>
      <c r="M197" s="260"/>
      <c r="N197" s="260"/>
      <c r="O197" s="260"/>
      <c r="P197" s="260"/>
      <c r="Q197" s="260"/>
      <c r="R197" s="260"/>
      <c r="S197" s="260"/>
      <c r="T197" s="260"/>
      <c r="U197" s="260"/>
      <c r="V197" s="260">
        <v>5</v>
      </c>
      <c r="W197" s="260">
        <v>10</v>
      </c>
      <c r="X197" s="260">
        <v>40</v>
      </c>
      <c r="Y197" s="260">
        <v>160</v>
      </c>
      <c r="Z197" s="260">
        <v>40</v>
      </c>
      <c r="AA197" s="260">
        <v>80</v>
      </c>
      <c r="AB197" s="260">
        <v>40</v>
      </c>
      <c r="AC197" s="260">
        <v>80</v>
      </c>
      <c r="AD197" s="260"/>
      <c r="AE197" s="260"/>
      <c r="AF197" s="260"/>
      <c r="AG197" s="260"/>
      <c r="AH197" s="198">
        <v>355</v>
      </c>
      <c r="AI197" s="272">
        <v>5</v>
      </c>
      <c r="AJ197" s="271">
        <v>20</v>
      </c>
      <c r="AK197" s="260"/>
      <c r="AL197" s="260"/>
      <c r="AM197" s="260"/>
      <c r="AN197" s="260"/>
      <c r="AO197" s="260"/>
      <c r="AP197" s="260"/>
      <c r="AQ197" s="260"/>
      <c r="AR197" s="260"/>
      <c r="AS197" s="260"/>
      <c r="AT197" s="260"/>
      <c r="AU197" s="260">
        <v>20</v>
      </c>
      <c r="AV197" s="271">
        <v>160</v>
      </c>
      <c r="AW197" s="260">
        <v>10</v>
      </c>
      <c r="AX197" s="271">
        <v>80</v>
      </c>
      <c r="AY197" s="260">
        <v>5</v>
      </c>
      <c r="AZ197" s="271">
        <v>80</v>
      </c>
      <c r="BA197" s="276">
        <v>5</v>
      </c>
      <c r="BB197" s="276">
        <v>80</v>
      </c>
      <c r="BC197" s="276"/>
      <c r="BD197" s="276"/>
      <c r="BE197" s="276">
        <v>10</v>
      </c>
      <c r="BF197" s="276">
        <v>160</v>
      </c>
      <c r="BG197" s="260">
        <v>10</v>
      </c>
      <c r="BH197" s="271">
        <v>80</v>
      </c>
      <c r="BI197" s="276"/>
      <c r="BJ197" s="276"/>
      <c r="BK197" s="276"/>
      <c r="BL197" s="275"/>
      <c r="BM197" s="323">
        <v>355</v>
      </c>
      <c r="BN197" s="272">
        <v>10</v>
      </c>
      <c r="BO197" s="270">
        <v>80</v>
      </c>
      <c r="BP197" s="272"/>
      <c r="BQ197" s="260"/>
      <c r="BR197" s="260"/>
      <c r="BS197" s="260"/>
      <c r="BT197" s="260"/>
      <c r="BU197" s="260"/>
      <c r="BV197" s="260">
        <v>5</v>
      </c>
      <c r="BW197" s="260">
        <v>160</v>
      </c>
      <c r="BX197" s="260"/>
      <c r="BY197" s="260"/>
      <c r="BZ197" s="260"/>
      <c r="CA197" s="260"/>
      <c r="CB197" s="260"/>
      <c r="CC197" s="260"/>
      <c r="CD197" s="260">
        <v>20</v>
      </c>
      <c r="CE197" s="260">
        <v>320</v>
      </c>
      <c r="CF197" s="272"/>
      <c r="CG197" s="260"/>
      <c r="CH197" s="260"/>
      <c r="CI197" s="260"/>
      <c r="CJ197" s="260"/>
      <c r="CK197" s="260"/>
      <c r="CL197" s="260"/>
      <c r="CM197" s="260"/>
      <c r="CN197" s="260">
        <v>5</v>
      </c>
      <c r="CO197" s="260">
        <v>80</v>
      </c>
      <c r="CP197" s="260">
        <v>10</v>
      </c>
      <c r="CQ197" s="260">
        <v>80</v>
      </c>
      <c r="CR197" s="260">
        <v>5</v>
      </c>
      <c r="CS197" s="270">
        <v>80</v>
      </c>
      <c r="CT197" s="322">
        <v>355</v>
      </c>
      <c r="CU197" s="249">
        <f>Table2821115[[#This Row],[D28 - BR/18]]/Table2821115[[#This Row],[D0 - BR/18]]</f>
        <v>2</v>
      </c>
      <c r="CV197" s="248">
        <f>Table2821115[[#This Row],[D28 - KS/17]]/Table2821115[[#This Row],[D0 - KS/17]]</f>
        <v>16</v>
      </c>
      <c r="CW197" s="248">
        <f>Table2821115[[#This Row],[D28 - Phu/13]]/Table2821115[[#This Row],[D0 - Phu/13]]</f>
        <v>16</v>
      </c>
      <c r="CX197" s="248">
        <f>Table2821115[[#This Row],[D28 - CO/17]]/Table2821115[[#This Row],[D0 - CO/17]]</f>
        <v>8</v>
      </c>
      <c r="CY197" s="248">
        <f>LOG(Table2821115[[#This Row],[BR/18 Fold]],2)</f>
        <v>1</v>
      </c>
      <c r="CZ197" s="248">
        <f>LOG(Table2821115[[#This Row],[KS/17 Fold]],2)</f>
        <v>4</v>
      </c>
      <c r="DA197" s="248">
        <f>LOG(Table2821115[[#This Row],[Phu/13 Fold]],2)</f>
        <v>4</v>
      </c>
      <c r="DB197" s="248">
        <f>LOG(Table2821115[[#This Row],[CO/17 Fold]],2)</f>
        <v>3</v>
      </c>
      <c r="DC197" s="248">
        <f>SUM(Table2821115[[#This Row],[BR/18 Log2]:[CO/17 Log2]])</f>
        <v>12</v>
      </c>
    </row>
    <row r="198" spans="1:107" ht="24" customHeight="1">
      <c r="A198" s="324">
        <v>356</v>
      </c>
      <c r="B198" s="190">
        <v>28670</v>
      </c>
      <c r="C198" s="190">
        <v>43768</v>
      </c>
      <c r="D198" s="189">
        <v>41</v>
      </c>
      <c r="E198" s="3" t="s">
        <v>61</v>
      </c>
      <c r="F198" s="143" t="s">
        <v>63</v>
      </c>
      <c r="G198" s="142">
        <v>28.880332036071042</v>
      </c>
      <c r="H198" s="11" t="s">
        <v>59</v>
      </c>
      <c r="I198" s="277" t="s">
        <v>60</v>
      </c>
      <c r="J198" s="260">
        <v>5</v>
      </c>
      <c r="K198" s="260">
        <v>5</v>
      </c>
      <c r="L198" s="260"/>
      <c r="M198" s="260"/>
      <c r="N198" s="260"/>
      <c r="O198" s="260"/>
      <c r="P198" s="260"/>
      <c r="Q198" s="260"/>
      <c r="R198" s="260"/>
      <c r="S198" s="260"/>
      <c r="T198" s="260"/>
      <c r="U198" s="260"/>
      <c r="V198" s="260">
        <v>5</v>
      </c>
      <c r="W198" s="260">
        <v>5</v>
      </c>
      <c r="X198" s="260">
        <v>5</v>
      </c>
      <c r="Y198" s="260">
        <v>40</v>
      </c>
      <c r="Z198" s="260">
        <v>20</v>
      </c>
      <c r="AA198" s="260">
        <v>40</v>
      </c>
      <c r="AB198" s="260">
        <v>10</v>
      </c>
      <c r="AC198" s="260">
        <v>20</v>
      </c>
      <c r="AD198" s="260"/>
      <c r="AE198" s="260"/>
      <c r="AF198" s="260"/>
      <c r="AG198" s="260"/>
      <c r="AH198" s="198">
        <v>356</v>
      </c>
      <c r="AI198" s="272">
        <v>5</v>
      </c>
      <c r="AJ198" s="271">
        <v>10</v>
      </c>
      <c r="AK198" s="260"/>
      <c r="AL198" s="260"/>
      <c r="AM198" s="260"/>
      <c r="AN198" s="260"/>
      <c r="AO198" s="260"/>
      <c r="AP198" s="260"/>
      <c r="AQ198" s="260"/>
      <c r="AR198" s="260"/>
      <c r="AS198" s="260"/>
      <c r="AT198" s="260"/>
      <c r="AU198" s="260">
        <v>40</v>
      </c>
      <c r="AV198" s="271">
        <v>320</v>
      </c>
      <c r="AW198" s="260">
        <v>40</v>
      </c>
      <c r="AX198" s="271">
        <v>320</v>
      </c>
      <c r="AY198" s="260">
        <v>5</v>
      </c>
      <c r="AZ198" s="271">
        <v>320</v>
      </c>
      <c r="BA198" s="276">
        <v>40</v>
      </c>
      <c r="BB198" s="276">
        <v>160</v>
      </c>
      <c r="BC198" s="276"/>
      <c r="BD198" s="276"/>
      <c r="BE198" s="276">
        <v>5</v>
      </c>
      <c r="BF198" s="276">
        <v>160</v>
      </c>
      <c r="BG198" s="260">
        <v>40</v>
      </c>
      <c r="BH198" s="271">
        <v>320</v>
      </c>
      <c r="BI198" s="276"/>
      <c r="BJ198" s="276"/>
      <c r="BK198" s="276"/>
      <c r="BL198" s="275"/>
      <c r="BM198" s="323">
        <v>356</v>
      </c>
      <c r="BN198" s="272">
        <v>160</v>
      </c>
      <c r="BO198" s="270">
        <v>160</v>
      </c>
      <c r="BP198" s="272"/>
      <c r="BQ198" s="260"/>
      <c r="BR198" s="260"/>
      <c r="BS198" s="260"/>
      <c r="BT198" s="260"/>
      <c r="BU198" s="260"/>
      <c r="BV198" s="260">
        <v>5</v>
      </c>
      <c r="BW198" s="260">
        <v>20</v>
      </c>
      <c r="BX198" s="260"/>
      <c r="BY198" s="260"/>
      <c r="BZ198" s="260"/>
      <c r="CA198" s="260"/>
      <c r="CB198" s="260"/>
      <c r="CC198" s="260"/>
      <c r="CD198" s="260">
        <v>20</v>
      </c>
      <c r="CE198" s="260">
        <v>40</v>
      </c>
      <c r="CF198" s="272"/>
      <c r="CG198" s="260"/>
      <c r="CH198" s="260"/>
      <c r="CI198" s="260"/>
      <c r="CJ198" s="260"/>
      <c r="CK198" s="260"/>
      <c r="CL198" s="260"/>
      <c r="CM198" s="260"/>
      <c r="CN198" s="260">
        <v>40</v>
      </c>
      <c r="CO198" s="260">
        <v>80</v>
      </c>
      <c r="CP198" s="260">
        <v>80</v>
      </c>
      <c r="CQ198" s="260">
        <v>80</v>
      </c>
      <c r="CR198" s="260">
        <v>40</v>
      </c>
      <c r="CS198" s="270">
        <v>40</v>
      </c>
      <c r="CT198" s="322">
        <v>356</v>
      </c>
      <c r="CU198" s="249">
        <f>Table2821115[[#This Row],[D28 - BR/18]]/Table2821115[[#This Row],[D0 - BR/18]]</f>
        <v>2</v>
      </c>
      <c r="CV198" s="248">
        <f>Table2821115[[#This Row],[D28 - KS/17]]/Table2821115[[#This Row],[D0 - KS/17]]</f>
        <v>32</v>
      </c>
      <c r="CW198" s="248">
        <f>Table2821115[[#This Row],[D28 - Phu/13]]/Table2821115[[#This Row],[D0 - Phu/13]]</f>
        <v>2</v>
      </c>
      <c r="CX198" s="248">
        <f>Table2821115[[#This Row],[D28 - CO/17]]/Table2821115[[#This Row],[D0 - CO/17]]</f>
        <v>1</v>
      </c>
      <c r="CY198" s="248">
        <f>LOG(Table2821115[[#This Row],[BR/18 Fold]],2)</f>
        <v>1</v>
      </c>
      <c r="CZ198" s="248">
        <f>LOG(Table2821115[[#This Row],[KS/17 Fold]],2)</f>
        <v>5</v>
      </c>
      <c r="DA198" s="248">
        <f>LOG(Table2821115[[#This Row],[Phu/13 Fold]],2)</f>
        <v>1</v>
      </c>
      <c r="DB198" s="248">
        <f>LOG(Table2821115[[#This Row],[CO/17 Fold]],2)</f>
        <v>0</v>
      </c>
      <c r="DC198" s="248">
        <f>SUM(Table2821115[[#This Row],[BR/18 Log2]:[CO/17 Log2]])</f>
        <v>7</v>
      </c>
    </row>
    <row r="199" spans="1:107" ht="24" customHeight="1">
      <c r="A199" s="318">
        <v>357</v>
      </c>
      <c r="B199" s="180">
        <v>24028</v>
      </c>
      <c r="C199" s="180">
        <v>43768</v>
      </c>
      <c r="D199" s="179">
        <v>54</v>
      </c>
      <c r="E199" s="4" t="s">
        <v>58</v>
      </c>
      <c r="F199" s="143" t="s">
        <v>116</v>
      </c>
      <c r="G199" s="142">
        <v>28.673636958230009</v>
      </c>
      <c r="H199" s="11" t="s">
        <v>59</v>
      </c>
      <c r="I199" s="277" t="s">
        <v>60</v>
      </c>
      <c r="J199" s="260">
        <v>5</v>
      </c>
      <c r="K199" s="260">
        <v>5</v>
      </c>
      <c r="L199" s="260"/>
      <c r="M199" s="260"/>
      <c r="N199" s="260"/>
      <c r="O199" s="260"/>
      <c r="P199" s="260"/>
      <c r="Q199" s="260"/>
      <c r="R199" s="260"/>
      <c r="S199" s="260"/>
      <c r="T199" s="260"/>
      <c r="U199" s="260"/>
      <c r="V199" s="260">
        <v>20</v>
      </c>
      <c r="W199" s="260">
        <v>20</v>
      </c>
      <c r="X199" s="260">
        <v>5</v>
      </c>
      <c r="Y199" s="260">
        <v>10</v>
      </c>
      <c r="Z199" s="260">
        <v>5</v>
      </c>
      <c r="AA199" s="260">
        <v>20</v>
      </c>
      <c r="AB199" s="260">
        <v>5</v>
      </c>
      <c r="AC199" s="260">
        <v>10</v>
      </c>
      <c r="AD199" s="260"/>
      <c r="AE199" s="260"/>
      <c r="AF199" s="260"/>
      <c r="AG199" s="260"/>
      <c r="AH199" s="195">
        <v>357</v>
      </c>
      <c r="AI199" s="272">
        <v>5</v>
      </c>
      <c r="AJ199" s="271">
        <v>5</v>
      </c>
      <c r="AK199" s="260"/>
      <c r="AL199" s="260"/>
      <c r="AM199" s="260"/>
      <c r="AN199" s="260"/>
      <c r="AO199" s="260"/>
      <c r="AP199" s="260"/>
      <c r="AQ199" s="260"/>
      <c r="AR199" s="260"/>
      <c r="AS199" s="260"/>
      <c r="AT199" s="260"/>
      <c r="AU199" s="260">
        <v>20</v>
      </c>
      <c r="AV199" s="271">
        <v>40</v>
      </c>
      <c r="AW199" s="260">
        <v>10</v>
      </c>
      <c r="AX199" s="271">
        <v>40</v>
      </c>
      <c r="AY199" s="260">
        <v>5</v>
      </c>
      <c r="AZ199" s="271">
        <v>10</v>
      </c>
      <c r="BA199" s="276">
        <v>10</v>
      </c>
      <c r="BB199" s="276">
        <v>40</v>
      </c>
      <c r="BC199" s="276"/>
      <c r="BD199" s="276"/>
      <c r="BE199" s="276">
        <v>5</v>
      </c>
      <c r="BF199" s="276">
        <v>20</v>
      </c>
      <c r="BG199" s="260">
        <v>20</v>
      </c>
      <c r="BH199" s="271">
        <v>20</v>
      </c>
      <c r="BI199" s="276"/>
      <c r="BJ199" s="276"/>
      <c r="BK199" s="276"/>
      <c r="BL199" s="275"/>
      <c r="BM199" s="316">
        <v>357</v>
      </c>
      <c r="BN199" s="272">
        <v>5</v>
      </c>
      <c r="BO199" s="270">
        <v>10</v>
      </c>
      <c r="BP199" s="272"/>
      <c r="BQ199" s="260"/>
      <c r="BR199" s="260"/>
      <c r="BS199" s="260"/>
      <c r="BT199" s="260"/>
      <c r="BU199" s="260"/>
      <c r="BV199" s="260">
        <v>5</v>
      </c>
      <c r="BW199" s="260">
        <v>5</v>
      </c>
      <c r="BX199" s="260"/>
      <c r="BY199" s="260"/>
      <c r="BZ199" s="260"/>
      <c r="CA199" s="260"/>
      <c r="CB199" s="260"/>
      <c r="CC199" s="260"/>
      <c r="CD199" s="260">
        <v>40</v>
      </c>
      <c r="CE199" s="260">
        <v>80</v>
      </c>
      <c r="CF199" s="272"/>
      <c r="CG199" s="260"/>
      <c r="CH199" s="260"/>
      <c r="CI199" s="260"/>
      <c r="CJ199" s="260"/>
      <c r="CK199" s="260"/>
      <c r="CL199" s="260"/>
      <c r="CM199" s="260"/>
      <c r="CN199" s="260">
        <v>5</v>
      </c>
      <c r="CO199" s="260">
        <v>20</v>
      </c>
      <c r="CP199" s="260">
        <v>10</v>
      </c>
      <c r="CQ199" s="260">
        <v>40</v>
      </c>
      <c r="CR199" s="260">
        <v>10</v>
      </c>
      <c r="CS199" s="270">
        <v>20</v>
      </c>
      <c r="CT199" s="315">
        <v>357</v>
      </c>
      <c r="CU199" s="249">
        <f>Table2821115[[#This Row],[D28 - BR/18]]/Table2821115[[#This Row],[D0 - BR/18]]</f>
        <v>2</v>
      </c>
      <c r="CV199" s="248">
        <f>Table2821115[[#This Row],[D28 - KS/17]]/Table2821115[[#This Row],[D0 - KS/17]]</f>
        <v>4</v>
      </c>
      <c r="CW199" s="248">
        <f>Table2821115[[#This Row],[D28 - Phu/13]]/Table2821115[[#This Row],[D0 - Phu/13]]</f>
        <v>2</v>
      </c>
      <c r="CX199" s="248">
        <f>Table2821115[[#This Row],[D28 - CO/17]]/Table2821115[[#This Row],[D0 - CO/17]]</f>
        <v>4</v>
      </c>
      <c r="CY199" s="248">
        <f>LOG(Table2821115[[#This Row],[BR/18 Fold]],2)</f>
        <v>1</v>
      </c>
      <c r="CZ199" s="248">
        <f>LOG(Table2821115[[#This Row],[KS/17 Fold]],2)</f>
        <v>2</v>
      </c>
      <c r="DA199" s="248">
        <f>LOG(Table2821115[[#This Row],[Phu/13 Fold]],2)</f>
        <v>1</v>
      </c>
      <c r="DB199" s="248">
        <f>LOG(Table2821115[[#This Row],[CO/17 Fold]],2)</f>
        <v>2</v>
      </c>
      <c r="DC199" s="248">
        <f>SUM(Table2821115[[#This Row],[BR/18 Log2]:[CO/17 Log2]])</f>
        <v>6</v>
      </c>
    </row>
    <row r="200" spans="1:107" ht="24" customHeight="1">
      <c r="A200" s="318">
        <v>358</v>
      </c>
      <c r="B200" s="180">
        <v>24478</v>
      </c>
      <c r="C200" s="180">
        <v>43767</v>
      </c>
      <c r="D200" s="179">
        <v>52</v>
      </c>
      <c r="E200" s="3" t="s">
        <v>61</v>
      </c>
      <c r="F200" s="143" t="s">
        <v>116</v>
      </c>
      <c r="G200" s="142">
        <v>39.571005917159759</v>
      </c>
      <c r="H200" s="11" t="s">
        <v>59</v>
      </c>
      <c r="I200" s="277" t="s">
        <v>60</v>
      </c>
      <c r="J200" s="260">
        <v>5</v>
      </c>
      <c r="K200" s="260">
        <v>5</v>
      </c>
      <c r="L200" s="260"/>
      <c r="M200" s="260"/>
      <c r="N200" s="260"/>
      <c r="O200" s="260"/>
      <c r="P200" s="260"/>
      <c r="Q200" s="260"/>
      <c r="R200" s="260"/>
      <c r="S200" s="260"/>
      <c r="T200" s="260"/>
      <c r="U200" s="260"/>
      <c r="V200" s="260">
        <v>10</v>
      </c>
      <c r="W200" s="260">
        <v>20</v>
      </c>
      <c r="X200" s="260">
        <v>5</v>
      </c>
      <c r="Y200" s="260">
        <v>5</v>
      </c>
      <c r="Z200" s="260">
        <v>20</v>
      </c>
      <c r="AA200" s="260">
        <v>20</v>
      </c>
      <c r="AB200" s="260">
        <v>10</v>
      </c>
      <c r="AC200" s="260">
        <v>10</v>
      </c>
      <c r="AD200" s="260"/>
      <c r="AE200" s="260"/>
      <c r="AF200" s="260"/>
      <c r="AG200" s="260"/>
      <c r="AH200" s="195">
        <v>358</v>
      </c>
      <c r="AI200" s="272">
        <v>10</v>
      </c>
      <c r="AJ200" s="271">
        <v>20</v>
      </c>
      <c r="AK200" s="260"/>
      <c r="AL200" s="260"/>
      <c r="AM200" s="260"/>
      <c r="AN200" s="260"/>
      <c r="AO200" s="260"/>
      <c r="AP200" s="260"/>
      <c r="AQ200" s="260"/>
      <c r="AR200" s="260"/>
      <c r="AS200" s="260"/>
      <c r="AT200" s="260"/>
      <c r="AU200" s="260">
        <v>40</v>
      </c>
      <c r="AV200" s="271">
        <v>80</v>
      </c>
      <c r="AW200" s="260">
        <v>40</v>
      </c>
      <c r="AX200" s="271">
        <v>80</v>
      </c>
      <c r="AY200" s="260">
        <v>5</v>
      </c>
      <c r="AZ200" s="271">
        <v>5</v>
      </c>
      <c r="BA200" s="276">
        <v>20</v>
      </c>
      <c r="BB200" s="276">
        <v>40</v>
      </c>
      <c r="BC200" s="276"/>
      <c r="BD200" s="276"/>
      <c r="BE200" s="276">
        <v>10</v>
      </c>
      <c r="BF200" s="276">
        <v>40</v>
      </c>
      <c r="BG200" s="260">
        <v>40</v>
      </c>
      <c r="BH200" s="271">
        <v>80</v>
      </c>
      <c r="BI200" s="276"/>
      <c r="BJ200" s="276"/>
      <c r="BK200" s="276"/>
      <c r="BL200" s="275"/>
      <c r="BM200" s="316">
        <v>358</v>
      </c>
      <c r="BN200" s="272">
        <v>40</v>
      </c>
      <c r="BO200" s="270">
        <v>40</v>
      </c>
      <c r="BP200" s="272"/>
      <c r="BQ200" s="260"/>
      <c r="BR200" s="260"/>
      <c r="BS200" s="260"/>
      <c r="BT200" s="260"/>
      <c r="BU200" s="260"/>
      <c r="BV200" s="260">
        <v>5</v>
      </c>
      <c r="BW200" s="260">
        <v>5</v>
      </c>
      <c r="BX200" s="260"/>
      <c r="BY200" s="260"/>
      <c r="BZ200" s="260"/>
      <c r="CA200" s="260"/>
      <c r="CB200" s="260"/>
      <c r="CC200" s="260"/>
      <c r="CD200" s="260">
        <v>20</v>
      </c>
      <c r="CE200" s="260">
        <v>20</v>
      </c>
      <c r="CF200" s="272"/>
      <c r="CG200" s="260"/>
      <c r="CH200" s="260"/>
      <c r="CI200" s="260"/>
      <c r="CJ200" s="260"/>
      <c r="CK200" s="260"/>
      <c r="CL200" s="260"/>
      <c r="CM200" s="260"/>
      <c r="CN200" s="260">
        <v>5</v>
      </c>
      <c r="CO200" s="260">
        <v>10</v>
      </c>
      <c r="CP200" s="260">
        <v>40</v>
      </c>
      <c r="CQ200" s="260">
        <v>20</v>
      </c>
      <c r="CR200" s="260">
        <v>20</v>
      </c>
      <c r="CS200" s="270">
        <v>20</v>
      </c>
      <c r="CT200" s="315">
        <v>358</v>
      </c>
      <c r="CU200" s="249">
        <f>Table2821115[[#This Row],[D28 - BR/18]]/Table2821115[[#This Row],[D0 - BR/18]]</f>
        <v>1</v>
      </c>
      <c r="CV200" s="248">
        <f>Table2821115[[#This Row],[D28 - KS/17]]/Table2821115[[#This Row],[D0 - KS/17]]</f>
        <v>4</v>
      </c>
      <c r="CW200" s="248">
        <f>Table2821115[[#This Row],[D28 - Phu/13]]/Table2821115[[#This Row],[D0 - Phu/13]]</f>
        <v>1</v>
      </c>
      <c r="CX200" s="248">
        <f>Table2821115[[#This Row],[D28 - CO/17]]/Table2821115[[#This Row],[D0 - CO/17]]</f>
        <v>0.5</v>
      </c>
      <c r="CY200" s="248">
        <f>LOG(Table2821115[[#This Row],[BR/18 Fold]],2)</f>
        <v>0</v>
      </c>
      <c r="CZ200" s="248">
        <f>LOG(Table2821115[[#This Row],[KS/17 Fold]],2)</f>
        <v>2</v>
      </c>
      <c r="DA200" s="248">
        <f>LOG(Table2821115[[#This Row],[Phu/13 Fold]],2)</f>
        <v>0</v>
      </c>
      <c r="DB200" s="248">
        <f>LOG(Table2821115[[#This Row],[CO/17 Fold]],2)</f>
        <v>-1</v>
      </c>
      <c r="DC200" s="248">
        <f>SUM(Table2821115[[#This Row],[BR/18 Log2]:[CO/17 Log2]])</f>
        <v>1</v>
      </c>
    </row>
    <row r="201" spans="1:107" ht="24" customHeight="1">
      <c r="A201" s="318">
        <v>359</v>
      </c>
      <c r="B201" s="180">
        <v>22852</v>
      </c>
      <c r="C201" s="180">
        <v>43759</v>
      </c>
      <c r="D201" s="179">
        <v>57</v>
      </c>
      <c r="E201" s="3" t="s">
        <v>61</v>
      </c>
      <c r="F201" s="143" t="s">
        <v>116</v>
      </c>
      <c r="G201" s="142">
        <v>39.150803093396796</v>
      </c>
      <c r="H201" s="11" t="s">
        <v>59</v>
      </c>
      <c r="I201" s="277" t="s">
        <v>60</v>
      </c>
      <c r="J201" s="260">
        <v>5</v>
      </c>
      <c r="K201" s="260">
        <v>5</v>
      </c>
      <c r="L201" s="260"/>
      <c r="M201" s="260"/>
      <c r="N201" s="260"/>
      <c r="O201" s="260"/>
      <c r="P201" s="260"/>
      <c r="Q201" s="260"/>
      <c r="R201" s="260"/>
      <c r="S201" s="260"/>
      <c r="T201" s="260"/>
      <c r="U201" s="260"/>
      <c r="V201" s="260">
        <v>5</v>
      </c>
      <c r="W201" s="260">
        <v>5</v>
      </c>
      <c r="X201" s="260">
        <v>5</v>
      </c>
      <c r="Y201" s="260">
        <v>10</v>
      </c>
      <c r="Z201" s="260">
        <v>10</v>
      </c>
      <c r="AA201" s="260">
        <v>10</v>
      </c>
      <c r="AB201" s="260">
        <v>5</v>
      </c>
      <c r="AC201" s="260">
        <v>5</v>
      </c>
      <c r="AD201" s="260"/>
      <c r="AE201" s="260"/>
      <c r="AF201" s="260"/>
      <c r="AG201" s="260"/>
      <c r="AH201" s="195">
        <v>359</v>
      </c>
      <c r="AI201" s="272">
        <v>10</v>
      </c>
      <c r="AJ201" s="271">
        <v>10</v>
      </c>
      <c r="AK201" s="260"/>
      <c r="AL201" s="260"/>
      <c r="AM201" s="260"/>
      <c r="AN201" s="260"/>
      <c r="AO201" s="260"/>
      <c r="AP201" s="260"/>
      <c r="AQ201" s="260"/>
      <c r="AR201" s="260"/>
      <c r="AS201" s="260"/>
      <c r="AT201" s="260"/>
      <c r="AU201" s="260">
        <v>20</v>
      </c>
      <c r="AV201" s="271">
        <v>20</v>
      </c>
      <c r="AW201" s="260">
        <v>5</v>
      </c>
      <c r="AX201" s="271">
        <v>10</v>
      </c>
      <c r="AY201" s="260">
        <v>5</v>
      </c>
      <c r="AZ201" s="271">
        <v>5</v>
      </c>
      <c r="BA201" s="276">
        <v>5</v>
      </c>
      <c r="BB201" s="276">
        <v>5</v>
      </c>
      <c r="BC201" s="276"/>
      <c r="BD201" s="276"/>
      <c r="BE201" s="276">
        <v>10</v>
      </c>
      <c r="BF201" s="276">
        <v>20</v>
      </c>
      <c r="BG201" s="260">
        <v>5</v>
      </c>
      <c r="BH201" s="271">
        <v>10</v>
      </c>
      <c r="BI201" s="276"/>
      <c r="BJ201" s="276"/>
      <c r="BK201" s="276"/>
      <c r="BL201" s="275"/>
      <c r="BM201" s="316">
        <v>359</v>
      </c>
      <c r="BN201" s="272">
        <v>20</v>
      </c>
      <c r="BO201" s="270">
        <v>40</v>
      </c>
      <c r="BP201" s="272"/>
      <c r="BQ201" s="260"/>
      <c r="BR201" s="260"/>
      <c r="BS201" s="260"/>
      <c r="BT201" s="260"/>
      <c r="BU201" s="260"/>
      <c r="BV201" s="260">
        <v>5</v>
      </c>
      <c r="BW201" s="260">
        <v>80</v>
      </c>
      <c r="BX201" s="260"/>
      <c r="BY201" s="260"/>
      <c r="BZ201" s="260"/>
      <c r="CA201" s="260"/>
      <c r="CB201" s="260"/>
      <c r="CC201" s="260"/>
      <c r="CD201" s="260">
        <v>80</v>
      </c>
      <c r="CE201" s="260">
        <v>80</v>
      </c>
      <c r="CF201" s="272"/>
      <c r="CG201" s="260"/>
      <c r="CH201" s="260"/>
      <c r="CI201" s="260"/>
      <c r="CJ201" s="260"/>
      <c r="CK201" s="260"/>
      <c r="CL201" s="260"/>
      <c r="CM201" s="260"/>
      <c r="CN201" s="260">
        <v>10</v>
      </c>
      <c r="CO201" s="260">
        <v>40</v>
      </c>
      <c r="CP201" s="260">
        <v>10</v>
      </c>
      <c r="CQ201" s="260">
        <v>20</v>
      </c>
      <c r="CR201" s="260">
        <v>10</v>
      </c>
      <c r="CS201" s="270">
        <v>20</v>
      </c>
      <c r="CT201" s="315">
        <v>359</v>
      </c>
      <c r="CU201" s="249">
        <f>Table2821115[[#This Row],[D28 - BR/18]]/Table2821115[[#This Row],[D0 - BR/18]]</f>
        <v>1</v>
      </c>
      <c r="CV201" s="248">
        <f>Table2821115[[#This Row],[D28 - KS/17]]/Table2821115[[#This Row],[D0 - KS/17]]</f>
        <v>2</v>
      </c>
      <c r="CW201" s="248">
        <f>Table2821115[[#This Row],[D28 - Phu/13]]/Table2821115[[#This Row],[D0 - Phu/13]]</f>
        <v>1</v>
      </c>
      <c r="CX201" s="248">
        <f>Table2821115[[#This Row],[D28 - CO/17]]/Table2821115[[#This Row],[D0 - CO/17]]</f>
        <v>2</v>
      </c>
      <c r="CY201" s="248">
        <f>LOG(Table2821115[[#This Row],[BR/18 Fold]],2)</f>
        <v>0</v>
      </c>
      <c r="CZ201" s="248">
        <f>LOG(Table2821115[[#This Row],[KS/17 Fold]],2)</f>
        <v>1</v>
      </c>
      <c r="DA201" s="248">
        <f>LOG(Table2821115[[#This Row],[Phu/13 Fold]],2)</f>
        <v>0</v>
      </c>
      <c r="DB201" s="248">
        <f>LOG(Table2821115[[#This Row],[CO/17 Fold]],2)</f>
        <v>1</v>
      </c>
      <c r="DC201" s="248">
        <f>SUM(Table2821115[[#This Row],[BR/18 Log2]:[CO/17 Log2]])</f>
        <v>2</v>
      </c>
    </row>
    <row r="202" spans="1:107" ht="24" customHeight="1">
      <c r="A202" s="324">
        <v>360</v>
      </c>
      <c r="B202" s="190">
        <v>26316</v>
      </c>
      <c r="C202" s="190">
        <v>43775</v>
      </c>
      <c r="D202" s="189">
        <v>47</v>
      </c>
      <c r="E202" s="3" t="s">
        <v>61</v>
      </c>
      <c r="F202" s="143" t="s">
        <v>116</v>
      </c>
      <c r="G202" s="142">
        <v>24.787791473834105</v>
      </c>
      <c r="H202" s="11" t="s">
        <v>59</v>
      </c>
      <c r="I202" s="277" t="s">
        <v>60</v>
      </c>
      <c r="J202" s="260">
        <v>5</v>
      </c>
      <c r="K202" s="260">
        <v>5</v>
      </c>
      <c r="L202" s="260"/>
      <c r="M202" s="260"/>
      <c r="N202" s="260"/>
      <c r="O202" s="260"/>
      <c r="P202" s="260"/>
      <c r="Q202" s="260"/>
      <c r="R202" s="260"/>
      <c r="S202" s="260"/>
      <c r="T202" s="260"/>
      <c r="U202" s="260"/>
      <c r="V202" s="260">
        <v>5</v>
      </c>
      <c r="W202" s="260">
        <v>5</v>
      </c>
      <c r="X202" s="260">
        <v>5</v>
      </c>
      <c r="Y202" s="260">
        <v>20</v>
      </c>
      <c r="Z202" s="260">
        <v>5</v>
      </c>
      <c r="AA202" s="260">
        <v>10</v>
      </c>
      <c r="AB202" s="260">
        <v>5</v>
      </c>
      <c r="AC202" s="260">
        <v>5</v>
      </c>
      <c r="AD202" s="260"/>
      <c r="AE202" s="260"/>
      <c r="AF202" s="260"/>
      <c r="AG202" s="260"/>
      <c r="AH202" s="198">
        <v>360</v>
      </c>
      <c r="AI202" s="272">
        <v>5</v>
      </c>
      <c r="AJ202" s="271">
        <v>5</v>
      </c>
      <c r="AK202" s="260"/>
      <c r="AL202" s="260"/>
      <c r="AM202" s="260"/>
      <c r="AN202" s="260"/>
      <c r="AO202" s="260"/>
      <c r="AP202" s="260"/>
      <c r="AQ202" s="260"/>
      <c r="AR202" s="260"/>
      <c r="AS202" s="260"/>
      <c r="AT202" s="260"/>
      <c r="AU202" s="260">
        <v>160</v>
      </c>
      <c r="AV202" s="271">
        <v>160</v>
      </c>
      <c r="AW202" s="260">
        <v>80</v>
      </c>
      <c r="AX202" s="271">
        <v>160</v>
      </c>
      <c r="AY202" s="260">
        <v>80</v>
      </c>
      <c r="AZ202" s="271">
        <v>80</v>
      </c>
      <c r="BA202" s="276">
        <v>80</v>
      </c>
      <c r="BB202" s="276">
        <v>160</v>
      </c>
      <c r="BC202" s="276"/>
      <c r="BD202" s="276"/>
      <c r="BE202" s="276">
        <v>5</v>
      </c>
      <c r="BF202" s="276">
        <v>80</v>
      </c>
      <c r="BG202" s="260">
        <v>160</v>
      </c>
      <c r="BH202" s="271">
        <v>160</v>
      </c>
      <c r="BI202" s="276"/>
      <c r="BJ202" s="276"/>
      <c r="BK202" s="276"/>
      <c r="BL202" s="275"/>
      <c r="BM202" s="323">
        <v>360</v>
      </c>
      <c r="BN202" s="272">
        <v>80</v>
      </c>
      <c r="BO202" s="270">
        <v>80</v>
      </c>
      <c r="BP202" s="272"/>
      <c r="BQ202" s="260"/>
      <c r="BR202" s="260"/>
      <c r="BS202" s="260"/>
      <c r="BT202" s="260"/>
      <c r="BU202" s="260"/>
      <c r="BV202" s="260">
        <v>320</v>
      </c>
      <c r="BW202" s="260">
        <v>320</v>
      </c>
      <c r="BX202" s="260"/>
      <c r="BY202" s="260"/>
      <c r="BZ202" s="260"/>
      <c r="CA202" s="260"/>
      <c r="CB202" s="260"/>
      <c r="CC202" s="260"/>
      <c r="CD202" s="260">
        <v>160</v>
      </c>
      <c r="CE202" s="260">
        <v>160</v>
      </c>
      <c r="CF202" s="272"/>
      <c r="CG202" s="260"/>
      <c r="CH202" s="260"/>
      <c r="CI202" s="260"/>
      <c r="CJ202" s="260"/>
      <c r="CK202" s="260"/>
      <c r="CL202" s="260"/>
      <c r="CM202" s="260"/>
      <c r="CN202" s="260">
        <v>40</v>
      </c>
      <c r="CO202" s="260">
        <v>40</v>
      </c>
      <c r="CP202" s="260">
        <v>160</v>
      </c>
      <c r="CQ202" s="260">
        <v>160</v>
      </c>
      <c r="CR202" s="260">
        <v>160</v>
      </c>
      <c r="CS202" s="270">
        <v>160</v>
      </c>
      <c r="CT202" s="322">
        <v>360</v>
      </c>
      <c r="CU202" s="249">
        <f>Table2821115[[#This Row],[D28 - BR/18]]/Table2821115[[#This Row],[D0 - BR/18]]</f>
        <v>1</v>
      </c>
      <c r="CV202" s="248">
        <f>Table2821115[[#This Row],[D28 - KS/17]]/Table2821115[[#This Row],[D0 - KS/17]]</f>
        <v>16</v>
      </c>
      <c r="CW202" s="248">
        <f>Table2821115[[#This Row],[D28 - Phu/13]]/Table2821115[[#This Row],[D0 - Phu/13]]</f>
        <v>1</v>
      </c>
      <c r="CX202" s="248">
        <f>Table2821115[[#This Row],[D28 - CO/17]]/Table2821115[[#This Row],[D0 - CO/17]]</f>
        <v>1</v>
      </c>
      <c r="CY202" s="248">
        <f>LOG(Table2821115[[#This Row],[BR/18 Fold]],2)</f>
        <v>0</v>
      </c>
      <c r="CZ202" s="248">
        <f>LOG(Table2821115[[#This Row],[KS/17 Fold]],2)</f>
        <v>4</v>
      </c>
      <c r="DA202" s="248">
        <f>LOG(Table2821115[[#This Row],[Phu/13 Fold]],2)</f>
        <v>0</v>
      </c>
      <c r="DB202" s="248">
        <f>LOG(Table2821115[[#This Row],[CO/17 Fold]],2)</f>
        <v>0</v>
      </c>
      <c r="DC202" s="248">
        <f>SUM(Table2821115[[#This Row],[BR/18 Log2]:[CO/17 Log2]])</f>
        <v>4</v>
      </c>
    </row>
    <row r="203" spans="1:107" ht="24" customHeight="1">
      <c r="A203" s="330">
        <v>362</v>
      </c>
      <c r="B203" s="210">
        <v>16038</v>
      </c>
      <c r="C203" s="210">
        <v>43767</v>
      </c>
      <c r="D203" s="209">
        <v>75</v>
      </c>
      <c r="E203" s="4" t="s">
        <v>58</v>
      </c>
      <c r="F203" s="143" t="s">
        <v>116</v>
      </c>
      <c r="G203" s="142">
        <v>30.642434488588332</v>
      </c>
      <c r="H203" s="5" t="s">
        <v>64</v>
      </c>
      <c r="I203" s="277" t="s">
        <v>60</v>
      </c>
      <c r="J203" s="260">
        <v>5</v>
      </c>
      <c r="K203" s="260">
        <v>5</v>
      </c>
      <c r="L203" s="260"/>
      <c r="M203" s="260"/>
      <c r="N203" s="260"/>
      <c r="O203" s="260"/>
      <c r="P203" s="260"/>
      <c r="Q203" s="260"/>
      <c r="R203" s="260"/>
      <c r="S203" s="260"/>
      <c r="T203" s="260"/>
      <c r="U203" s="260"/>
      <c r="V203" s="260">
        <v>5</v>
      </c>
      <c r="W203" s="260">
        <v>5</v>
      </c>
      <c r="X203" s="260">
        <v>20</v>
      </c>
      <c r="Y203" s="260">
        <v>40</v>
      </c>
      <c r="Z203" s="260">
        <v>20</v>
      </c>
      <c r="AA203" s="260">
        <v>80</v>
      </c>
      <c r="AB203" s="260">
        <v>10</v>
      </c>
      <c r="AC203" s="260">
        <v>40</v>
      </c>
      <c r="AD203" s="260"/>
      <c r="AE203" s="260"/>
      <c r="AF203" s="260"/>
      <c r="AG203" s="260"/>
      <c r="AH203" s="208">
        <v>362</v>
      </c>
      <c r="AI203" s="272">
        <v>80</v>
      </c>
      <c r="AJ203" s="271">
        <v>80</v>
      </c>
      <c r="AK203" s="260"/>
      <c r="AL203" s="260"/>
      <c r="AM203" s="260"/>
      <c r="AN203" s="260"/>
      <c r="AO203" s="260"/>
      <c r="AP203" s="260"/>
      <c r="AQ203" s="260"/>
      <c r="AR203" s="260"/>
      <c r="AS203" s="260"/>
      <c r="AT203" s="260"/>
      <c r="AU203" s="260">
        <v>320</v>
      </c>
      <c r="AV203" s="271">
        <v>320</v>
      </c>
      <c r="AW203" s="260">
        <v>320</v>
      </c>
      <c r="AX203" s="271">
        <v>320</v>
      </c>
      <c r="AY203" s="260">
        <v>160</v>
      </c>
      <c r="AZ203" s="271">
        <v>160</v>
      </c>
      <c r="BA203" s="276">
        <v>320</v>
      </c>
      <c r="BB203" s="276">
        <v>320</v>
      </c>
      <c r="BC203" s="276"/>
      <c r="BD203" s="276"/>
      <c r="BE203" s="276">
        <v>80</v>
      </c>
      <c r="BF203" s="276">
        <v>80</v>
      </c>
      <c r="BG203" s="260">
        <v>320</v>
      </c>
      <c r="BH203" s="271">
        <v>320</v>
      </c>
      <c r="BI203" s="276"/>
      <c r="BJ203" s="276"/>
      <c r="BK203" s="276"/>
      <c r="BL203" s="275"/>
      <c r="BM203" s="329">
        <v>362</v>
      </c>
      <c r="BN203" s="272">
        <v>40</v>
      </c>
      <c r="BO203" s="270">
        <v>80</v>
      </c>
      <c r="BP203" s="272"/>
      <c r="BQ203" s="260"/>
      <c r="BR203" s="260"/>
      <c r="BS203" s="260"/>
      <c r="BT203" s="260"/>
      <c r="BU203" s="260"/>
      <c r="BV203" s="260">
        <v>5</v>
      </c>
      <c r="BW203" s="260">
        <v>5</v>
      </c>
      <c r="BX203" s="260"/>
      <c r="BY203" s="260"/>
      <c r="BZ203" s="260"/>
      <c r="CA203" s="260"/>
      <c r="CB203" s="260"/>
      <c r="CC203" s="260"/>
      <c r="CD203" s="260">
        <v>10</v>
      </c>
      <c r="CE203" s="260">
        <v>20</v>
      </c>
      <c r="CF203" s="272"/>
      <c r="CG203" s="260"/>
      <c r="CH203" s="260"/>
      <c r="CI203" s="260"/>
      <c r="CJ203" s="260"/>
      <c r="CK203" s="260"/>
      <c r="CL203" s="260"/>
      <c r="CM203" s="260"/>
      <c r="CN203" s="260">
        <v>10</v>
      </c>
      <c r="CO203" s="260">
        <v>20</v>
      </c>
      <c r="CP203" s="260">
        <v>10</v>
      </c>
      <c r="CQ203" s="260">
        <v>40</v>
      </c>
      <c r="CR203" s="260">
        <v>10</v>
      </c>
      <c r="CS203" s="270">
        <v>20</v>
      </c>
      <c r="CT203" s="328">
        <v>362</v>
      </c>
      <c r="CU203" s="249">
        <f>Table2821115[[#This Row],[D28 - BR/18]]/Table2821115[[#This Row],[D0 - BR/18]]</f>
        <v>4</v>
      </c>
      <c r="CV203" s="248">
        <f>Table2821115[[#This Row],[D28 - KS/17]]/Table2821115[[#This Row],[D0 - KS/17]]</f>
        <v>1</v>
      </c>
      <c r="CW203" s="248">
        <f>Table2821115[[#This Row],[D28 - Phu/13]]/Table2821115[[#This Row],[D0 - Phu/13]]</f>
        <v>2</v>
      </c>
      <c r="CX203" s="248">
        <f>Table2821115[[#This Row],[D28 - CO/17]]/Table2821115[[#This Row],[D0 - CO/17]]</f>
        <v>4</v>
      </c>
      <c r="CY203" s="248">
        <f>LOG(Table2821115[[#This Row],[BR/18 Fold]],2)</f>
        <v>2</v>
      </c>
      <c r="CZ203" s="248">
        <f>LOG(Table2821115[[#This Row],[KS/17 Fold]],2)</f>
        <v>0</v>
      </c>
      <c r="DA203" s="248">
        <f>LOG(Table2821115[[#This Row],[Phu/13 Fold]],2)</f>
        <v>1</v>
      </c>
      <c r="DB203" s="248">
        <f>LOG(Table2821115[[#This Row],[CO/17 Fold]],2)</f>
        <v>2</v>
      </c>
      <c r="DC203" s="248">
        <f>SUM(Table2821115[[#This Row],[BR/18 Log2]:[CO/17 Log2]])</f>
        <v>5</v>
      </c>
    </row>
    <row r="204" spans="1:107" ht="24" customHeight="1">
      <c r="A204" s="330">
        <v>363</v>
      </c>
      <c r="B204" s="210">
        <v>18550</v>
      </c>
      <c r="C204" s="210">
        <v>43762</v>
      </c>
      <c r="D204" s="209">
        <v>69</v>
      </c>
      <c r="E204" s="3" t="s">
        <v>61</v>
      </c>
      <c r="F204" s="143" t="s">
        <v>116</v>
      </c>
      <c r="G204" s="142">
        <v>31.635974357070364</v>
      </c>
      <c r="H204" s="5" t="s">
        <v>64</v>
      </c>
      <c r="I204" s="277" t="s">
        <v>60</v>
      </c>
      <c r="J204" s="260">
        <v>5</v>
      </c>
      <c r="K204" s="260">
        <v>5</v>
      </c>
      <c r="L204" s="260"/>
      <c r="M204" s="260"/>
      <c r="N204" s="260"/>
      <c r="O204" s="260"/>
      <c r="P204" s="260"/>
      <c r="Q204" s="260"/>
      <c r="R204" s="260"/>
      <c r="S204" s="260"/>
      <c r="T204" s="260"/>
      <c r="U204" s="260"/>
      <c r="V204" s="260">
        <v>5</v>
      </c>
      <c r="W204" s="260">
        <v>5</v>
      </c>
      <c r="X204" s="260">
        <v>5</v>
      </c>
      <c r="Y204" s="260">
        <v>5</v>
      </c>
      <c r="Z204" s="260">
        <v>5</v>
      </c>
      <c r="AA204" s="260">
        <v>5</v>
      </c>
      <c r="AB204" s="260">
        <v>5</v>
      </c>
      <c r="AC204" s="260">
        <v>5</v>
      </c>
      <c r="AD204" s="260"/>
      <c r="AE204" s="260"/>
      <c r="AF204" s="260"/>
      <c r="AG204" s="260"/>
      <c r="AH204" s="208">
        <v>363</v>
      </c>
      <c r="AI204" s="272">
        <v>5</v>
      </c>
      <c r="AJ204" s="271">
        <v>5</v>
      </c>
      <c r="AK204" s="260"/>
      <c r="AL204" s="260"/>
      <c r="AM204" s="260"/>
      <c r="AN204" s="260"/>
      <c r="AO204" s="260"/>
      <c r="AP204" s="260"/>
      <c r="AQ204" s="260"/>
      <c r="AR204" s="260"/>
      <c r="AS204" s="260"/>
      <c r="AT204" s="260"/>
      <c r="AU204" s="260">
        <v>5</v>
      </c>
      <c r="AV204" s="271">
        <v>10</v>
      </c>
      <c r="AW204" s="260">
        <v>10</v>
      </c>
      <c r="AX204" s="271">
        <v>40</v>
      </c>
      <c r="AY204" s="260">
        <v>5</v>
      </c>
      <c r="AZ204" s="271">
        <v>5</v>
      </c>
      <c r="BA204" s="276">
        <v>5</v>
      </c>
      <c r="BB204" s="276">
        <v>10</v>
      </c>
      <c r="BC204" s="276"/>
      <c r="BD204" s="276"/>
      <c r="BE204" s="276">
        <v>5</v>
      </c>
      <c r="BF204" s="276">
        <v>20</v>
      </c>
      <c r="BG204" s="260">
        <v>5</v>
      </c>
      <c r="BH204" s="271">
        <v>5</v>
      </c>
      <c r="BI204" s="276"/>
      <c r="BJ204" s="276"/>
      <c r="BK204" s="276"/>
      <c r="BL204" s="275"/>
      <c r="BM204" s="329">
        <v>363</v>
      </c>
      <c r="BN204" s="272">
        <v>20</v>
      </c>
      <c r="BO204" s="270">
        <v>20</v>
      </c>
      <c r="BP204" s="272"/>
      <c r="BQ204" s="260"/>
      <c r="BR204" s="260"/>
      <c r="BS204" s="260"/>
      <c r="BT204" s="260"/>
      <c r="BU204" s="260"/>
      <c r="BV204" s="260">
        <v>5</v>
      </c>
      <c r="BW204" s="260">
        <v>5</v>
      </c>
      <c r="BX204" s="260"/>
      <c r="BY204" s="260"/>
      <c r="BZ204" s="260"/>
      <c r="CA204" s="260"/>
      <c r="CB204" s="260"/>
      <c r="CC204" s="260"/>
      <c r="CD204" s="260">
        <v>20</v>
      </c>
      <c r="CE204" s="260">
        <v>10</v>
      </c>
      <c r="CF204" s="272"/>
      <c r="CG204" s="260"/>
      <c r="CH204" s="260"/>
      <c r="CI204" s="260"/>
      <c r="CJ204" s="260"/>
      <c r="CK204" s="260"/>
      <c r="CL204" s="260"/>
      <c r="CM204" s="260"/>
      <c r="CN204" s="260">
        <v>5</v>
      </c>
      <c r="CO204" s="260">
        <v>5</v>
      </c>
      <c r="CP204" s="260">
        <v>10</v>
      </c>
      <c r="CQ204" s="260">
        <v>10</v>
      </c>
      <c r="CR204" s="260">
        <v>5</v>
      </c>
      <c r="CS204" s="270">
        <v>20</v>
      </c>
      <c r="CT204" s="328">
        <v>363</v>
      </c>
      <c r="CU204" s="249">
        <f>Table2821115[[#This Row],[D28 - BR/18]]/Table2821115[[#This Row],[D0 - BR/18]]</f>
        <v>1</v>
      </c>
      <c r="CV204" s="248">
        <f>Table2821115[[#This Row],[D28 - KS/17]]/Table2821115[[#This Row],[D0 - KS/17]]</f>
        <v>4</v>
      </c>
      <c r="CW204" s="248">
        <f>Table2821115[[#This Row],[D28 - Phu/13]]/Table2821115[[#This Row],[D0 - Phu/13]]</f>
        <v>0.5</v>
      </c>
      <c r="CX204" s="248">
        <f>Table2821115[[#This Row],[D28 - CO/17]]/Table2821115[[#This Row],[D0 - CO/17]]</f>
        <v>1</v>
      </c>
      <c r="CY204" s="248">
        <f>LOG(Table2821115[[#This Row],[BR/18 Fold]],2)</f>
        <v>0</v>
      </c>
      <c r="CZ204" s="248">
        <f>LOG(Table2821115[[#This Row],[KS/17 Fold]],2)</f>
        <v>2</v>
      </c>
      <c r="DA204" s="248">
        <f>LOG(Table2821115[[#This Row],[Phu/13 Fold]],2)</f>
        <v>-1</v>
      </c>
      <c r="DB204" s="248">
        <f>LOG(Table2821115[[#This Row],[CO/17 Fold]],2)</f>
        <v>0</v>
      </c>
      <c r="DC204" s="248">
        <f>SUM(Table2821115[[#This Row],[BR/18 Log2]:[CO/17 Log2]])</f>
        <v>1</v>
      </c>
    </row>
    <row r="205" spans="1:107" ht="24" customHeight="1">
      <c r="A205" s="324">
        <v>364</v>
      </c>
      <c r="B205" s="190">
        <v>25846</v>
      </c>
      <c r="C205" s="190">
        <v>43762</v>
      </c>
      <c r="D205" s="189">
        <v>49</v>
      </c>
      <c r="E205" s="3" t="s">
        <v>61</v>
      </c>
      <c r="F205" s="143" t="s">
        <v>116</v>
      </c>
      <c r="G205" s="142">
        <v>31.783858411424305</v>
      </c>
      <c r="H205" s="11" t="s">
        <v>59</v>
      </c>
      <c r="I205" s="277" t="s">
        <v>60</v>
      </c>
      <c r="J205" s="260">
        <v>5</v>
      </c>
      <c r="K205" s="260">
        <v>5</v>
      </c>
      <c r="L205" s="260"/>
      <c r="M205" s="260"/>
      <c r="N205" s="260"/>
      <c r="O205" s="260"/>
      <c r="P205" s="260"/>
      <c r="Q205" s="260"/>
      <c r="R205" s="260"/>
      <c r="S205" s="260"/>
      <c r="T205" s="260"/>
      <c r="U205" s="260"/>
      <c r="V205" s="260">
        <v>5</v>
      </c>
      <c r="W205" s="260">
        <v>5</v>
      </c>
      <c r="X205" s="260">
        <v>5</v>
      </c>
      <c r="Y205" s="260">
        <v>5</v>
      </c>
      <c r="Z205" s="260">
        <v>5</v>
      </c>
      <c r="AA205" s="260">
        <v>10</v>
      </c>
      <c r="AB205" s="260">
        <v>5</v>
      </c>
      <c r="AC205" s="260">
        <v>5</v>
      </c>
      <c r="AD205" s="260"/>
      <c r="AE205" s="260"/>
      <c r="AF205" s="260"/>
      <c r="AG205" s="260"/>
      <c r="AH205" s="198">
        <v>364</v>
      </c>
      <c r="AI205" s="272">
        <v>5</v>
      </c>
      <c r="AJ205" s="271">
        <v>5</v>
      </c>
      <c r="AK205" s="260"/>
      <c r="AL205" s="260"/>
      <c r="AM205" s="260"/>
      <c r="AN205" s="260"/>
      <c r="AO205" s="260"/>
      <c r="AP205" s="260"/>
      <c r="AQ205" s="260"/>
      <c r="AR205" s="260"/>
      <c r="AS205" s="260"/>
      <c r="AT205" s="260"/>
      <c r="AU205" s="260">
        <v>80</v>
      </c>
      <c r="AV205" s="271">
        <v>80</v>
      </c>
      <c r="AW205" s="260">
        <v>80</v>
      </c>
      <c r="AX205" s="271">
        <v>80</v>
      </c>
      <c r="AY205" s="260">
        <v>40</v>
      </c>
      <c r="AZ205" s="271">
        <v>40</v>
      </c>
      <c r="BA205" s="276">
        <v>80</v>
      </c>
      <c r="BB205" s="276">
        <v>40</v>
      </c>
      <c r="BC205" s="276"/>
      <c r="BD205" s="276"/>
      <c r="BE205" s="276">
        <v>40</v>
      </c>
      <c r="BF205" s="276">
        <v>20</v>
      </c>
      <c r="BG205" s="260">
        <v>80</v>
      </c>
      <c r="BH205" s="271">
        <v>80</v>
      </c>
      <c r="BI205" s="276"/>
      <c r="BJ205" s="276"/>
      <c r="BK205" s="276"/>
      <c r="BL205" s="275"/>
      <c r="BM205" s="323">
        <v>364</v>
      </c>
      <c r="BN205" s="272">
        <v>80</v>
      </c>
      <c r="BO205" s="270">
        <v>80</v>
      </c>
      <c r="BP205" s="272"/>
      <c r="BQ205" s="260"/>
      <c r="BR205" s="260"/>
      <c r="BS205" s="260"/>
      <c r="BT205" s="260"/>
      <c r="BU205" s="260"/>
      <c r="BV205" s="260">
        <v>80</v>
      </c>
      <c r="BW205" s="260">
        <v>80</v>
      </c>
      <c r="BX205" s="260"/>
      <c r="BY205" s="260"/>
      <c r="BZ205" s="260"/>
      <c r="CA205" s="260"/>
      <c r="CB205" s="260"/>
      <c r="CC205" s="260"/>
      <c r="CD205" s="260">
        <v>80</v>
      </c>
      <c r="CE205" s="260">
        <v>40</v>
      </c>
      <c r="CF205" s="272"/>
      <c r="CG205" s="260"/>
      <c r="CH205" s="260"/>
      <c r="CI205" s="260"/>
      <c r="CJ205" s="260"/>
      <c r="CK205" s="260"/>
      <c r="CL205" s="260"/>
      <c r="CM205" s="260"/>
      <c r="CN205" s="260">
        <v>40</v>
      </c>
      <c r="CO205" s="260">
        <v>40</v>
      </c>
      <c r="CP205" s="260">
        <v>80</v>
      </c>
      <c r="CQ205" s="260">
        <v>80</v>
      </c>
      <c r="CR205" s="260">
        <v>40</v>
      </c>
      <c r="CS205" s="270">
        <v>40</v>
      </c>
      <c r="CT205" s="322">
        <v>364</v>
      </c>
      <c r="CU205" s="249">
        <f>Table2821115[[#This Row],[D28 - BR/18]]/Table2821115[[#This Row],[D0 - BR/18]]</f>
        <v>1</v>
      </c>
      <c r="CV205" s="248">
        <f>Table2821115[[#This Row],[D28 - KS/17]]/Table2821115[[#This Row],[D0 - KS/17]]</f>
        <v>0.5</v>
      </c>
      <c r="CW205" s="248">
        <f>Table2821115[[#This Row],[D28 - Phu/13]]/Table2821115[[#This Row],[D0 - Phu/13]]</f>
        <v>0.5</v>
      </c>
      <c r="CX205" s="248">
        <f>Table2821115[[#This Row],[D28 - CO/17]]/Table2821115[[#This Row],[D0 - CO/17]]</f>
        <v>1</v>
      </c>
      <c r="CY205" s="248">
        <f>LOG(Table2821115[[#This Row],[BR/18 Fold]],2)</f>
        <v>0</v>
      </c>
      <c r="CZ205" s="248">
        <f>LOG(Table2821115[[#This Row],[KS/17 Fold]],2)</f>
        <v>-1</v>
      </c>
      <c r="DA205" s="248">
        <f>LOG(Table2821115[[#This Row],[Phu/13 Fold]],2)</f>
        <v>-1</v>
      </c>
      <c r="DB205" s="248">
        <f>LOG(Table2821115[[#This Row],[CO/17 Fold]],2)</f>
        <v>0</v>
      </c>
      <c r="DC205" s="248">
        <f>SUM(Table2821115[[#This Row],[BR/18 Log2]:[CO/17 Log2]])</f>
        <v>-2</v>
      </c>
    </row>
    <row r="206" spans="1:107" ht="24" customHeight="1">
      <c r="A206" s="324">
        <v>365</v>
      </c>
      <c r="B206" s="190">
        <v>25979</v>
      </c>
      <c r="C206" s="190">
        <v>43809</v>
      </c>
      <c r="D206" s="189">
        <v>48</v>
      </c>
      <c r="E206" s="3" t="s">
        <v>61</v>
      </c>
      <c r="F206" s="143" t="s">
        <v>116</v>
      </c>
      <c r="G206" s="142">
        <v>29.70195176238439</v>
      </c>
      <c r="H206" s="11" t="s">
        <v>59</v>
      </c>
      <c r="I206" s="277" t="s">
        <v>62</v>
      </c>
      <c r="J206" s="260">
        <v>20</v>
      </c>
      <c r="K206" s="260">
        <v>20</v>
      </c>
      <c r="L206" s="260"/>
      <c r="M206" s="260"/>
      <c r="N206" s="260"/>
      <c r="O206" s="260"/>
      <c r="P206" s="260"/>
      <c r="Q206" s="260"/>
      <c r="R206" s="260"/>
      <c r="S206" s="260"/>
      <c r="T206" s="260"/>
      <c r="U206" s="260"/>
      <c r="V206" s="260">
        <v>5</v>
      </c>
      <c r="W206" s="260">
        <v>5</v>
      </c>
      <c r="X206" s="260">
        <v>10</v>
      </c>
      <c r="Y206" s="260">
        <v>640</v>
      </c>
      <c r="Z206" s="260">
        <v>10</v>
      </c>
      <c r="AA206" s="260">
        <v>1280</v>
      </c>
      <c r="AB206" s="260">
        <v>10</v>
      </c>
      <c r="AC206" s="260">
        <v>640</v>
      </c>
      <c r="AD206" s="260"/>
      <c r="AE206" s="260"/>
      <c r="AF206" s="260"/>
      <c r="AG206" s="260"/>
      <c r="AH206" s="198">
        <v>365</v>
      </c>
      <c r="AI206" s="272">
        <v>10</v>
      </c>
      <c r="AJ206" s="271">
        <v>20</v>
      </c>
      <c r="AK206" s="260"/>
      <c r="AL206" s="260"/>
      <c r="AM206" s="260"/>
      <c r="AN206" s="260"/>
      <c r="AO206" s="260"/>
      <c r="AP206" s="260"/>
      <c r="AQ206" s="260"/>
      <c r="AR206" s="260"/>
      <c r="AS206" s="260"/>
      <c r="AT206" s="260"/>
      <c r="AU206" s="260">
        <v>5</v>
      </c>
      <c r="AV206" s="271">
        <v>20</v>
      </c>
      <c r="AW206" s="260">
        <v>5</v>
      </c>
      <c r="AX206" s="271">
        <v>20</v>
      </c>
      <c r="AY206" s="260">
        <v>5</v>
      </c>
      <c r="AZ206" s="271">
        <v>10</v>
      </c>
      <c r="BA206" s="276">
        <v>5</v>
      </c>
      <c r="BB206" s="276">
        <v>10</v>
      </c>
      <c r="BC206" s="276"/>
      <c r="BD206" s="276"/>
      <c r="BE206" s="276">
        <v>5</v>
      </c>
      <c r="BF206" s="276">
        <v>20</v>
      </c>
      <c r="BG206" s="260">
        <v>40</v>
      </c>
      <c r="BH206" s="271">
        <v>40</v>
      </c>
      <c r="BI206" s="276"/>
      <c r="BJ206" s="276"/>
      <c r="BK206" s="276"/>
      <c r="BL206" s="275"/>
      <c r="BM206" s="323">
        <v>365</v>
      </c>
      <c r="BN206" s="272">
        <v>5</v>
      </c>
      <c r="BO206" s="270">
        <v>20</v>
      </c>
      <c r="BP206" s="272"/>
      <c r="BQ206" s="260"/>
      <c r="BR206" s="260"/>
      <c r="BS206" s="260"/>
      <c r="BT206" s="260"/>
      <c r="BU206" s="260"/>
      <c r="BV206" s="260">
        <v>5</v>
      </c>
      <c r="BW206" s="260">
        <v>160</v>
      </c>
      <c r="BX206" s="260"/>
      <c r="BY206" s="260"/>
      <c r="BZ206" s="260"/>
      <c r="CA206" s="260"/>
      <c r="CB206" s="260"/>
      <c r="CC206" s="260"/>
      <c r="CD206" s="260">
        <v>5</v>
      </c>
      <c r="CE206" s="260">
        <v>320</v>
      </c>
      <c r="CF206" s="272"/>
      <c r="CG206" s="260"/>
      <c r="CH206" s="260"/>
      <c r="CI206" s="260"/>
      <c r="CJ206" s="260"/>
      <c r="CK206" s="260"/>
      <c r="CL206" s="260"/>
      <c r="CM206" s="260"/>
      <c r="CN206" s="260">
        <v>5</v>
      </c>
      <c r="CO206" s="260">
        <v>80</v>
      </c>
      <c r="CP206" s="260">
        <v>10</v>
      </c>
      <c r="CQ206" s="260">
        <v>80</v>
      </c>
      <c r="CR206" s="260">
        <v>5</v>
      </c>
      <c r="CS206" s="270">
        <v>80</v>
      </c>
      <c r="CT206" s="322">
        <v>365</v>
      </c>
      <c r="CU206" s="249">
        <f>Table2821115[[#This Row],[D28 - BR/18]]/Table2821115[[#This Row],[D0 - BR/18]]</f>
        <v>64</v>
      </c>
      <c r="CV206" s="248">
        <f>Table2821115[[#This Row],[D28 - KS/17]]/Table2821115[[#This Row],[D0 - KS/17]]</f>
        <v>4</v>
      </c>
      <c r="CW206" s="248">
        <f>Table2821115[[#This Row],[D28 - Phu/13]]/Table2821115[[#This Row],[D0 - Phu/13]]</f>
        <v>64</v>
      </c>
      <c r="CX206" s="248">
        <f>Table2821115[[#This Row],[D28 - CO/17]]/Table2821115[[#This Row],[D0 - CO/17]]</f>
        <v>8</v>
      </c>
      <c r="CY206" s="248">
        <f>LOG(Table2821115[[#This Row],[BR/18 Fold]],2)</f>
        <v>6</v>
      </c>
      <c r="CZ206" s="248">
        <f>LOG(Table2821115[[#This Row],[KS/17 Fold]],2)</f>
        <v>2</v>
      </c>
      <c r="DA206" s="248">
        <f>LOG(Table2821115[[#This Row],[Phu/13 Fold]],2)</f>
        <v>6</v>
      </c>
      <c r="DB206" s="248">
        <f>LOG(Table2821115[[#This Row],[CO/17 Fold]],2)</f>
        <v>3</v>
      </c>
      <c r="DC206" s="248">
        <f>SUM(Table2821115[[#This Row],[BR/18 Log2]:[CO/17 Log2]])</f>
        <v>17</v>
      </c>
    </row>
    <row r="207" spans="1:107" ht="24" customHeight="1">
      <c r="A207" s="318">
        <v>366</v>
      </c>
      <c r="B207" s="180">
        <v>20055</v>
      </c>
      <c r="C207" s="180">
        <v>43776</v>
      </c>
      <c r="D207" s="179">
        <v>64</v>
      </c>
      <c r="E207" s="3" t="s">
        <v>61</v>
      </c>
      <c r="F207" s="143" t="s">
        <v>116</v>
      </c>
      <c r="G207" s="142">
        <v>34.340187110091811</v>
      </c>
      <c r="H207" s="11" t="s">
        <v>59</v>
      </c>
      <c r="I207" s="277" t="s">
        <v>60</v>
      </c>
      <c r="J207" s="260">
        <v>5</v>
      </c>
      <c r="K207" s="260">
        <v>5</v>
      </c>
      <c r="L207" s="260"/>
      <c r="M207" s="260"/>
      <c r="N207" s="260"/>
      <c r="O207" s="260"/>
      <c r="P207" s="260"/>
      <c r="Q207" s="260"/>
      <c r="R207" s="260"/>
      <c r="S207" s="260"/>
      <c r="T207" s="260"/>
      <c r="U207" s="260"/>
      <c r="V207" s="260">
        <v>5</v>
      </c>
      <c r="W207" s="260">
        <v>5</v>
      </c>
      <c r="X207" s="260">
        <v>80</v>
      </c>
      <c r="Y207" s="260">
        <v>320</v>
      </c>
      <c r="Z207" s="260">
        <v>80</v>
      </c>
      <c r="AA207" s="260">
        <v>320</v>
      </c>
      <c r="AB207" s="260">
        <v>80</v>
      </c>
      <c r="AC207" s="260">
        <v>160</v>
      </c>
      <c r="AD207" s="260"/>
      <c r="AE207" s="260"/>
      <c r="AF207" s="260"/>
      <c r="AG207" s="260"/>
      <c r="AH207" s="195">
        <v>366</v>
      </c>
      <c r="AI207" s="272">
        <v>10</v>
      </c>
      <c r="AJ207" s="271">
        <v>20</v>
      </c>
      <c r="AK207" s="260"/>
      <c r="AL207" s="260"/>
      <c r="AM207" s="260"/>
      <c r="AN207" s="260"/>
      <c r="AO207" s="260"/>
      <c r="AP207" s="260"/>
      <c r="AQ207" s="260"/>
      <c r="AR207" s="260"/>
      <c r="AS207" s="260"/>
      <c r="AT207" s="260"/>
      <c r="AU207" s="260">
        <v>10</v>
      </c>
      <c r="AV207" s="271">
        <v>80</v>
      </c>
      <c r="AW207" s="260">
        <v>10</v>
      </c>
      <c r="AX207" s="271">
        <v>160</v>
      </c>
      <c r="AY207" s="260">
        <v>5</v>
      </c>
      <c r="AZ207" s="271">
        <v>40</v>
      </c>
      <c r="BA207" s="276">
        <v>10</v>
      </c>
      <c r="BB207" s="276">
        <v>40</v>
      </c>
      <c r="BC207" s="276"/>
      <c r="BD207" s="276"/>
      <c r="BE207" s="276">
        <v>5</v>
      </c>
      <c r="BF207" s="276">
        <v>80</v>
      </c>
      <c r="BG207" s="260">
        <v>20</v>
      </c>
      <c r="BH207" s="271">
        <v>80</v>
      </c>
      <c r="BI207" s="276"/>
      <c r="BJ207" s="276"/>
      <c r="BK207" s="276"/>
      <c r="BL207" s="275"/>
      <c r="BM207" s="316">
        <v>366</v>
      </c>
      <c r="BN207" s="272">
        <v>80</v>
      </c>
      <c r="BO207" s="270">
        <v>80</v>
      </c>
      <c r="BP207" s="272"/>
      <c r="BQ207" s="260"/>
      <c r="BR207" s="260"/>
      <c r="BS207" s="260"/>
      <c r="BT207" s="260"/>
      <c r="BU207" s="260"/>
      <c r="BV207" s="260">
        <v>5</v>
      </c>
      <c r="BW207" s="260">
        <v>40</v>
      </c>
      <c r="BX207" s="260"/>
      <c r="BY207" s="260"/>
      <c r="BZ207" s="260"/>
      <c r="CA207" s="260"/>
      <c r="CB207" s="260"/>
      <c r="CC207" s="260"/>
      <c r="CD207" s="260">
        <v>40</v>
      </c>
      <c r="CE207" s="260">
        <v>40</v>
      </c>
      <c r="CF207" s="272"/>
      <c r="CG207" s="260"/>
      <c r="CH207" s="260"/>
      <c r="CI207" s="260"/>
      <c r="CJ207" s="260"/>
      <c r="CK207" s="260"/>
      <c r="CL207" s="260"/>
      <c r="CM207" s="260"/>
      <c r="CN207" s="260">
        <v>5</v>
      </c>
      <c r="CO207" s="260">
        <v>20</v>
      </c>
      <c r="CP207" s="260">
        <v>40</v>
      </c>
      <c r="CQ207" s="260">
        <v>40</v>
      </c>
      <c r="CR207" s="260">
        <v>20</v>
      </c>
      <c r="CS207" s="270">
        <v>40</v>
      </c>
      <c r="CT207" s="315">
        <v>366</v>
      </c>
      <c r="CU207" s="249">
        <f>Table2821115[[#This Row],[D28 - BR/18]]/Table2821115[[#This Row],[D0 - BR/18]]</f>
        <v>2</v>
      </c>
      <c r="CV207" s="248">
        <f>Table2821115[[#This Row],[D28 - KS/17]]/Table2821115[[#This Row],[D0 - KS/17]]</f>
        <v>16</v>
      </c>
      <c r="CW207" s="248">
        <f>Table2821115[[#This Row],[D28 - Phu/13]]/Table2821115[[#This Row],[D0 - Phu/13]]</f>
        <v>1</v>
      </c>
      <c r="CX207" s="248">
        <f>Table2821115[[#This Row],[D28 - CO/17]]/Table2821115[[#This Row],[D0 - CO/17]]</f>
        <v>1</v>
      </c>
      <c r="CY207" s="248">
        <f>LOG(Table2821115[[#This Row],[BR/18 Fold]],2)</f>
        <v>1</v>
      </c>
      <c r="CZ207" s="248">
        <f>LOG(Table2821115[[#This Row],[KS/17 Fold]],2)</f>
        <v>4</v>
      </c>
      <c r="DA207" s="248">
        <f>LOG(Table2821115[[#This Row],[Phu/13 Fold]],2)</f>
        <v>0</v>
      </c>
      <c r="DB207" s="248">
        <f>LOG(Table2821115[[#This Row],[CO/17 Fold]],2)</f>
        <v>0</v>
      </c>
      <c r="DC207" s="248">
        <f>SUM(Table2821115[[#This Row],[BR/18 Log2]:[CO/17 Log2]])</f>
        <v>5</v>
      </c>
    </row>
    <row r="208" spans="1:107" ht="24" customHeight="1">
      <c r="A208" s="318">
        <v>367</v>
      </c>
      <c r="B208" s="180">
        <v>25083</v>
      </c>
      <c r="C208" s="180">
        <v>43777</v>
      </c>
      <c r="D208" s="179">
        <v>51</v>
      </c>
      <c r="E208" s="4" t="s">
        <v>58</v>
      </c>
      <c r="F208" s="143" t="s">
        <v>116</v>
      </c>
      <c r="G208" s="142">
        <v>32.877457521950888</v>
      </c>
      <c r="H208" s="11" t="s">
        <v>59</v>
      </c>
      <c r="I208" s="277" t="s">
        <v>60</v>
      </c>
      <c r="J208" s="260">
        <v>5</v>
      </c>
      <c r="K208" s="260">
        <v>5</v>
      </c>
      <c r="L208" s="260"/>
      <c r="M208" s="260"/>
      <c r="N208" s="260"/>
      <c r="O208" s="260"/>
      <c r="P208" s="260"/>
      <c r="Q208" s="260"/>
      <c r="R208" s="260"/>
      <c r="S208" s="260"/>
      <c r="T208" s="260"/>
      <c r="U208" s="260"/>
      <c r="V208" s="260">
        <v>5</v>
      </c>
      <c r="W208" s="260">
        <v>5</v>
      </c>
      <c r="X208" s="260">
        <v>5</v>
      </c>
      <c r="Y208" s="260">
        <v>10</v>
      </c>
      <c r="Z208" s="260">
        <v>10</v>
      </c>
      <c r="AA208" s="260">
        <v>10</v>
      </c>
      <c r="AB208" s="260">
        <v>5</v>
      </c>
      <c r="AC208" s="260">
        <v>10</v>
      </c>
      <c r="AD208" s="260"/>
      <c r="AE208" s="260"/>
      <c r="AF208" s="260"/>
      <c r="AG208" s="260"/>
      <c r="AH208" s="195">
        <v>367</v>
      </c>
      <c r="AI208" s="272">
        <v>5</v>
      </c>
      <c r="AJ208" s="271">
        <v>5</v>
      </c>
      <c r="AK208" s="260"/>
      <c r="AL208" s="260"/>
      <c r="AM208" s="260"/>
      <c r="AN208" s="260"/>
      <c r="AO208" s="260"/>
      <c r="AP208" s="260"/>
      <c r="AQ208" s="260"/>
      <c r="AR208" s="260"/>
      <c r="AS208" s="260"/>
      <c r="AT208" s="260"/>
      <c r="AU208" s="260">
        <v>10</v>
      </c>
      <c r="AV208" s="271">
        <v>20</v>
      </c>
      <c r="AW208" s="260">
        <v>5</v>
      </c>
      <c r="AX208" s="271">
        <v>10</v>
      </c>
      <c r="AY208" s="260">
        <v>5</v>
      </c>
      <c r="AZ208" s="271">
        <v>10</v>
      </c>
      <c r="BA208" s="276">
        <v>5</v>
      </c>
      <c r="BB208" s="276">
        <v>10</v>
      </c>
      <c r="BC208" s="276"/>
      <c r="BD208" s="276"/>
      <c r="BE208" s="276">
        <v>5</v>
      </c>
      <c r="BF208" s="276">
        <v>5</v>
      </c>
      <c r="BG208" s="260">
        <v>10</v>
      </c>
      <c r="BH208" s="271">
        <v>10</v>
      </c>
      <c r="BI208" s="276"/>
      <c r="BJ208" s="276"/>
      <c r="BK208" s="276"/>
      <c r="BL208" s="275"/>
      <c r="BM208" s="316">
        <v>367</v>
      </c>
      <c r="BN208" s="272">
        <v>40</v>
      </c>
      <c r="BO208" s="270">
        <v>40</v>
      </c>
      <c r="BP208" s="272"/>
      <c r="BQ208" s="260"/>
      <c r="BR208" s="260"/>
      <c r="BS208" s="260"/>
      <c r="BT208" s="260"/>
      <c r="BU208" s="260"/>
      <c r="BV208" s="260">
        <v>5</v>
      </c>
      <c r="BW208" s="260">
        <v>80</v>
      </c>
      <c r="BX208" s="260"/>
      <c r="BY208" s="260"/>
      <c r="BZ208" s="260"/>
      <c r="CA208" s="260"/>
      <c r="CB208" s="260"/>
      <c r="CC208" s="260"/>
      <c r="CD208" s="260">
        <v>160</v>
      </c>
      <c r="CE208" s="260">
        <v>80</v>
      </c>
      <c r="CF208" s="272"/>
      <c r="CG208" s="260"/>
      <c r="CH208" s="260"/>
      <c r="CI208" s="260"/>
      <c r="CJ208" s="260"/>
      <c r="CK208" s="260"/>
      <c r="CL208" s="260"/>
      <c r="CM208" s="260"/>
      <c r="CN208" s="260">
        <v>5</v>
      </c>
      <c r="CO208" s="260">
        <v>10</v>
      </c>
      <c r="CP208" s="260">
        <v>10</v>
      </c>
      <c r="CQ208" s="260">
        <v>10</v>
      </c>
      <c r="CR208" s="260">
        <v>5</v>
      </c>
      <c r="CS208" s="270">
        <v>10</v>
      </c>
      <c r="CT208" s="315">
        <v>367</v>
      </c>
      <c r="CU208" s="249">
        <f>Table2821115[[#This Row],[D28 - BR/18]]/Table2821115[[#This Row],[D0 - BR/18]]</f>
        <v>2</v>
      </c>
      <c r="CV208" s="248">
        <f>Table2821115[[#This Row],[D28 - KS/17]]/Table2821115[[#This Row],[D0 - KS/17]]</f>
        <v>1</v>
      </c>
      <c r="CW208" s="248">
        <f>Table2821115[[#This Row],[D28 - Phu/13]]/Table2821115[[#This Row],[D0 - Phu/13]]</f>
        <v>0.5</v>
      </c>
      <c r="CX208" s="248">
        <f>Table2821115[[#This Row],[D28 - CO/17]]/Table2821115[[#This Row],[D0 - CO/17]]</f>
        <v>1</v>
      </c>
      <c r="CY208" s="248">
        <f>LOG(Table2821115[[#This Row],[BR/18 Fold]],2)</f>
        <v>1</v>
      </c>
      <c r="CZ208" s="248">
        <f>LOG(Table2821115[[#This Row],[KS/17 Fold]],2)</f>
        <v>0</v>
      </c>
      <c r="DA208" s="248">
        <f>LOG(Table2821115[[#This Row],[Phu/13 Fold]],2)</f>
        <v>-1</v>
      </c>
      <c r="DB208" s="248">
        <f>LOG(Table2821115[[#This Row],[CO/17 Fold]],2)</f>
        <v>0</v>
      </c>
      <c r="DC208" s="248">
        <f>SUM(Table2821115[[#This Row],[BR/18 Log2]:[CO/17 Log2]])</f>
        <v>0</v>
      </c>
    </row>
    <row r="209" spans="1:107" ht="24" customHeight="1">
      <c r="A209" s="330">
        <v>368</v>
      </c>
      <c r="B209" s="210">
        <v>17751</v>
      </c>
      <c r="C209" s="210">
        <v>43775</v>
      </c>
      <c r="D209" s="209">
        <v>71</v>
      </c>
      <c r="E209" s="3" t="s">
        <v>61</v>
      </c>
      <c r="F209" s="143" t="s">
        <v>116</v>
      </c>
      <c r="G209" s="142">
        <v>24.434263501318895</v>
      </c>
      <c r="H209" s="5" t="s">
        <v>64</v>
      </c>
      <c r="I209" s="277" t="s">
        <v>60</v>
      </c>
      <c r="J209" s="260">
        <v>5</v>
      </c>
      <c r="K209" s="260">
        <v>5</v>
      </c>
      <c r="L209" s="260"/>
      <c r="M209" s="260"/>
      <c r="N209" s="260"/>
      <c r="O209" s="260"/>
      <c r="P209" s="260"/>
      <c r="Q209" s="260"/>
      <c r="R209" s="260"/>
      <c r="S209" s="260"/>
      <c r="T209" s="260"/>
      <c r="U209" s="260"/>
      <c r="V209" s="260">
        <v>5</v>
      </c>
      <c r="W209" s="260">
        <v>5</v>
      </c>
      <c r="X209" s="260">
        <v>5</v>
      </c>
      <c r="Y209" s="260">
        <v>10</v>
      </c>
      <c r="Z209" s="260">
        <v>5</v>
      </c>
      <c r="AA209" s="260">
        <v>40</v>
      </c>
      <c r="AB209" s="260">
        <v>5</v>
      </c>
      <c r="AC209" s="260">
        <v>20</v>
      </c>
      <c r="AD209" s="260"/>
      <c r="AE209" s="260"/>
      <c r="AF209" s="260"/>
      <c r="AG209" s="260"/>
      <c r="AH209" s="208">
        <v>368</v>
      </c>
      <c r="AI209" s="272">
        <v>5</v>
      </c>
      <c r="AJ209" s="271">
        <v>10</v>
      </c>
      <c r="AK209" s="260"/>
      <c r="AL209" s="260"/>
      <c r="AM209" s="260"/>
      <c r="AN209" s="260"/>
      <c r="AO209" s="260"/>
      <c r="AP209" s="260"/>
      <c r="AQ209" s="260"/>
      <c r="AR209" s="260"/>
      <c r="AS209" s="260"/>
      <c r="AT209" s="260"/>
      <c r="AU209" s="260">
        <v>10</v>
      </c>
      <c r="AV209" s="271">
        <v>80</v>
      </c>
      <c r="AW209" s="260">
        <v>10</v>
      </c>
      <c r="AX209" s="271">
        <v>80</v>
      </c>
      <c r="AY209" s="260">
        <v>5</v>
      </c>
      <c r="AZ209" s="271">
        <v>20</v>
      </c>
      <c r="BA209" s="276">
        <v>10</v>
      </c>
      <c r="BB209" s="276">
        <v>40</v>
      </c>
      <c r="BC209" s="276"/>
      <c r="BD209" s="276"/>
      <c r="BE209" s="276">
        <v>5</v>
      </c>
      <c r="BF209" s="276">
        <v>80</v>
      </c>
      <c r="BG209" s="260">
        <v>40</v>
      </c>
      <c r="BH209" s="271">
        <v>80</v>
      </c>
      <c r="BI209" s="276"/>
      <c r="BJ209" s="276"/>
      <c r="BK209" s="276"/>
      <c r="BL209" s="275"/>
      <c r="BM209" s="329">
        <v>368</v>
      </c>
      <c r="BN209" s="272">
        <v>5</v>
      </c>
      <c r="BO209" s="270">
        <v>5</v>
      </c>
      <c r="BP209" s="272"/>
      <c r="BQ209" s="260"/>
      <c r="BR209" s="260"/>
      <c r="BS209" s="260"/>
      <c r="BT209" s="260"/>
      <c r="BU209" s="260"/>
      <c r="BV209" s="260">
        <v>10</v>
      </c>
      <c r="BW209" s="260">
        <v>20</v>
      </c>
      <c r="BX209" s="260"/>
      <c r="BY209" s="260"/>
      <c r="BZ209" s="260"/>
      <c r="CA209" s="260"/>
      <c r="CB209" s="260"/>
      <c r="CC209" s="260"/>
      <c r="CD209" s="260">
        <v>20</v>
      </c>
      <c r="CE209" s="260">
        <v>20</v>
      </c>
      <c r="CF209" s="272"/>
      <c r="CG209" s="260"/>
      <c r="CH209" s="260"/>
      <c r="CI209" s="260"/>
      <c r="CJ209" s="260"/>
      <c r="CK209" s="260"/>
      <c r="CL209" s="260"/>
      <c r="CM209" s="260"/>
      <c r="CN209" s="260">
        <v>10</v>
      </c>
      <c r="CO209" s="260">
        <v>10</v>
      </c>
      <c r="CP209" s="260">
        <v>10</v>
      </c>
      <c r="CQ209" s="260">
        <v>40</v>
      </c>
      <c r="CR209" s="260">
        <v>5</v>
      </c>
      <c r="CS209" s="270">
        <v>20</v>
      </c>
      <c r="CT209" s="328">
        <v>368</v>
      </c>
      <c r="CU209" s="249">
        <f>Table2821115[[#This Row],[D28 - BR/18]]/Table2821115[[#This Row],[D0 - BR/18]]</f>
        <v>4</v>
      </c>
      <c r="CV209" s="248">
        <f>Table2821115[[#This Row],[D28 - KS/17]]/Table2821115[[#This Row],[D0 - KS/17]]</f>
        <v>16</v>
      </c>
      <c r="CW209" s="248">
        <f>Table2821115[[#This Row],[D28 - Phu/13]]/Table2821115[[#This Row],[D0 - Phu/13]]</f>
        <v>1</v>
      </c>
      <c r="CX209" s="248">
        <f>Table2821115[[#This Row],[D28 - CO/17]]/Table2821115[[#This Row],[D0 - CO/17]]</f>
        <v>4</v>
      </c>
      <c r="CY209" s="248">
        <f>LOG(Table2821115[[#This Row],[BR/18 Fold]],2)</f>
        <v>2</v>
      </c>
      <c r="CZ209" s="248">
        <f>LOG(Table2821115[[#This Row],[KS/17 Fold]],2)</f>
        <v>4</v>
      </c>
      <c r="DA209" s="248">
        <f>LOG(Table2821115[[#This Row],[Phu/13 Fold]],2)</f>
        <v>0</v>
      </c>
      <c r="DB209" s="248">
        <f>LOG(Table2821115[[#This Row],[CO/17 Fold]],2)</f>
        <v>2</v>
      </c>
      <c r="DC209" s="248">
        <f>SUM(Table2821115[[#This Row],[BR/18 Log2]:[CO/17 Log2]])</f>
        <v>8</v>
      </c>
    </row>
    <row r="210" spans="1:107" ht="24" customHeight="1">
      <c r="A210" s="327">
        <v>369</v>
      </c>
      <c r="B210" s="205">
        <v>19963</v>
      </c>
      <c r="C210" s="205">
        <v>43769</v>
      </c>
      <c r="D210" s="204">
        <v>65</v>
      </c>
      <c r="E210" s="4" t="s">
        <v>58</v>
      </c>
      <c r="F210" s="143" t="s">
        <v>116</v>
      </c>
      <c r="G210" s="142">
        <v>25.601851851851851</v>
      </c>
      <c r="H210" s="11" t="s">
        <v>59</v>
      </c>
      <c r="I210" s="277" t="s">
        <v>60</v>
      </c>
      <c r="J210" s="260">
        <v>5</v>
      </c>
      <c r="K210" s="260">
        <v>5</v>
      </c>
      <c r="L210" s="260"/>
      <c r="M210" s="260"/>
      <c r="N210" s="260"/>
      <c r="O210" s="260"/>
      <c r="P210" s="260"/>
      <c r="Q210" s="260"/>
      <c r="R210" s="260"/>
      <c r="S210" s="260"/>
      <c r="T210" s="260"/>
      <c r="U210" s="260"/>
      <c r="V210" s="260">
        <v>5</v>
      </c>
      <c r="W210" s="260">
        <v>5</v>
      </c>
      <c r="X210" s="260">
        <v>10</v>
      </c>
      <c r="Y210" s="260">
        <v>40</v>
      </c>
      <c r="Z210" s="260">
        <v>40</v>
      </c>
      <c r="AA210" s="260">
        <v>80</v>
      </c>
      <c r="AB210" s="260">
        <v>40</v>
      </c>
      <c r="AC210" s="260">
        <v>40</v>
      </c>
      <c r="AD210" s="260"/>
      <c r="AE210" s="260"/>
      <c r="AF210" s="260"/>
      <c r="AG210" s="260"/>
      <c r="AH210" s="203">
        <v>369</v>
      </c>
      <c r="AI210" s="272">
        <v>40</v>
      </c>
      <c r="AJ210" s="271">
        <v>40</v>
      </c>
      <c r="AK210" s="260"/>
      <c r="AL210" s="260"/>
      <c r="AM210" s="260"/>
      <c r="AN210" s="260"/>
      <c r="AO210" s="260"/>
      <c r="AP210" s="260"/>
      <c r="AQ210" s="260"/>
      <c r="AR210" s="260"/>
      <c r="AS210" s="260"/>
      <c r="AT210" s="260"/>
      <c r="AU210" s="260">
        <v>80</v>
      </c>
      <c r="AV210" s="271">
        <v>80</v>
      </c>
      <c r="AW210" s="260">
        <v>40</v>
      </c>
      <c r="AX210" s="271">
        <v>80</v>
      </c>
      <c r="AY210" s="260">
        <v>5</v>
      </c>
      <c r="AZ210" s="271">
        <v>80</v>
      </c>
      <c r="BA210" s="276">
        <v>40</v>
      </c>
      <c r="BB210" s="276">
        <v>80</v>
      </c>
      <c r="BC210" s="276"/>
      <c r="BD210" s="276"/>
      <c r="BE210" s="276">
        <v>40</v>
      </c>
      <c r="BF210" s="276">
        <v>40</v>
      </c>
      <c r="BG210" s="260">
        <v>80</v>
      </c>
      <c r="BH210" s="271">
        <v>160</v>
      </c>
      <c r="BI210" s="276"/>
      <c r="BJ210" s="276"/>
      <c r="BK210" s="276"/>
      <c r="BL210" s="275"/>
      <c r="BM210" s="326">
        <v>369</v>
      </c>
      <c r="BN210" s="272">
        <v>80</v>
      </c>
      <c r="BO210" s="270">
        <v>160</v>
      </c>
      <c r="BP210" s="272"/>
      <c r="BQ210" s="260"/>
      <c r="BR210" s="260"/>
      <c r="BS210" s="260"/>
      <c r="BT210" s="260"/>
      <c r="BU210" s="260"/>
      <c r="BV210" s="260">
        <v>320</v>
      </c>
      <c r="BW210" s="260">
        <v>320</v>
      </c>
      <c r="BX210" s="260"/>
      <c r="BY210" s="260"/>
      <c r="BZ210" s="260"/>
      <c r="CA210" s="260"/>
      <c r="CB210" s="260"/>
      <c r="CC210" s="260"/>
      <c r="CD210" s="260">
        <v>320</v>
      </c>
      <c r="CE210" s="260">
        <v>320</v>
      </c>
      <c r="CF210" s="272"/>
      <c r="CG210" s="260"/>
      <c r="CH210" s="260"/>
      <c r="CI210" s="260"/>
      <c r="CJ210" s="260"/>
      <c r="CK210" s="260"/>
      <c r="CL210" s="260"/>
      <c r="CM210" s="260"/>
      <c r="CN210" s="260">
        <v>40</v>
      </c>
      <c r="CO210" s="260">
        <v>80</v>
      </c>
      <c r="CP210" s="260">
        <v>40</v>
      </c>
      <c r="CQ210" s="260">
        <v>40</v>
      </c>
      <c r="CR210" s="260">
        <v>20</v>
      </c>
      <c r="CS210" s="270">
        <v>20</v>
      </c>
      <c r="CT210" s="325">
        <v>369</v>
      </c>
      <c r="CU210" s="249">
        <f>Table2821115[[#This Row],[D28 - BR/18]]/Table2821115[[#This Row],[D0 - BR/18]]</f>
        <v>1</v>
      </c>
      <c r="CV210" s="248">
        <f>Table2821115[[#This Row],[D28 - KS/17]]/Table2821115[[#This Row],[D0 - KS/17]]</f>
        <v>1</v>
      </c>
      <c r="CW210" s="248">
        <f>Table2821115[[#This Row],[D28 - Phu/13]]/Table2821115[[#This Row],[D0 - Phu/13]]</f>
        <v>1</v>
      </c>
      <c r="CX210" s="248">
        <f>Table2821115[[#This Row],[D28 - CO/17]]/Table2821115[[#This Row],[D0 - CO/17]]</f>
        <v>1</v>
      </c>
      <c r="CY210" s="248">
        <f>LOG(Table2821115[[#This Row],[BR/18 Fold]],2)</f>
        <v>0</v>
      </c>
      <c r="CZ210" s="248">
        <f>LOG(Table2821115[[#This Row],[KS/17 Fold]],2)</f>
        <v>0</v>
      </c>
      <c r="DA210" s="248">
        <f>LOG(Table2821115[[#This Row],[Phu/13 Fold]],2)</f>
        <v>0</v>
      </c>
      <c r="DB210" s="248">
        <f>LOG(Table2821115[[#This Row],[CO/17 Fold]],2)</f>
        <v>0</v>
      </c>
      <c r="DC210" s="248">
        <f>SUM(Table2821115[[#This Row],[BR/18 Log2]:[CO/17 Log2]])</f>
        <v>0</v>
      </c>
    </row>
    <row r="211" spans="1:107" ht="24" customHeight="1">
      <c r="A211" s="318">
        <v>370</v>
      </c>
      <c r="B211" s="180">
        <v>22455</v>
      </c>
      <c r="C211" s="180">
        <v>43773</v>
      </c>
      <c r="D211" s="179">
        <v>58</v>
      </c>
      <c r="E211" s="4" t="s">
        <v>58</v>
      </c>
      <c r="F211" s="143" t="s">
        <v>116</v>
      </c>
      <c r="G211" s="142">
        <v>21.061628155428711</v>
      </c>
      <c r="H211" s="11" t="s">
        <v>59</v>
      </c>
      <c r="I211" s="277" t="s">
        <v>60</v>
      </c>
      <c r="J211" s="260">
        <v>5</v>
      </c>
      <c r="K211" s="260">
        <v>5</v>
      </c>
      <c r="L211" s="260"/>
      <c r="M211" s="260"/>
      <c r="N211" s="260"/>
      <c r="O211" s="260"/>
      <c r="P211" s="260"/>
      <c r="Q211" s="260"/>
      <c r="R211" s="260"/>
      <c r="S211" s="260"/>
      <c r="T211" s="260"/>
      <c r="U211" s="260"/>
      <c r="V211" s="260">
        <v>5</v>
      </c>
      <c r="W211" s="260">
        <v>5</v>
      </c>
      <c r="X211" s="260">
        <v>5</v>
      </c>
      <c r="Y211" s="260">
        <v>5</v>
      </c>
      <c r="Z211" s="260">
        <v>40</v>
      </c>
      <c r="AA211" s="260">
        <v>80</v>
      </c>
      <c r="AB211" s="260">
        <v>40</v>
      </c>
      <c r="AC211" s="260">
        <v>40</v>
      </c>
      <c r="AD211" s="260"/>
      <c r="AE211" s="260"/>
      <c r="AF211" s="260"/>
      <c r="AG211" s="260"/>
      <c r="AH211" s="195">
        <v>370</v>
      </c>
      <c r="AI211" s="272">
        <v>5</v>
      </c>
      <c r="AJ211" s="271">
        <v>10</v>
      </c>
      <c r="AK211" s="260"/>
      <c r="AL211" s="260"/>
      <c r="AM211" s="260"/>
      <c r="AN211" s="260"/>
      <c r="AO211" s="260"/>
      <c r="AP211" s="260"/>
      <c r="AQ211" s="260"/>
      <c r="AR211" s="260"/>
      <c r="AS211" s="260"/>
      <c r="AT211" s="260"/>
      <c r="AU211" s="260">
        <v>10</v>
      </c>
      <c r="AV211" s="271">
        <v>40</v>
      </c>
      <c r="AW211" s="260">
        <v>5</v>
      </c>
      <c r="AX211" s="271">
        <v>20</v>
      </c>
      <c r="AY211" s="260">
        <v>5</v>
      </c>
      <c r="AZ211" s="271">
        <v>5</v>
      </c>
      <c r="BA211" s="276">
        <v>5</v>
      </c>
      <c r="BB211" s="276">
        <v>20</v>
      </c>
      <c r="BC211" s="276"/>
      <c r="BD211" s="276"/>
      <c r="BE211" s="276">
        <v>5</v>
      </c>
      <c r="BF211" s="276">
        <v>10</v>
      </c>
      <c r="BG211" s="260">
        <v>20</v>
      </c>
      <c r="BH211" s="271">
        <v>20</v>
      </c>
      <c r="BI211" s="276"/>
      <c r="BJ211" s="276"/>
      <c r="BK211" s="276"/>
      <c r="BL211" s="275"/>
      <c r="BM211" s="316">
        <v>370</v>
      </c>
      <c r="BN211" s="272">
        <v>640</v>
      </c>
      <c r="BO211" s="270">
        <v>640</v>
      </c>
      <c r="BP211" s="272"/>
      <c r="BQ211" s="260"/>
      <c r="BR211" s="260"/>
      <c r="BS211" s="260"/>
      <c r="BT211" s="260"/>
      <c r="BU211" s="260"/>
      <c r="BV211" s="260">
        <v>320</v>
      </c>
      <c r="BW211" s="260">
        <v>320</v>
      </c>
      <c r="BX211" s="260"/>
      <c r="BY211" s="260"/>
      <c r="BZ211" s="260"/>
      <c r="CA211" s="260"/>
      <c r="CB211" s="260"/>
      <c r="CC211" s="260"/>
      <c r="CD211" s="260">
        <v>320</v>
      </c>
      <c r="CE211" s="260">
        <v>320</v>
      </c>
      <c r="CF211" s="272"/>
      <c r="CG211" s="260"/>
      <c r="CH211" s="260"/>
      <c r="CI211" s="260"/>
      <c r="CJ211" s="260"/>
      <c r="CK211" s="260"/>
      <c r="CL211" s="260"/>
      <c r="CM211" s="260"/>
      <c r="CN211" s="260">
        <v>160</v>
      </c>
      <c r="CO211" s="260">
        <v>160</v>
      </c>
      <c r="CP211" s="260">
        <v>320</v>
      </c>
      <c r="CQ211" s="260">
        <v>320</v>
      </c>
      <c r="CR211" s="260">
        <v>320</v>
      </c>
      <c r="CS211" s="270">
        <v>160</v>
      </c>
      <c r="CT211" s="315">
        <v>370</v>
      </c>
      <c r="CU211" s="249">
        <f>Table2821115[[#This Row],[D28 - BR/18]]/Table2821115[[#This Row],[D0 - BR/18]]</f>
        <v>1</v>
      </c>
      <c r="CV211" s="248">
        <f>Table2821115[[#This Row],[D28 - KS/17]]/Table2821115[[#This Row],[D0 - KS/17]]</f>
        <v>2</v>
      </c>
      <c r="CW211" s="248">
        <f>Table2821115[[#This Row],[D28 - Phu/13]]/Table2821115[[#This Row],[D0 - Phu/13]]</f>
        <v>1</v>
      </c>
      <c r="CX211" s="248">
        <f>Table2821115[[#This Row],[D28 - CO/17]]/Table2821115[[#This Row],[D0 - CO/17]]</f>
        <v>1</v>
      </c>
      <c r="CY211" s="248">
        <f>LOG(Table2821115[[#This Row],[BR/18 Fold]],2)</f>
        <v>0</v>
      </c>
      <c r="CZ211" s="248">
        <f>LOG(Table2821115[[#This Row],[KS/17 Fold]],2)</f>
        <v>1</v>
      </c>
      <c r="DA211" s="248">
        <f>LOG(Table2821115[[#This Row],[Phu/13 Fold]],2)</f>
        <v>0</v>
      </c>
      <c r="DB211" s="248">
        <f>LOG(Table2821115[[#This Row],[CO/17 Fold]],2)</f>
        <v>0</v>
      </c>
      <c r="DC211" s="248">
        <f>SUM(Table2821115[[#This Row],[BR/18 Log2]:[CO/17 Log2]])</f>
        <v>1</v>
      </c>
    </row>
    <row r="212" spans="1:107" ht="24" customHeight="1">
      <c r="A212" s="324">
        <v>371</v>
      </c>
      <c r="B212" s="190">
        <v>27067</v>
      </c>
      <c r="C212" s="190">
        <v>43773</v>
      </c>
      <c r="D212" s="189">
        <v>45</v>
      </c>
      <c r="E212" s="3" t="s">
        <v>61</v>
      </c>
      <c r="F212" s="143" t="s">
        <v>116</v>
      </c>
      <c r="G212" s="142">
        <v>25.468007654739839</v>
      </c>
      <c r="H212" s="11" t="s">
        <v>59</v>
      </c>
      <c r="I212" s="277" t="s">
        <v>60</v>
      </c>
      <c r="J212" s="260">
        <v>5</v>
      </c>
      <c r="K212" s="260">
        <v>5</v>
      </c>
      <c r="L212" s="260"/>
      <c r="M212" s="260"/>
      <c r="N212" s="260"/>
      <c r="O212" s="260"/>
      <c r="P212" s="260"/>
      <c r="Q212" s="260"/>
      <c r="R212" s="260"/>
      <c r="S212" s="260"/>
      <c r="T212" s="260"/>
      <c r="U212" s="260"/>
      <c r="V212" s="260">
        <v>5</v>
      </c>
      <c r="W212" s="260">
        <v>10</v>
      </c>
      <c r="X212" s="260">
        <v>5</v>
      </c>
      <c r="Y212" s="260">
        <v>10</v>
      </c>
      <c r="Z212" s="260">
        <v>5</v>
      </c>
      <c r="AA212" s="260">
        <v>10</v>
      </c>
      <c r="AB212" s="260">
        <v>5</v>
      </c>
      <c r="AC212" s="260">
        <v>5</v>
      </c>
      <c r="AD212" s="260"/>
      <c r="AE212" s="260"/>
      <c r="AF212" s="260"/>
      <c r="AG212" s="260"/>
      <c r="AH212" s="198">
        <v>371</v>
      </c>
      <c r="AI212" s="272">
        <v>10</v>
      </c>
      <c r="AJ212" s="271">
        <v>10</v>
      </c>
      <c r="AK212" s="260"/>
      <c r="AL212" s="260"/>
      <c r="AM212" s="260"/>
      <c r="AN212" s="260"/>
      <c r="AO212" s="260"/>
      <c r="AP212" s="260"/>
      <c r="AQ212" s="260"/>
      <c r="AR212" s="260"/>
      <c r="AS212" s="260"/>
      <c r="AT212" s="260"/>
      <c r="AU212" s="260">
        <v>80</v>
      </c>
      <c r="AV212" s="271">
        <v>80</v>
      </c>
      <c r="AW212" s="260">
        <v>80</v>
      </c>
      <c r="AX212" s="271">
        <v>80</v>
      </c>
      <c r="AY212" s="260">
        <v>40</v>
      </c>
      <c r="AZ212" s="271">
        <v>40</v>
      </c>
      <c r="BA212" s="276">
        <v>40</v>
      </c>
      <c r="BB212" s="276">
        <v>40</v>
      </c>
      <c r="BC212" s="276"/>
      <c r="BD212" s="276"/>
      <c r="BE212" s="276">
        <v>40</v>
      </c>
      <c r="BF212" s="276">
        <v>40</v>
      </c>
      <c r="BG212" s="260">
        <v>80</v>
      </c>
      <c r="BH212" s="271">
        <v>80</v>
      </c>
      <c r="BI212" s="276"/>
      <c r="BJ212" s="276"/>
      <c r="BK212" s="276"/>
      <c r="BL212" s="275"/>
      <c r="BM212" s="323">
        <v>371</v>
      </c>
      <c r="BN212" s="272">
        <v>40</v>
      </c>
      <c r="BO212" s="270">
        <v>80</v>
      </c>
      <c r="BP212" s="272"/>
      <c r="BQ212" s="260"/>
      <c r="BR212" s="260"/>
      <c r="BS212" s="260"/>
      <c r="BT212" s="260"/>
      <c r="BU212" s="260"/>
      <c r="BV212" s="260">
        <v>40</v>
      </c>
      <c r="BW212" s="260">
        <v>40</v>
      </c>
      <c r="BX212" s="260"/>
      <c r="BY212" s="260"/>
      <c r="BZ212" s="260"/>
      <c r="CA212" s="260"/>
      <c r="CB212" s="260"/>
      <c r="CC212" s="260"/>
      <c r="CD212" s="260">
        <v>80</v>
      </c>
      <c r="CE212" s="260">
        <v>80</v>
      </c>
      <c r="CF212" s="272"/>
      <c r="CG212" s="260"/>
      <c r="CH212" s="260"/>
      <c r="CI212" s="260"/>
      <c r="CJ212" s="260"/>
      <c r="CK212" s="260"/>
      <c r="CL212" s="260"/>
      <c r="CM212" s="260"/>
      <c r="CN212" s="260">
        <v>20</v>
      </c>
      <c r="CO212" s="260">
        <v>20</v>
      </c>
      <c r="CP212" s="260">
        <v>40</v>
      </c>
      <c r="CQ212" s="260">
        <v>40</v>
      </c>
      <c r="CR212" s="260">
        <v>20</v>
      </c>
      <c r="CS212" s="270">
        <v>40</v>
      </c>
      <c r="CT212" s="322">
        <v>371</v>
      </c>
      <c r="CU212" s="249">
        <f>Table2821115[[#This Row],[D28 - BR/18]]/Table2821115[[#This Row],[D0 - BR/18]]</f>
        <v>1</v>
      </c>
      <c r="CV212" s="248">
        <f>Table2821115[[#This Row],[D28 - KS/17]]/Table2821115[[#This Row],[D0 - KS/17]]</f>
        <v>1</v>
      </c>
      <c r="CW212" s="248">
        <f>Table2821115[[#This Row],[D28 - Phu/13]]/Table2821115[[#This Row],[D0 - Phu/13]]</f>
        <v>1</v>
      </c>
      <c r="CX212" s="248">
        <f>Table2821115[[#This Row],[D28 - CO/17]]/Table2821115[[#This Row],[D0 - CO/17]]</f>
        <v>1</v>
      </c>
      <c r="CY212" s="248">
        <f>LOG(Table2821115[[#This Row],[BR/18 Fold]],2)</f>
        <v>0</v>
      </c>
      <c r="CZ212" s="248">
        <f>LOG(Table2821115[[#This Row],[KS/17 Fold]],2)</f>
        <v>0</v>
      </c>
      <c r="DA212" s="248">
        <f>LOG(Table2821115[[#This Row],[Phu/13 Fold]],2)</f>
        <v>0</v>
      </c>
      <c r="DB212" s="248">
        <f>LOG(Table2821115[[#This Row],[CO/17 Fold]],2)</f>
        <v>0</v>
      </c>
      <c r="DC212" s="248">
        <f>SUM(Table2821115[[#This Row],[BR/18 Log2]:[CO/17 Log2]])</f>
        <v>0</v>
      </c>
    </row>
    <row r="213" spans="1:107" ht="24" customHeight="1">
      <c r="A213" s="318">
        <v>372</v>
      </c>
      <c r="B213" s="180">
        <v>24577</v>
      </c>
      <c r="C213" s="180">
        <v>43781</v>
      </c>
      <c r="D213" s="179">
        <v>52</v>
      </c>
      <c r="E213" s="3" t="s">
        <v>61</v>
      </c>
      <c r="F213" s="143" t="s">
        <v>116</v>
      </c>
      <c r="G213" s="142">
        <v>22.517434095154389</v>
      </c>
      <c r="H213" s="11" t="s">
        <v>59</v>
      </c>
      <c r="I213" s="277" t="s">
        <v>60</v>
      </c>
      <c r="J213" s="260">
        <v>5</v>
      </c>
      <c r="K213" s="260">
        <v>5</v>
      </c>
      <c r="L213" s="260"/>
      <c r="M213" s="260"/>
      <c r="N213" s="260"/>
      <c r="O213" s="260"/>
      <c r="P213" s="260"/>
      <c r="Q213" s="260"/>
      <c r="R213" s="260"/>
      <c r="S213" s="260"/>
      <c r="T213" s="260"/>
      <c r="U213" s="260"/>
      <c r="V213" s="260">
        <v>5</v>
      </c>
      <c r="W213" s="260">
        <v>5</v>
      </c>
      <c r="X213" s="260">
        <v>10</v>
      </c>
      <c r="Y213" s="260">
        <v>10</v>
      </c>
      <c r="Z213" s="260">
        <v>20</v>
      </c>
      <c r="AA213" s="260">
        <v>20</v>
      </c>
      <c r="AB213" s="260">
        <v>5</v>
      </c>
      <c r="AC213" s="260">
        <v>10</v>
      </c>
      <c r="AD213" s="260"/>
      <c r="AE213" s="260"/>
      <c r="AF213" s="260"/>
      <c r="AG213" s="260"/>
      <c r="AH213" s="195">
        <v>372</v>
      </c>
      <c r="AI213" s="272">
        <v>10</v>
      </c>
      <c r="AJ213" s="271">
        <v>10</v>
      </c>
      <c r="AK213" s="260"/>
      <c r="AL213" s="260"/>
      <c r="AM213" s="260"/>
      <c r="AN213" s="260"/>
      <c r="AO213" s="260"/>
      <c r="AP213" s="260"/>
      <c r="AQ213" s="260"/>
      <c r="AR213" s="260"/>
      <c r="AS213" s="260"/>
      <c r="AT213" s="260"/>
      <c r="AU213" s="260">
        <v>20</v>
      </c>
      <c r="AV213" s="271">
        <v>20</v>
      </c>
      <c r="AW213" s="260">
        <v>10</v>
      </c>
      <c r="AX213" s="271">
        <v>20</v>
      </c>
      <c r="AY213" s="260">
        <v>5</v>
      </c>
      <c r="AZ213" s="271">
        <v>5</v>
      </c>
      <c r="BA213" s="276">
        <v>5</v>
      </c>
      <c r="BB213" s="276">
        <v>5</v>
      </c>
      <c r="BC213" s="276"/>
      <c r="BD213" s="276"/>
      <c r="BE213" s="276">
        <v>5</v>
      </c>
      <c r="BF213" s="276">
        <v>5</v>
      </c>
      <c r="BG213" s="260">
        <v>40</v>
      </c>
      <c r="BH213" s="271">
        <v>5</v>
      </c>
      <c r="BI213" s="276"/>
      <c r="BJ213" s="276"/>
      <c r="BK213" s="276"/>
      <c r="BL213" s="275"/>
      <c r="BM213" s="316">
        <v>372</v>
      </c>
      <c r="BN213" s="272">
        <v>20</v>
      </c>
      <c r="BO213" s="270">
        <v>40</v>
      </c>
      <c r="BP213" s="272"/>
      <c r="BQ213" s="260"/>
      <c r="BR213" s="260"/>
      <c r="BS213" s="260"/>
      <c r="BT213" s="260"/>
      <c r="BU213" s="260"/>
      <c r="BV213" s="260">
        <v>20</v>
      </c>
      <c r="BW213" s="260">
        <v>20</v>
      </c>
      <c r="BX213" s="260"/>
      <c r="BY213" s="260"/>
      <c r="BZ213" s="260"/>
      <c r="CA213" s="260"/>
      <c r="CB213" s="260"/>
      <c r="CC213" s="260"/>
      <c r="CD213" s="260">
        <v>20</v>
      </c>
      <c r="CE213" s="260">
        <v>20</v>
      </c>
      <c r="CF213" s="272"/>
      <c r="CG213" s="260"/>
      <c r="CH213" s="260"/>
      <c r="CI213" s="260"/>
      <c r="CJ213" s="260"/>
      <c r="CK213" s="260"/>
      <c r="CL213" s="260"/>
      <c r="CM213" s="260"/>
      <c r="CN213" s="260">
        <v>20</v>
      </c>
      <c r="CO213" s="260">
        <v>20</v>
      </c>
      <c r="CP213" s="260">
        <v>40</v>
      </c>
      <c r="CQ213" s="260">
        <v>40</v>
      </c>
      <c r="CR213" s="260">
        <v>40</v>
      </c>
      <c r="CS213" s="270">
        <v>40</v>
      </c>
      <c r="CT213" s="315">
        <v>372</v>
      </c>
      <c r="CU213" s="249">
        <f>Table2821115[[#This Row],[D28 - BR/18]]/Table2821115[[#This Row],[D0 - BR/18]]</f>
        <v>2</v>
      </c>
      <c r="CV213" s="248">
        <f>Table2821115[[#This Row],[D28 - KS/17]]/Table2821115[[#This Row],[D0 - KS/17]]</f>
        <v>1</v>
      </c>
      <c r="CW213" s="248">
        <f>Table2821115[[#This Row],[D28 - Phu/13]]/Table2821115[[#This Row],[D0 - Phu/13]]</f>
        <v>1</v>
      </c>
      <c r="CX213" s="248">
        <f>Table2821115[[#This Row],[D28 - CO/17]]/Table2821115[[#This Row],[D0 - CO/17]]</f>
        <v>1</v>
      </c>
      <c r="CY213" s="248">
        <f>LOG(Table2821115[[#This Row],[BR/18 Fold]],2)</f>
        <v>1</v>
      </c>
      <c r="CZ213" s="248">
        <f>LOG(Table2821115[[#This Row],[KS/17 Fold]],2)</f>
        <v>0</v>
      </c>
      <c r="DA213" s="248">
        <f>LOG(Table2821115[[#This Row],[Phu/13 Fold]],2)</f>
        <v>0</v>
      </c>
      <c r="DB213" s="248">
        <f>LOG(Table2821115[[#This Row],[CO/17 Fold]],2)</f>
        <v>0</v>
      </c>
      <c r="DC213" s="248">
        <f>SUM(Table2821115[[#This Row],[BR/18 Log2]:[CO/17 Log2]])</f>
        <v>1</v>
      </c>
    </row>
    <row r="214" spans="1:107" ht="24" customHeight="1">
      <c r="A214" s="318">
        <v>373</v>
      </c>
      <c r="B214" s="180">
        <v>24904</v>
      </c>
      <c r="C214" s="180">
        <v>43777</v>
      </c>
      <c r="D214" s="179">
        <v>51</v>
      </c>
      <c r="E214" s="3" t="s">
        <v>61</v>
      </c>
      <c r="F214" s="143" t="s">
        <v>116</v>
      </c>
      <c r="G214" s="142">
        <v>22.977394408090426</v>
      </c>
      <c r="H214" s="11" t="s">
        <v>59</v>
      </c>
      <c r="I214" s="277" t="s">
        <v>60</v>
      </c>
      <c r="J214" s="260">
        <v>5</v>
      </c>
      <c r="K214" s="260">
        <v>5</v>
      </c>
      <c r="L214" s="260"/>
      <c r="M214" s="260"/>
      <c r="N214" s="260"/>
      <c r="O214" s="260"/>
      <c r="P214" s="260"/>
      <c r="Q214" s="260"/>
      <c r="R214" s="260"/>
      <c r="S214" s="260"/>
      <c r="T214" s="260"/>
      <c r="U214" s="260"/>
      <c r="V214" s="260">
        <v>5</v>
      </c>
      <c r="W214" s="260">
        <v>5</v>
      </c>
      <c r="X214" s="260">
        <v>10</v>
      </c>
      <c r="Y214" s="260">
        <v>10</v>
      </c>
      <c r="Z214" s="260">
        <v>10</v>
      </c>
      <c r="AA214" s="260">
        <v>40</v>
      </c>
      <c r="AB214" s="260">
        <v>10</v>
      </c>
      <c r="AC214" s="260">
        <v>10</v>
      </c>
      <c r="AD214" s="260"/>
      <c r="AE214" s="260"/>
      <c r="AF214" s="260"/>
      <c r="AG214" s="260"/>
      <c r="AH214" s="195">
        <v>373</v>
      </c>
      <c r="AI214" s="272">
        <v>20</v>
      </c>
      <c r="AJ214" s="271">
        <v>20</v>
      </c>
      <c r="AK214" s="260"/>
      <c r="AL214" s="260"/>
      <c r="AM214" s="260"/>
      <c r="AN214" s="260"/>
      <c r="AO214" s="260"/>
      <c r="AP214" s="260"/>
      <c r="AQ214" s="260"/>
      <c r="AR214" s="260"/>
      <c r="AS214" s="260"/>
      <c r="AT214" s="260"/>
      <c r="AU214" s="260">
        <v>80</v>
      </c>
      <c r="AV214" s="271">
        <v>160</v>
      </c>
      <c r="AW214" s="260">
        <v>40</v>
      </c>
      <c r="AX214" s="271">
        <v>80</v>
      </c>
      <c r="AY214" s="260">
        <v>40</v>
      </c>
      <c r="AZ214" s="271">
        <v>40</v>
      </c>
      <c r="BA214" s="276">
        <v>80</v>
      </c>
      <c r="BB214" s="276">
        <v>80</v>
      </c>
      <c r="BC214" s="276"/>
      <c r="BD214" s="276"/>
      <c r="BE214" s="276">
        <v>10</v>
      </c>
      <c r="BF214" s="276">
        <v>20</v>
      </c>
      <c r="BG214" s="260">
        <v>80</v>
      </c>
      <c r="BH214" s="271">
        <v>80</v>
      </c>
      <c r="BI214" s="276"/>
      <c r="BJ214" s="276"/>
      <c r="BK214" s="276"/>
      <c r="BL214" s="275"/>
      <c r="BM214" s="316">
        <v>373</v>
      </c>
      <c r="BN214" s="272">
        <v>80</v>
      </c>
      <c r="BO214" s="270">
        <v>80</v>
      </c>
      <c r="BP214" s="272"/>
      <c r="BQ214" s="260"/>
      <c r="BR214" s="260"/>
      <c r="BS214" s="260"/>
      <c r="BT214" s="260"/>
      <c r="BU214" s="260"/>
      <c r="BV214" s="260">
        <v>160</v>
      </c>
      <c r="BW214" s="260">
        <v>160</v>
      </c>
      <c r="BX214" s="260"/>
      <c r="BY214" s="260"/>
      <c r="BZ214" s="260"/>
      <c r="CA214" s="260"/>
      <c r="CB214" s="260"/>
      <c r="CC214" s="260"/>
      <c r="CD214" s="260">
        <v>80</v>
      </c>
      <c r="CE214" s="260">
        <v>80</v>
      </c>
      <c r="CF214" s="272"/>
      <c r="CG214" s="260"/>
      <c r="CH214" s="260"/>
      <c r="CI214" s="260"/>
      <c r="CJ214" s="260"/>
      <c r="CK214" s="260"/>
      <c r="CL214" s="260"/>
      <c r="CM214" s="260"/>
      <c r="CN214" s="260">
        <v>160</v>
      </c>
      <c r="CO214" s="260">
        <v>160</v>
      </c>
      <c r="CP214" s="260">
        <v>320</v>
      </c>
      <c r="CQ214" s="260">
        <v>320</v>
      </c>
      <c r="CR214" s="260">
        <v>160</v>
      </c>
      <c r="CS214" s="270">
        <v>160</v>
      </c>
      <c r="CT214" s="315">
        <v>373</v>
      </c>
      <c r="CU214" s="249">
        <f>Table2821115[[#This Row],[D28 - BR/18]]/Table2821115[[#This Row],[D0 - BR/18]]</f>
        <v>1</v>
      </c>
      <c r="CV214" s="248">
        <f>Table2821115[[#This Row],[D28 - KS/17]]/Table2821115[[#This Row],[D0 - KS/17]]</f>
        <v>2</v>
      </c>
      <c r="CW214" s="248">
        <f>Table2821115[[#This Row],[D28 - Phu/13]]/Table2821115[[#This Row],[D0 - Phu/13]]</f>
        <v>1</v>
      </c>
      <c r="CX214" s="248">
        <f>Table2821115[[#This Row],[D28 - CO/17]]/Table2821115[[#This Row],[D0 - CO/17]]</f>
        <v>1</v>
      </c>
      <c r="CY214" s="248">
        <f>LOG(Table2821115[[#This Row],[BR/18 Fold]],2)</f>
        <v>0</v>
      </c>
      <c r="CZ214" s="248">
        <f>LOG(Table2821115[[#This Row],[KS/17 Fold]],2)</f>
        <v>1</v>
      </c>
      <c r="DA214" s="248">
        <f>LOG(Table2821115[[#This Row],[Phu/13 Fold]],2)</f>
        <v>0</v>
      </c>
      <c r="DB214" s="248">
        <f>LOG(Table2821115[[#This Row],[CO/17 Fold]],2)</f>
        <v>0</v>
      </c>
      <c r="DC214" s="248">
        <f>SUM(Table2821115[[#This Row],[BR/18 Log2]:[CO/17 Log2]])</f>
        <v>1</v>
      </c>
    </row>
    <row r="215" spans="1:107" ht="24" customHeight="1">
      <c r="A215" s="318">
        <v>374</v>
      </c>
      <c r="B215" s="180">
        <v>22809</v>
      </c>
      <c r="C215" s="180">
        <v>43781</v>
      </c>
      <c r="D215" s="179">
        <v>57</v>
      </c>
      <c r="E215" s="3" t="s">
        <v>61</v>
      </c>
      <c r="F215" s="143" t="s">
        <v>125</v>
      </c>
      <c r="G215" s="142">
        <v>35.483499334946224</v>
      </c>
      <c r="H215" s="11" t="s">
        <v>59</v>
      </c>
      <c r="I215" s="277" t="s">
        <v>60</v>
      </c>
      <c r="J215" s="260">
        <v>5</v>
      </c>
      <c r="K215" s="260">
        <v>5</v>
      </c>
      <c r="L215" s="260"/>
      <c r="M215" s="260"/>
      <c r="N215" s="260"/>
      <c r="O215" s="260"/>
      <c r="P215" s="260"/>
      <c r="Q215" s="260"/>
      <c r="R215" s="260"/>
      <c r="S215" s="260"/>
      <c r="T215" s="260"/>
      <c r="U215" s="260"/>
      <c r="V215" s="260">
        <v>5</v>
      </c>
      <c r="W215" s="260">
        <v>5</v>
      </c>
      <c r="X215" s="260">
        <v>5</v>
      </c>
      <c r="Y215" s="260">
        <v>5</v>
      </c>
      <c r="Z215" s="260">
        <v>10</v>
      </c>
      <c r="AA215" s="260">
        <v>20</v>
      </c>
      <c r="AB215" s="260">
        <v>5</v>
      </c>
      <c r="AC215" s="260">
        <v>5</v>
      </c>
      <c r="AD215" s="260"/>
      <c r="AE215" s="260"/>
      <c r="AF215" s="260"/>
      <c r="AG215" s="260"/>
      <c r="AH215" s="195">
        <v>374</v>
      </c>
      <c r="AI215" s="272">
        <v>20</v>
      </c>
      <c r="AJ215" s="271">
        <v>20</v>
      </c>
      <c r="AK215" s="260"/>
      <c r="AL215" s="260"/>
      <c r="AM215" s="260"/>
      <c r="AN215" s="260"/>
      <c r="AO215" s="260"/>
      <c r="AP215" s="260"/>
      <c r="AQ215" s="260"/>
      <c r="AR215" s="260"/>
      <c r="AS215" s="260"/>
      <c r="AT215" s="260"/>
      <c r="AU215" s="260">
        <v>20</v>
      </c>
      <c r="AV215" s="271">
        <v>40</v>
      </c>
      <c r="AW215" s="260">
        <v>20</v>
      </c>
      <c r="AX215" s="271">
        <v>40</v>
      </c>
      <c r="AY215" s="260">
        <v>5</v>
      </c>
      <c r="AZ215" s="271">
        <v>40</v>
      </c>
      <c r="BA215" s="276">
        <v>20</v>
      </c>
      <c r="BB215" s="276">
        <v>40</v>
      </c>
      <c r="BC215" s="276"/>
      <c r="BD215" s="276"/>
      <c r="BE215" s="276">
        <v>10</v>
      </c>
      <c r="BF215" s="276">
        <v>20</v>
      </c>
      <c r="BG215" s="260">
        <v>40</v>
      </c>
      <c r="BH215" s="271">
        <v>80</v>
      </c>
      <c r="BI215" s="276"/>
      <c r="BJ215" s="276"/>
      <c r="BK215" s="276"/>
      <c r="BL215" s="275"/>
      <c r="BM215" s="316">
        <v>374</v>
      </c>
      <c r="BN215" s="272">
        <v>20</v>
      </c>
      <c r="BO215" s="270">
        <v>40</v>
      </c>
      <c r="BP215" s="272"/>
      <c r="BQ215" s="260"/>
      <c r="BR215" s="260"/>
      <c r="BS215" s="260"/>
      <c r="BT215" s="260"/>
      <c r="BU215" s="260"/>
      <c r="BV215" s="260">
        <v>10</v>
      </c>
      <c r="BW215" s="260">
        <v>80</v>
      </c>
      <c r="BX215" s="260"/>
      <c r="BY215" s="260"/>
      <c r="BZ215" s="260"/>
      <c r="CA215" s="260"/>
      <c r="CB215" s="260"/>
      <c r="CC215" s="260"/>
      <c r="CD215" s="260">
        <v>80</v>
      </c>
      <c r="CE215" s="260">
        <v>80</v>
      </c>
      <c r="CF215" s="272"/>
      <c r="CG215" s="260"/>
      <c r="CH215" s="260"/>
      <c r="CI215" s="260"/>
      <c r="CJ215" s="260"/>
      <c r="CK215" s="260"/>
      <c r="CL215" s="260"/>
      <c r="CM215" s="260"/>
      <c r="CN215" s="260">
        <v>10</v>
      </c>
      <c r="CO215" s="260">
        <v>40</v>
      </c>
      <c r="CP215" s="260">
        <v>40</v>
      </c>
      <c r="CQ215" s="260">
        <v>40</v>
      </c>
      <c r="CR215" s="260">
        <v>40</v>
      </c>
      <c r="CS215" s="270">
        <v>40</v>
      </c>
      <c r="CT215" s="315">
        <v>374</v>
      </c>
      <c r="CU215" s="249">
        <f>Table2821115[[#This Row],[D28 - BR/18]]/Table2821115[[#This Row],[D0 - BR/18]]</f>
        <v>1</v>
      </c>
      <c r="CV215" s="248">
        <f>Table2821115[[#This Row],[D28 - KS/17]]/Table2821115[[#This Row],[D0 - KS/17]]</f>
        <v>2</v>
      </c>
      <c r="CW215" s="248">
        <f>Table2821115[[#This Row],[D28 - Phu/13]]/Table2821115[[#This Row],[D0 - Phu/13]]</f>
        <v>1</v>
      </c>
      <c r="CX215" s="248">
        <f>Table2821115[[#This Row],[D28 - CO/17]]/Table2821115[[#This Row],[D0 - CO/17]]</f>
        <v>1</v>
      </c>
      <c r="CY215" s="248">
        <f>LOG(Table2821115[[#This Row],[BR/18 Fold]],2)</f>
        <v>0</v>
      </c>
      <c r="CZ215" s="248">
        <f>LOG(Table2821115[[#This Row],[KS/17 Fold]],2)</f>
        <v>1</v>
      </c>
      <c r="DA215" s="248">
        <f>LOG(Table2821115[[#This Row],[Phu/13 Fold]],2)</f>
        <v>0</v>
      </c>
      <c r="DB215" s="248">
        <f>LOG(Table2821115[[#This Row],[CO/17 Fold]],2)</f>
        <v>0</v>
      </c>
      <c r="DC215" s="248">
        <f>SUM(Table2821115[[#This Row],[BR/18 Log2]:[CO/17 Log2]])</f>
        <v>1</v>
      </c>
    </row>
    <row r="216" spans="1:107" ht="24" customHeight="1">
      <c r="A216" s="318">
        <v>375</v>
      </c>
      <c r="B216" s="180">
        <v>20550</v>
      </c>
      <c r="C216" s="180">
        <v>43783</v>
      </c>
      <c r="D216" s="179">
        <v>63</v>
      </c>
      <c r="E216" s="4" t="s">
        <v>58</v>
      </c>
      <c r="F216" s="143" t="s">
        <v>116</v>
      </c>
      <c r="G216" s="142">
        <v>32.315340909090907</v>
      </c>
      <c r="H216" s="11" t="s">
        <v>59</v>
      </c>
      <c r="I216" s="277" t="s">
        <v>60</v>
      </c>
      <c r="J216" s="260">
        <v>5</v>
      </c>
      <c r="K216" s="260">
        <v>5</v>
      </c>
      <c r="L216" s="260"/>
      <c r="M216" s="260"/>
      <c r="N216" s="260"/>
      <c r="O216" s="260"/>
      <c r="P216" s="260"/>
      <c r="Q216" s="260"/>
      <c r="R216" s="260"/>
      <c r="S216" s="260"/>
      <c r="T216" s="260"/>
      <c r="U216" s="260"/>
      <c r="V216" s="260">
        <v>5</v>
      </c>
      <c r="W216" s="260">
        <v>5</v>
      </c>
      <c r="X216" s="260">
        <v>20</v>
      </c>
      <c r="Y216" s="260">
        <v>20</v>
      </c>
      <c r="Z216" s="260">
        <v>40</v>
      </c>
      <c r="AA216" s="260">
        <v>40</v>
      </c>
      <c r="AB216" s="260">
        <v>20</v>
      </c>
      <c r="AC216" s="260">
        <v>40</v>
      </c>
      <c r="AD216" s="260"/>
      <c r="AE216" s="260"/>
      <c r="AF216" s="260"/>
      <c r="AG216" s="260"/>
      <c r="AH216" s="195">
        <v>375</v>
      </c>
      <c r="AI216" s="272">
        <v>20</v>
      </c>
      <c r="AJ216" s="271">
        <v>20</v>
      </c>
      <c r="AK216" s="260"/>
      <c r="AL216" s="260"/>
      <c r="AM216" s="260"/>
      <c r="AN216" s="260"/>
      <c r="AO216" s="260"/>
      <c r="AP216" s="260"/>
      <c r="AQ216" s="260"/>
      <c r="AR216" s="260"/>
      <c r="AS216" s="260"/>
      <c r="AT216" s="260"/>
      <c r="AU216" s="260">
        <v>40</v>
      </c>
      <c r="AV216" s="271">
        <v>40</v>
      </c>
      <c r="AW216" s="260">
        <v>160</v>
      </c>
      <c r="AX216" s="271">
        <v>20</v>
      </c>
      <c r="AY216" s="260">
        <v>5</v>
      </c>
      <c r="AZ216" s="271">
        <v>5</v>
      </c>
      <c r="BA216" s="276">
        <v>40</v>
      </c>
      <c r="BB216" s="276">
        <v>40</v>
      </c>
      <c r="BC216" s="276"/>
      <c r="BD216" s="276"/>
      <c r="BE216" s="276">
        <v>5</v>
      </c>
      <c r="BF216" s="276">
        <v>10</v>
      </c>
      <c r="BG216" s="260">
        <v>40</v>
      </c>
      <c r="BH216" s="271">
        <v>40</v>
      </c>
      <c r="BI216" s="276"/>
      <c r="BJ216" s="276"/>
      <c r="BK216" s="276"/>
      <c r="BL216" s="275"/>
      <c r="BM216" s="316">
        <v>375</v>
      </c>
      <c r="BN216" s="272">
        <v>160</v>
      </c>
      <c r="BO216" s="270">
        <v>160</v>
      </c>
      <c r="BP216" s="272"/>
      <c r="BQ216" s="260"/>
      <c r="BR216" s="260"/>
      <c r="BS216" s="260"/>
      <c r="BT216" s="260"/>
      <c r="BU216" s="260"/>
      <c r="BV216" s="260">
        <v>160</v>
      </c>
      <c r="BW216" s="260">
        <v>160</v>
      </c>
      <c r="BX216" s="260"/>
      <c r="BY216" s="260"/>
      <c r="BZ216" s="260"/>
      <c r="CA216" s="260"/>
      <c r="CB216" s="260"/>
      <c r="CC216" s="260"/>
      <c r="CD216" s="260">
        <v>320</v>
      </c>
      <c r="CE216" s="260">
        <v>160</v>
      </c>
      <c r="CF216" s="272"/>
      <c r="CG216" s="260"/>
      <c r="CH216" s="260"/>
      <c r="CI216" s="260"/>
      <c r="CJ216" s="260"/>
      <c r="CK216" s="260"/>
      <c r="CL216" s="260"/>
      <c r="CM216" s="260"/>
      <c r="CN216" s="260">
        <v>80</v>
      </c>
      <c r="CO216" s="260">
        <v>80</v>
      </c>
      <c r="CP216" s="260">
        <v>160</v>
      </c>
      <c r="CQ216" s="260">
        <v>160</v>
      </c>
      <c r="CR216" s="260">
        <v>80</v>
      </c>
      <c r="CS216" s="270">
        <v>80</v>
      </c>
      <c r="CT216" s="315">
        <v>375</v>
      </c>
      <c r="CU216" s="249">
        <f>Table2821115[[#This Row],[D28 - BR/18]]/Table2821115[[#This Row],[D0 - BR/18]]</f>
        <v>2</v>
      </c>
      <c r="CV216" s="248">
        <f>Table2821115[[#This Row],[D28 - KS/17]]/Table2821115[[#This Row],[D0 - KS/17]]</f>
        <v>2</v>
      </c>
      <c r="CW216" s="248">
        <f>Table2821115[[#This Row],[D28 - Phu/13]]/Table2821115[[#This Row],[D0 - Phu/13]]</f>
        <v>0.5</v>
      </c>
      <c r="CX216" s="248">
        <f>Table2821115[[#This Row],[D28 - CO/17]]/Table2821115[[#This Row],[D0 - CO/17]]</f>
        <v>1</v>
      </c>
      <c r="CY216" s="248">
        <f>LOG(Table2821115[[#This Row],[BR/18 Fold]],2)</f>
        <v>1</v>
      </c>
      <c r="CZ216" s="248">
        <f>LOG(Table2821115[[#This Row],[KS/17 Fold]],2)</f>
        <v>1</v>
      </c>
      <c r="DA216" s="248">
        <f>LOG(Table2821115[[#This Row],[Phu/13 Fold]],2)</f>
        <v>-1</v>
      </c>
      <c r="DB216" s="248">
        <f>LOG(Table2821115[[#This Row],[CO/17 Fold]],2)</f>
        <v>0</v>
      </c>
      <c r="DC216" s="248">
        <f>SUM(Table2821115[[#This Row],[BR/18 Log2]:[CO/17 Log2]])</f>
        <v>1</v>
      </c>
    </row>
    <row r="217" spans="1:107" ht="24" customHeight="1">
      <c r="A217" s="330">
        <v>376</v>
      </c>
      <c r="B217" s="210">
        <v>15089</v>
      </c>
      <c r="C217" s="210">
        <v>43767</v>
      </c>
      <c r="D217" s="209">
        <v>78</v>
      </c>
      <c r="E217" s="4" t="s">
        <v>58</v>
      </c>
      <c r="F217" s="143" t="s">
        <v>116</v>
      </c>
      <c r="G217" s="142">
        <v>33.46807042304679</v>
      </c>
      <c r="H217" s="5" t="s">
        <v>64</v>
      </c>
      <c r="I217" s="277" t="s">
        <v>60</v>
      </c>
      <c r="J217" s="260">
        <v>5</v>
      </c>
      <c r="K217" s="260">
        <v>5</v>
      </c>
      <c r="L217" s="260"/>
      <c r="M217" s="260"/>
      <c r="N217" s="260"/>
      <c r="O217" s="260"/>
      <c r="P217" s="260"/>
      <c r="Q217" s="260"/>
      <c r="R217" s="260"/>
      <c r="S217" s="260"/>
      <c r="T217" s="260"/>
      <c r="U217" s="260"/>
      <c r="V217" s="260">
        <v>5</v>
      </c>
      <c r="W217" s="260">
        <v>5</v>
      </c>
      <c r="X217" s="260">
        <v>20</v>
      </c>
      <c r="Y217" s="260">
        <v>20</v>
      </c>
      <c r="Z217" s="260">
        <v>20</v>
      </c>
      <c r="AA217" s="260">
        <v>20</v>
      </c>
      <c r="AB217" s="260">
        <v>20</v>
      </c>
      <c r="AC217" s="260">
        <v>20</v>
      </c>
      <c r="AD217" s="260"/>
      <c r="AE217" s="260"/>
      <c r="AF217" s="260"/>
      <c r="AG217" s="260"/>
      <c r="AH217" s="208">
        <v>376</v>
      </c>
      <c r="AI217" s="272">
        <v>20</v>
      </c>
      <c r="AJ217" s="271">
        <v>20</v>
      </c>
      <c r="AK217" s="260"/>
      <c r="AL217" s="260"/>
      <c r="AM217" s="260"/>
      <c r="AN217" s="260"/>
      <c r="AO217" s="260"/>
      <c r="AP217" s="260"/>
      <c r="AQ217" s="260"/>
      <c r="AR217" s="260"/>
      <c r="AS217" s="260"/>
      <c r="AT217" s="260"/>
      <c r="AU217" s="260">
        <v>160</v>
      </c>
      <c r="AV217" s="271">
        <v>320</v>
      </c>
      <c r="AW217" s="260">
        <v>40</v>
      </c>
      <c r="AX217" s="271">
        <v>320</v>
      </c>
      <c r="AY217" s="260">
        <v>160</v>
      </c>
      <c r="AZ217" s="271">
        <v>320</v>
      </c>
      <c r="BA217" s="276">
        <v>160</v>
      </c>
      <c r="BB217" s="276">
        <v>160</v>
      </c>
      <c r="BC217" s="276"/>
      <c r="BD217" s="276"/>
      <c r="BE217" s="276">
        <v>40</v>
      </c>
      <c r="BF217" s="276">
        <v>40</v>
      </c>
      <c r="BG217" s="260">
        <v>320</v>
      </c>
      <c r="BH217" s="271">
        <v>320</v>
      </c>
      <c r="BI217" s="276"/>
      <c r="BJ217" s="276"/>
      <c r="BK217" s="276"/>
      <c r="BL217" s="275"/>
      <c r="BM217" s="329">
        <v>376</v>
      </c>
      <c r="BN217" s="272">
        <v>160</v>
      </c>
      <c r="BO217" s="270">
        <v>160</v>
      </c>
      <c r="BP217" s="272"/>
      <c r="BQ217" s="260"/>
      <c r="BR217" s="260"/>
      <c r="BS217" s="260"/>
      <c r="BT217" s="260"/>
      <c r="BU217" s="260"/>
      <c r="BV217" s="260">
        <v>20</v>
      </c>
      <c r="BW217" s="260">
        <v>20</v>
      </c>
      <c r="BX217" s="260"/>
      <c r="BY217" s="260"/>
      <c r="BZ217" s="260"/>
      <c r="CA217" s="260"/>
      <c r="CB217" s="260"/>
      <c r="CC217" s="260"/>
      <c r="CD217" s="260">
        <v>40</v>
      </c>
      <c r="CE217" s="260">
        <v>20</v>
      </c>
      <c r="CF217" s="272"/>
      <c r="CG217" s="260"/>
      <c r="CH217" s="260"/>
      <c r="CI217" s="260"/>
      <c r="CJ217" s="260"/>
      <c r="CK217" s="260"/>
      <c r="CL217" s="260"/>
      <c r="CM217" s="260"/>
      <c r="CN217" s="260">
        <v>80</v>
      </c>
      <c r="CO217" s="260">
        <v>80</v>
      </c>
      <c r="CP217" s="260">
        <v>160</v>
      </c>
      <c r="CQ217" s="260">
        <v>160</v>
      </c>
      <c r="CR217" s="260">
        <v>80</v>
      </c>
      <c r="CS217" s="270">
        <v>80</v>
      </c>
      <c r="CT217" s="328">
        <v>376</v>
      </c>
      <c r="CU217" s="249">
        <f>Table2821115[[#This Row],[D28 - BR/18]]/Table2821115[[#This Row],[D0 - BR/18]]</f>
        <v>1</v>
      </c>
      <c r="CV217" s="248">
        <f>Table2821115[[#This Row],[D28 - KS/17]]/Table2821115[[#This Row],[D0 - KS/17]]</f>
        <v>1</v>
      </c>
      <c r="CW217" s="248">
        <f>Table2821115[[#This Row],[D28 - Phu/13]]/Table2821115[[#This Row],[D0 - Phu/13]]</f>
        <v>0.5</v>
      </c>
      <c r="CX217" s="248">
        <f>Table2821115[[#This Row],[D28 - CO/17]]/Table2821115[[#This Row],[D0 - CO/17]]</f>
        <v>1</v>
      </c>
      <c r="CY217" s="248">
        <f>LOG(Table2821115[[#This Row],[BR/18 Fold]],2)</f>
        <v>0</v>
      </c>
      <c r="CZ217" s="248">
        <f>LOG(Table2821115[[#This Row],[KS/17 Fold]],2)</f>
        <v>0</v>
      </c>
      <c r="DA217" s="248">
        <f>LOG(Table2821115[[#This Row],[Phu/13 Fold]],2)</f>
        <v>-1</v>
      </c>
      <c r="DB217" s="248">
        <f>LOG(Table2821115[[#This Row],[CO/17 Fold]],2)</f>
        <v>0</v>
      </c>
      <c r="DC217" s="248">
        <f>SUM(Table2821115[[#This Row],[BR/18 Log2]:[CO/17 Log2]])</f>
        <v>-1</v>
      </c>
    </row>
    <row r="218" spans="1:107" ht="24" customHeight="1">
      <c r="A218" s="324">
        <v>377</v>
      </c>
      <c r="B218" s="190">
        <v>26341</v>
      </c>
      <c r="C218" s="190">
        <v>43783</v>
      </c>
      <c r="D218" s="189">
        <v>47</v>
      </c>
      <c r="E218" s="3" t="s">
        <v>61</v>
      </c>
      <c r="F218" s="143" t="s">
        <v>116</v>
      </c>
      <c r="G218" s="142">
        <v>38.094159118642686</v>
      </c>
      <c r="H218" s="11" t="s">
        <v>59</v>
      </c>
      <c r="I218" s="277" t="s">
        <v>1216</v>
      </c>
      <c r="J218" s="260">
        <v>5</v>
      </c>
      <c r="K218" s="260">
        <v>5</v>
      </c>
      <c r="L218" s="260"/>
      <c r="M218" s="260"/>
      <c r="N218" s="260"/>
      <c r="O218" s="260"/>
      <c r="P218" s="260"/>
      <c r="Q218" s="260"/>
      <c r="R218" s="260"/>
      <c r="S218" s="260"/>
      <c r="T218" s="260"/>
      <c r="U218" s="260"/>
      <c r="V218" s="260">
        <v>5</v>
      </c>
      <c r="W218" s="260">
        <v>10</v>
      </c>
      <c r="X218" s="260">
        <v>5</v>
      </c>
      <c r="Y218" s="260">
        <v>40</v>
      </c>
      <c r="Z218" s="260">
        <v>5</v>
      </c>
      <c r="AA218" s="260">
        <v>80</v>
      </c>
      <c r="AB218" s="260">
        <v>5</v>
      </c>
      <c r="AC218" s="260">
        <v>40</v>
      </c>
      <c r="AD218" s="260"/>
      <c r="AE218" s="260"/>
      <c r="AF218" s="260"/>
      <c r="AG218" s="260"/>
      <c r="AH218" s="198">
        <v>377</v>
      </c>
      <c r="AI218" s="272">
        <v>40</v>
      </c>
      <c r="AJ218" s="271">
        <v>80</v>
      </c>
      <c r="AK218" s="260"/>
      <c r="AL218" s="260"/>
      <c r="AM218" s="260"/>
      <c r="AN218" s="260"/>
      <c r="AO218" s="260"/>
      <c r="AP218" s="260"/>
      <c r="AQ218" s="260"/>
      <c r="AR218" s="260"/>
      <c r="AS218" s="260"/>
      <c r="AT218" s="260"/>
      <c r="AU218" s="260">
        <v>40</v>
      </c>
      <c r="AV218" s="271">
        <v>160</v>
      </c>
      <c r="AW218" s="260">
        <v>80</v>
      </c>
      <c r="AX218" s="271">
        <v>160</v>
      </c>
      <c r="AY218" s="260">
        <v>5</v>
      </c>
      <c r="AZ218" s="271">
        <v>160</v>
      </c>
      <c r="BA218" s="276">
        <v>40</v>
      </c>
      <c r="BB218" s="276">
        <v>160</v>
      </c>
      <c r="BC218" s="276"/>
      <c r="BD218" s="276"/>
      <c r="BE218" s="276">
        <v>5</v>
      </c>
      <c r="BF218" s="276">
        <v>80</v>
      </c>
      <c r="BG218" s="260">
        <v>80</v>
      </c>
      <c r="BH218" s="271">
        <v>320</v>
      </c>
      <c r="BI218" s="276"/>
      <c r="BJ218" s="276"/>
      <c r="BK218" s="276"/>
      <c r="BL218" s="275"/>
      <c r="BM218" s="323">
        <v>377</v>
      </c>
      <c r="BN218" s="272">
        <v>20</v>
      </c>
      <c r="BO218" s="270">
        <v>160</v>
      </c>
      <c r="BP218" s="272"/>
      <c r="BQ218" s="260"/>
      <c r="BR218" s="260"/>
      <c r="BS218" s="260"/>
      <c r="BT218" s="260"/>
      <c r="BU218" s="260"/>
      <c r="BV218" s="260">
        <v>5</v>
      </c>
      <c r="BW218" s="260">
        <v>160</v>
      </c>
      <c r="BX218" s="260"/>
      <c r="BY218" s="260"/>
      <c r="BZ218" s="260"/>
      <c r="CA218" s="260"/>
      <c r="CB218" s="260"/>
      <c r="CC218" s="260"/>
      <c r="CD218" s="260">
        <v>40</v>
      </c>
      <c r="CE218" s="260">
        <v>320</v>
      </c>
      <c r="CF218" s="272"/>
      <c r="CG218" s="260"/>
      <c r="CH218" s="260"/>
      <c r="CI218" s="260"/>
      <c r="CJ218" s="260"/>
      <c r="CK218" s="260"/>
      <c r="CL218" s="260"/>
      <c r="CM218" s="260"/>
      <c r="CN218" s="260">
        <v>5</v>
      </c>
      <c r="CO218" s="260">
        <v>160</v>
      </c>
      <c r="CP218" s="260">
        <v>20</v>
      </c>
      <c r="CQ218" s="260">
        <v>160</v>
      </c>
      <c r="CR218" s="260">
        <v>20</v>
      </c>
      <c r="CS218" s="270">
        <v>160</v>
      </c>
      <c r="CT218" s="322">
        <v>377</v>
      </c>
      <c r="CU218" s="249">
        <f>Table2821115[[#This Row],[D28 - BR/18]]/Table2821115[[#This Row],[D0 - BR/18]]</f>
        <v>8</v>
      </c>
      <c r="CV218" s="248">
        <f>Table2821115[[#This Row],[D28 - KS/17]]/Table2821115[[#This Row],[D0 - KS/17]]</f>
        <v>16</v>
      </c>
      <c r="CW218" s="248">
        <f>Table2821115[[#This Row],[D28 - Phu/13]]/Table2821115[[#This Row],[D0 - Phu/13]]</f>
        <v>8</v>
      </c>
      <c r="CX218" s="248">
        <f>Table2821115[[#This Row],[D28 - CO/17]]/Table2821115[[#This Row],[D0 - CO/17]]</f>
        <v>8</v>
      </c>
      <c r="CY218" s="248">
        <f>LOG(Table2821115[[#This Row],[BR/18 Fold]],2)</f>
        <v>3</v>
      </c>
      <c r="CZ218" s="248">
        <f>LOG(Table2821115[[#This Row],[KS/17 Fold]],2)</f>
        <v>4</v>
      </c>
      <c r="DA218" s="248">
        <f>LOG(Table2821115[[#This Row],[Phu/13 Fold]],2)</f>
        <v>3</v>
      </c>
      <c r="DB218" s="248">
        <f>LOG(Table2821115[[#This Row],[CO/17 Fold]],2)</f>
        <v>3</v>
      </c>
      <c r="DC218" s="248">
        <f>SUM(Table2821115[[#This Row],[BR/18 Log2]:[CO/17 Log2]])</f>
        <v>13</v>
      </c>
    </row>
    <row r="219" spans="1:107" ht="24" customHeight="1">
      <c r="A219" s="324">
        <v>378</v>
      </c>
      <c r="B219" s="190">
        <v>26265</v>
      </c>
      <c r="C219" s="190">
        <v>43806</v>
      </c>
      <c r="D219" s="189">
        <v>48</v>
      </c>
      <c r="E219" s="3" t="s">
        <v>61</v>
      </c>
      <c r="F219" s="143" t="s">
        <v>116</v>
      </c>
      <c r="G219" s="142">
        <v>27.672313868496868</v>
      </c>
      <c r="H219" s="11" t="s">
        <v>59</v>
      </c>
      <c r="I219" s="277" t="s">
        <v>60</v>
      </c>
      <c r="J219" s="260">
        <v>5</v>
      </c>
      <c r="K219" s="260">
        <v>5</v>
      </c>
      <c r="L219" s="260"/>
      <c r="M219" s="260"/>
      <c r="N219" s="260"/>
      <c r="O219" s="260"/>
      <c r="P219" s="260"/>
      <c r="Q219" s="260"/>
      <c r="R219" s="260"/>
      <c r="S219" s="260"/>
      <c r="T219" s="260"/>
      <c r="U219" s="260"/>
      <c r="V219" s="260">
        <v>5</v>
      </c>
      <c r="W219" s="260">
        <v>80</v>
      </c>
      <c r="X219" s="260">
        <v>5</v>
      </c>
      <c r="Y219" s="260">
        <v>80</v>
      </c>
      <c r="Z219" s="260">
        <v>40</v>
      </c>
      <c r="AA219" s="260">
        <v>80</v>
      </c>
      <c r="AB219" s="260">
        <v>40</v>
      </c>
      <c r="AC219" s="260">
        <v>40</v>
      </c>
      <c r="AD219" s="260"/>
      <c r="AE219" s="260"/>
      <c r="AF219" s="260"/>
      <c r="AG219" s="260"/>
      <c r="AH219" s="198">
        <v>378</v>
      </c>
      <c r="AI219" s="272">
        <v>10</v>
      </c>
      <c r="AJ219" s="271">
        <v>20</v>
      </c>
      <c r="AK219" s="260"/>
      <c r="AL219" s="260"/>
      <c r="AM219" s="260"/>
      <c r="AN219" s="260"/>
      <c r="AO219" s="260"/>
      <c r="AP219" s="260"/>
      <c r="AQ219" s="260"/>
      <c r="AR219" s="260"/>
      <c r="AS219" s="260"/>
      <c r="AT219" s="260"/>
      <c r="AU219" s="260">
        <v>20</v>
      </c>
      <c r="AV219" s="271">
        <v>40</v>
      </c>
      <c r="AW219" s="260">
        <v>10</v>
      </c>
      <c r="AX219" s="271">
        <v>40</v>
      </c>
      <c r="AY219" s="260">
        <v>5</v>
      </c>
      <c r="AZ219" s="271">
        <v>5</v>
      </c>
      <c r="BA219" s="276">
        <v>5</v>
      </c>
      <c r="BB219" s="276">
        <v>10</v>
      </c>
      <c r="BC219" s="276"/>
      <c r="BD219" s="276"/>
      <c r="BE219" s="276">
        <v>5</v>
      </c>
      <c r="BF219" s="276">
        <v>80</v>
      </c>
      <c r="BG219" s="260">
        <v>20</v>
      </c>
      <c r="BH219" s="271">
        <v>40</v>
      </c>
      <c r="BI219" s="276"/>
      <c r="BJ219" s="276"/>
      <c r="BK219" s="276"/>
      <c r="BL219" s="275"/>
      <c r="BM219" s="323">
        <v>378</v>
      </c>
      <c r="BN219" s="272">
        <v>20</v>
      </c>
      <c r="BO219" s="270">
        <v>40</v>
      </c>
      <c r="BP219" s="272"/>
      <c r="BQ219" s="260"/>
      <c r="BR219" s="260"/>
      <c r="BS219" s="260"/>
      <c r="BT219" s="260"/>
      <c r="BU219" s="260"/>
      <c r="BV219" s="260">
        <v>5</v>
      </c>
      <c r="BW219" s="260">
        <v>5</v>
      </c>
      <c r="BX219" s="260"/>
      <c r="BY219" s="260"/>
      <c r="BZ219" s="260"/>
      <c r="CA219" s="260"/>
      <c r="CB219" s="260"/>
      <c r="CC219" s="260"/>
      <c r="CD219" s="260">
        <v>80</v>
      </c>
      <c r="CE219" s="260">
        <v>160</v>
      </c>
      <c r="CF219" s="272"/>
      <c r="CG219" s="260"/>
      <c r="CH219" s="260"/>
      <c r="CI219" s="260"/>
      <c r="CJ219" s="260"/>
      <c r="CK219" s="260"/>
      <c r="CL219" s="260"/>
      <c r="CM219" s="260"/>
      <c r="CN219" s="260">
        <v>5</v>
      </c>
      <c r="CO219" s="260">
        <v>160</v>
      </c>
      <c r="CP219" s="260">
        <v>80</v>
      </c>
      <c r="CQ219" s="260">
        <v>320</v>
      </c>
      <c r="CR219" s="260">
        <v>80</v>
      </c>
      <c r="CS219" s="270">
        <v>160</v>
      </c>
      <c r="CT219" s="322">
        <v>378</v>
      </c>
      <c r="CU219" s="249">
        <f>Table2821115[[#This Row],[D28 - BR/18]]/Table2821115[[#This Row],[D0 - BR/18]]</f>
        <v>1</v>
      </c>
      <c r="CV219" s="248">
        <f>Table2821115[[#This Row],[D28 - KS/17]]/Table2821115[[#This Row],[D0 - KS/17]]</f>
        <v>16</v>
      </c>
      <c r="CW219" s="248">
        <f>Table2821115[[#This Row],[D28 - Phu/13]]/Table2821115[[#This Row],[D0 - Phu/13]]</f>
        <v>2</v>
      </c>
      <c r="CX219" s="248">
        <f>Table2821115[[#This Row],[D28 - CO/17]]/Table2821115[[#This Row],[D0 - CO/17]]</f>
        <v>4</v>
      </c>
      <c r="CY219" s="248">
        <f>LOG(Table2821115[[#This Row],[BR/18 Fold]],2)</f>
        <v>0</v>
      </c>
      <c r="CZ219" s="248">
        <f>LOG(Table2821115[[#This Row],[KS/17 Fold]],2)</f>
        <v>4</v>
      </c>
      <c r="DA219" s="248">
        <f>LOG(Table2821115[[#This Row],[Phu/13 Fold]],2)</f>
        <v>1</v>
      </c>
      <c r="DB219" s="248">
        <f>LOG(Table2821115[[#This Row],[CO/17 Fold]],2)</f>
        <v>2</v>
      </c>
      <c r="DC219" s="248">
        <f>SUM(Table2821115[[#This Row],[BR/18 Log2]:[CO/17 Log2]])</f>
        <v>7</v>
      </c>
    </row>
    <row r="220" spans="1:107" ht="24" customHeight="1">
      <c r="A220" s="318">
        <v>379</v>
      </c>
      <c r="B220" s="180">
        <v>20569</v>
      </c>
      <c r="C220" s="180">
        <v>43784</v>
      </c>
      <c r="D220" s="179">
        <v>63</v>
      </c>
      <c r="E220" s="3" t="s">
        <v>61</v>
      </c>
      <c r="F220" s="143" t="s">
        <v>116</v>
      </c>
      <c r="G220" s="142">
        <v>21.760139004581422</v>
      </c>
      <c r="H220" s="11" t="s">
        <v>59</v>
      </c>
      <c r="I220" s="277" t="s">
        <v>60</v>
      </c>
      <c r="J220" s="260">
        <v>5</v>
      </c>
      <c r="K220" s="260">
        <v>5</v>
      </c>
      <c r="L220" s="260"/>
      <c r="M220" s="260"/>
      <c r="N220" s="260"/>
      <c r="O220" s="260"/>
      <c r="P220" s="260"/>
      <c r="Q220" s="260"/>
      <c r="R220" s="260"/>
      <c r="S220" s="260"/>
      <c r="T220" s="260"/>
      <c r="U220" s="260"/>
      <c r="V220" s="260">
        <v>5</v>
      </c>
      <c r="W220" s="260">
        <v>5</v>
      </c>
      <c r="X220" s="260">
        <v>20</v>
      </c>
      <c r="Y220" s="260">
        <v>20</v>
      </c>
      <c r="Z220" s="260">
        <v>20</v>
      </c>
      <c r="AA220" s="260">
        <v>40</v>
      </c>
      <c r="AB220" s="260">
        <v>20</v>
      </c>
      <c r="AC220" s="260">
        <v>20</v>
      </c>
      <c r="AD220" s="260"/>
      <c r="AE220" s="260"/>
      <c r="AF220" s="260"/>
      <c r="AG220" s="260"/>
      <c r="AH220" s="195">
        <v>379</v>
      </c>
      <c r="AI220" s="272">
        <v>20</v>
      </c>
      <c r="AJ220" s="271">
        <v>40</v>
      </c>
      <c r="AK220" s="260"/>
      <c r="AL220" s="260"/>
      <c r="AM220" s="260"/>
      <c r="AN220" s="260"/>
      <c r="AO220" s="260"/>
      <c r="AP220" s="260"/>
      <c r="AQ220" s="260"/>
      <c r="AR220" s="260"/>
      <c r="AS220" s="260"/>
      <c r="AT220" s="260"/>
      <c r="AU220" s="260">
        <v>5</v>
      </c>
      <c r="AV220" s="271">
        <v>5</v>
      </c>
      <c r="AW220" s="260">
        <v>5</v>
      </c>
      <c r="AX220" s="271">
        <v>5</v>
      </c>
      <c r="AY220" s="260">
        <v>5</v>
      </c>
      <c r="AZ220" s="271">
        <v>5</v>
      </c>
      <c r="BA220" s="276">
        <v>5</v>
      </c>
      <c r="BB220" s="276">
        <v>5</v>
      </c>
      <c r="BC220" s="276"/>
      <c r="BD220" s="276"/>
      <c r="BE220" s="276">
        <v>5</v>
      </c>
      <c r="BF220" s="276">
        <v>10</v>
      </c>
      <c r="BG220" s="260">
        <v>10</v>
      </c>
      <c r="BH220" s="271">
        <v>5</v>
      </c>
      <c r="BI220" s="276"/>
      <c r="BJ220" s="276"/>
      <c r="BK220" s="276"/>
      <c r="BL220" s="275"/>
      <c r="BM220" s="316">
        <v>379</v>
      </c>
      <c r="BN220" s="272">
        <v>10</v>
      </c>
      <c r="BO220" s="270">
        <v>20</v>
      </c>
      <c r="BP220" s="272"/>
      <c r="BQ220" s="260"/>
      <c r="BR220" s="260"/>
      <c r="BS220" s="260"/>
      <c r="BT220" s="260"/>
      <c r="BU220" s="260"/>
      <c r="BV220" s="260">
        <v>5</v>
      </c>
      <c r="BW220" s="260">
        <v>5</v>
      </c>
      <c r="BX220" s="260"/>
      <c r="BY220" s="260"/>
      <c r="BZ220" s="260"/>
      <c r="CA220" s="260"/>
      <c r="CB220" s="260"/>
      <c r="CC220" s="260"/>
      <c r="CD220" s="260">
        <v>20</v>
      </c>
      <c r="CE220" s="260">
        <v>20</v>
      </c>
      <c r="CF220" s="272"/>
      <c r="CG220" s="260"/>
      <c r="CH220" s="260"/>
      <c r="CI220" s="260"/>
      <c r="CJ220" s="260"/>
      <c r="CK220" s="260"/>
      <c r="CL220" s="260"/>
      <c r="CM220" s="260"/>
      <c r="CN220" s="260">
        <v>5</v>
      </c>
      <c r="CO220" s="260">
        <v>5</v>
      </c>
      <c r="CP220" s="260">
        <v>5</v>
      </c>
      <c r="CQ220" s="260">
        <v>10</v>
      </c>
      <c r="CR220" s="260">
        <v>5</v>
      </c>
      <c r="CS220" s="270">
        <v>5</v>
      </c>
      <c r="CT220" s="315">
        <v>379</v>
      </c>
      <c r="CU220" s="249">
        <f>Table2821115[[#This Row],[D28 - BR/18]]/Table2821115[[#This Row],[D0 - BR/18]]</f>
        <v>1</v>
      </c>
      <c r="CV220" s="248">
        <f>Table2821115[[#This Row],[D28 - KS/17]]/Table2821115[[#This Row],[D0 - KS/17]]</f>
        <v>2</v>
      </c>
      <c r="CW220" s="248">
        <f>Table2821115[[#This Row],[D28 - Phu/13]]/Table2821115[[#This Row],[D0 - Phu/13]]</f>
        <v>1</v>
      </c>
      <c r="CX220" s="248">
        <f>Table2821115[[#This Row],[D28 - CO/17]]/Table2821115[[#This Row],[D0 - CO/17]]</f>
        <v>2</v>
      </c>
      <c r="CY220" s="248">
        <f>LOG(Table2821115[[#This Row],[BR/18 Fold]],2)</f>
        <v>0</v>
      </c>
      <c r="CZ220" s="248">
        <f>LOG(Table2821115[[#This Row],[KS/17 Fold]],2)</f>
        <v>1</v>
      </c>
      <c r="DA220" s="248">
        <f>LOG(Table2821115[[#This Row],[Phu/13 Fold]],2)</f>
        <v>0</v>
      </c>
      <c r="DB220" s="248">
        <f>LOG(Table2821115[[#This Row],[CO/17 Fold]],2)</f>
        <v>1</v>
      </c>
      <c r="DC220" s="248">
        <f>SUM(Table2821115[[#This Row],[BR/18 Log2]:[CO/17 Log2]])</f>
        <v>2</v>
      </c>
    </row>
    <row r="221" spans="1:107" ht="24" customHeight="1">
      <c r="A221" s="318">
        <v>380</v>
      </c>
      <c r="B221" s="180">
        <v>20398</v>
      </c>
      <c r="C221" s="180">
        <v>43784</v>
      </c>
      <c r="D221" s="179">
        <v>64</v>
      </c>
      <c r="E221" s="4" t="s">
        <v>58</v>
      </c>
      <c r="F221" s="143" t="s">
        <v>116</v>
      </c>
      <c r="G221" s="142">
        <v>26.397829142302658</v>
      </c>
      <c r="H221" s="11" t="s">
        <v>59</v>
      </c>
      <c r="I221" s="277" t="s">
        <v>60</v>
      </c>
      <c r="J221" s="260">
        <v>5</v>
      </c>
      <c r="K221" s="260">
        <v>5</v>
      </c>
      <c r="L221" s="260"/>
      <c r="M221" s="260"/>
      <c r="N221" s="260"/>
      <c r="O221" s="260"/>
      <c r="P221" s="260"/>
      <c r="Q221" s="260"/>
      <c r="R221" s="260"/>
      <c r="S221" s="260"/>
      <c r="T221" s="260"/>
      <c r="U221" s="260"/>
      <c r="V221" s="260">
        <v>10</v>
      </c>
      <c r="W221" s="260">
        <v>20</v>
      </c>
      <c r="X221" s="260">
        <v>20</v>
      </c>
      <c r="Y221" s="260">
        <v>20</v>
      </c>
      <c r="Z221" s="260">
        <v>20</v>
      </c>
      <c r="AA221" s="260">
        <v>40</v>
      </c>
      <c r="AB221" s="260">
        <v>10</v>
      </c>
      <c r="AC221" s="260">
        <v>20</v>
      </c>
      <c r="AD221" s="260"/>
      <c r="AE221" s="260"/>
      <c r="AF221" s="260"/>
      <c r="AG221" s="260"/>
      <c r="AH221" s="195">
        <v>380</v>
      </c>
      <c r="AI221" s="272">
        <v>5</v>
      </c>
      <c r="AJ221" s="271">
        <v>5</v>
      </c>
      <c r="AK221" s="260"/>
      <c r="AL221" s="260"/>
      <c r="AM221" s="260"/>
      <c r="AN221" s="260"/>
      <c r="AO221" s="260"/>
      <c r="AP221" s="260"/>
      <c r="AQ221" s="260"/>
      <c r="AR221" s="260"/>
      <c r="AS221" s="260"/>
      <c r="AT221" s="260"/>
      <c r="AU221" s="260">
        <v>5</v>
      </c>
      <c r="AV221" s="271">
        <v>10</v>
      </c>
      <c r="AW221" s="260">
        <v>20</v>
      </c>
      <c r="AX221" s="271">
        <v>5</v>
      </c>
      <c r="AY221" s="260">
        <v>5</v>
      </c>
      <c r="AZ221" s="271">
        <v>5</v>
      </c>
      <c r="BA221" s="276">
        <v>5</v>
      </c>
      <c r="BB221" s="276">
        <v>5</v>
      </c>
      <c r="BC221" s="276"/>
      <c r="BD221" s="276"/>
      <c r="BE221" s="276">
        <v>5</v>
      </c>
      <c r="BF221" s="276">
        <v>10</v>
      </c>
      <c r="BG221" s="260">
        <v>5</v>
      </c>
      <c r="BH221" s="271">
        <v>5</v>
      </c>
      <c r="BI221" s="276"/>
      <c r="BJ221" s="276"/>
      <c r="BK221" s="276"/>
      <c r="BL221" s="275"/>
      <c r="BM221" s="316">
        <v>380</v>
      </c>
      <c r="BN221" s="272">
        <v>160</v>
      </c>
      <c r="BO221" s="270">
        <v>160</v>
      </c>
      <c r="BP221" s="272"/>
      <c r="BQ221" s="260"/>
      <c r="BR221" s="260"/>
      <c r="BS221" s="260"/>
      <c r="BT221" s="260"/>
      <c r="BU221" s="260"/>
      <c r="BV221" s="260">
        <v>40</v>
      </c>
      <c r="BW221" s="260">
        <v>40</v>
      </c>
      <c r="BX221" s="260"/>
      <c r="BY221" s="260"/>
      <c r="BZ221" s="260"/>
      <c r="CA221" s="260"/>
      <c r="CB221" s="260"/>
      <c r="CC221" s="260"/>
      <c r="CD221" s="260">
        <v>10</v>
      </c>
      <c r="CE221" s="260">
        <v>10</v>
      </c>
      <c r="CF221" s="272"/>
      <c r="CG221" s="260"/>
      <c r="CH221" s="260"/>
      <c r="CI221" s="260"/>
      <c r="CJ221" s="260"/>
      <c r="CK221" s="260"/>
      <c r="CL221" s="260"/>
      <c r="CM221" s="260"/>
      <c r="CN221" s="260">
        <v>160</v>
      </c>
      <c r="CO221" s="260">
        <v>160</v>
      </c>
      <c r="CP221" s="260">
        <v>160</v>
      </c>
      <c r="CQ221" s="260">
        <v>160</v>
      </c>
      <c r="CR221" s="260">
        <v>160</v>
      </c>
      <c r="CS221" s="270">
        <v>80</v>
      </c>
      <c r="CT221" s="315">
        <v>380</v>
      </c>
      <c r="CU221" s="249">
        <f>Table2821115[[#This Row],[D28 - BR/18]]/Table2821115[[#This Row],[D0 - BR/18]]</f>
        <v>2</v>
      </c>
      <c r="CV221" s="248">
        <f>Table2821115[[#This Row],[D28 - KS/17]]/Table2821115[[#This Row],[D0 - KS/17]]</f>
        <v>2</v>
      </c>
      <c r="CW221" s="248">
        <f>Table2821115[[#This Row],[D28 - Phu/13]]/Table2821115[[#This Row],[D0 - Phu/13]]</f>
        <v>1</v>
      </c>
      <c r="CX221" s="248">
        <f>Table2821115[[#This Row],[D28 - CO/17]]/Table2821115[[#This Row],[D0 - CO/17]]</f>
        <v>1</v>
      </c>
      <c r="CY221" s="248">
        <f>LOG(Table2821115[[#This Row],[BR/18 Fold]],2)</f>
        <v>1</v>
      </c>
      <c r="CZ221" s="248">
        <f>LOG(Table2821115[[#This Row],[KS/17 Fold]],2)</f>
        <v>1</v>
      </c>
      <c r="DA221" s="248">
        <f>LOG(Table2821115[[#This Row],[Phu/13 Fold]],2)</f>
        <v>0</v>
      </c>
      <c r="DB221" s="248">
        <f>LOG(Table2821115[[#This Row],[CO/17 Fold]],2)</f>
        <v>0</v>
      </c>
      <c r="DC221" s="248">
        <f>SUM(Table2821115[[#This Row],[BR/18 Log2]:[CO/17 Log2]])</f>
        <v>2</v>
      </c>
    </row>
    <row r="222" spans="1:107" ht="24" customHeight="1">
      <c r="A222" s="330">
        <v>381</v>
      </c>
      <c r="B222" s="210">
        <v>17425</v>
      </c>
      <c r="C222" s="210">
        <v>43781</v>
      </c>
      <c r="D222" s="209">
        <v>72</v>
      </c>
      <c r="E222" s="3" t="s">
        <v>61</v>
      </c>
      <c r="F222" s="143" t="s">
        <v>116</v>
      </c>
      <c r="G222" s="142">
        <v>36.220676245549363</v>
      </c>
      <c r="H222" s="5" t="s">
        <v>64</v>
      </c>
      <c r="I222" s="277" t="s">
        <v>60</v>
      </c>
      <c r="J222" s="260">
        <v>5</v>
      </c>
      <c r="K222" s="260">
        <v>5</v>
      </c>
      <c r="L222" s="260"/>
      <c r="M222" s="260"/>
      <c r="N222" s="260"/>
      <c r="O222" s="260"/>
      <c r="P222" s="260"/>
      <c r="Q222" s="260"/>
      <c r="R222" s="260"/>
      <c r="S222" s="260"/>
      <c r="T222" s="260"/>
      <c r="U222" s="260"/>
      <c r="V222" s="260">
        <v>5</v>
      </c>
      <c r="W222" s="260">
        <v>5</v>
      </c>
      <c r="X222" s="260">
        <v>5</v>
      </c>
      <c r="Y222" s="260">
        <v>40</v>
      </c>
      <c r="Z222" s="260">
        <v>5</v>
      </c>
      <c r="AA222" s="260">
        <v>40</v>
      </c>
      <c r="AB222" s="260">
        <v>5</v>
      </c>
      <c r="AC222" s="260">
        <v>40</v>
      </c>
      <c r="AD222" s="260"/>
      <c r="AE222" s="260"/>
      <c r="AF222" s="260"/>
      <c r="AG222" s="260"/>
      <c r="AH222" s="208">
        <v>381</v>
      </c>
      <c r="AI222" s="272">
        <v>5</v>
      </c>
      <c r="AJ222" s="271">
        <v>40</v>
      </c>
      <c r="AK222" s="260"/>
      <c r="AL222" s="260"/>
      <c r="AM222" s="260"/>
      <c r="AN222" s="260"/>
      <c r="AO222" s="260"/>
      <c r="AP222" s="260"/>
      <c r="AQ222" s="260"/>
      <c r="AR222" s="260"/>
      <c r="AS222" s="260"/>
      <c r="AT222" s="260"/>
      <c r="AU222" s="260">
        <v>40</v>
      </c>
      <c r="AV222" s="271">
        <v>160</v>
      </c>
      <c r="AW222" s="260">
        <v>10</v>
      </c>
      <c r="AX222" s="271">
        <v>160</v>
      </c>
      <c r="AY222" s="260">
        <v>5</v>
      </c>
      <c r="AZ222" s="271">
        <v>160</v>
      </c>
      <c r="BA222" s="276">
        <v>20</v>
      </c>
      <c r="BB222" s="276">
        <v>160</v>
      </c>
      <c r="BC222" s="276"/>
      <c r="BD222" s="276"/>
      <c r="BE222" s="276">
        <v>5</v>
      </c>
      <c r="BF222" s="276">
        <v>80</v>
      </c>
      <c r="BG222" s="260">
        <v>20</v>
      </c>
      <c r="BH222" s="271">
        <v>160</v>
      </c>
      <c r="BI222" s="276"/>
      <c r="BJ222" s="276"/>
      <c r="BK222" s="276"/>
      <c r="BL222" s="275"/>
      <c r="BM222" s="329">
        <v>381</v>
      </c>
      <c r="BN222" s="272">
        <v>20</v>
      </c>
      <c r="BO222" s="270">
        <v>40</v>
      </c>
      <c r="BP222" s="272"/>
      <c r="BQ222" s="260"/>
      <c r="BR222" s="260"/>
      <c r="BS222" s="260"/>
      <c r="BT222" s="260"/>
      <c r="BU222" s="260"/>
      <c r="BV222" s="260">
        <v>10</v>
      </c>
      <c r="BW222" s="260">
        <v>20</v>
      </c>
      <c r="BX222" s="260"/>
      <c r="BY222" s="260"/>
      <c r="BZ222" s="260"/>
      <c r="CA222" s="260"/>
      <c r="CB222" s="260"/>
      <c r="CC222" s="260"/>
      <c r="CD222" s="260">
        <v>20</v>
      </c>
      <c r="CE222" s="260">
        <v>40</v>
      </c>
      <c r="CF222" s="272"/>
      <c r="CG222" s="260"/>
      <c r="CH222" s="260"/>
      <c r="CI222" s="260"/>
      <c r="CJ222" s="260"/>
      <c r="CK222" s="260"/>
      <c r="CL222" s="260"/>
      <c r="CM222" s="260"/>
      <c r="CN222" s="260">
        <v>10</v>
      </c>
      <c r="CO222" s="260">
        <v>20</v>
      </c>
      <c r="CP222" s="260">
        <v>10</v>
      </c>
      <c r="CQ222" s="260">
        <v>20</v>
      </c>
      <c r="CR222" s="260">
        <v>5</v>
      </c>
      <c r="CS222" s="270">
        <v>10</v>
      </c>
      <c r="CT222" s="328">
        <v>381</v>
      </c>
      <c r="CU222" s="249">
        <f>Table2821115[[#This Row],[D28 - BR/18]]/Table2821115[[#This Row],[D0 - BR/18]]</f>
        <v>8</v>
      </c>
      <c r="CV222" s="248">
        <f>Table2821115[[#This Row],[D28 - KS/17]]/Table2821115[[#This Row],[D0 - KS/17]]</f>
        <v>16</v>
      </c>
      <c r="CW222" s="248">
        <f>Table2821115[[#This Row],[D28 - Phu/13]]/Table2821115[[#This Row],[D0 - Phu/13]]</f>
        <v>2</v>
      </c>
      <c r="CX222" s="248">
        <f>Table2821115[[#This Row],[D28 - CO/17]]/Table2821115[[#This Row],[D0 - CO/17]]</f>
        <v>2</v>
      </c>
      <c r="CY222" s="248">
        <f>LOG(Table2821115[[#This Row],[BR/18 Fold]],2)</f>
        <v>3</v>
      </c>
      <c r="CZ222" s="248">
        <f>LOG(Table2821115[[#This Row],[KS/17 Fold]],2)</f>
        <v>4</v>
      </c>
      <c r="DA222" s="248">
        <f>LOG(Table2821115[[#This Row],[Phu/13 Fold]],2)</f>
        <v>1</v>
      </c>
      <c r="DB222" s="248">
        <f>LOG(Table2821115[[#This Row],[CO/17 Fold]],2)</f>
        <v>1</v>
      </c>
      <c r="DC222" s="248">
        <f>SUM(Table2821115[[#This Row],[BR/18 Log2]:[CO/17 Log2]])</f>
        <v>9</v>
      </c>
    </row>
    <row r="223" spans="1:107" ht="24" customHeight="1">
      <c r="A223" s="318">
        <v>382</v>
      </c>
      <c r="B223" s="180">
        <v>24498</v>
      </c>
      <c r="C223" s="180">
        <v>43781</v>
      </c>
      <c r="D223" s="179">
        <v>52</v>
      </c>
      <c r="E223" s="3" t="s">
        <v>61</v>
      </c>
      <c r="F223" s="143" t="s">
        <v>120</v>
      </c>
      <c r="G223" s="142">
        <v>28.58283661047815</v>
      </c>
      <c r="H223" s="11" t="s">
        <v>59</v>
      </c>
      <c r="I223" s="277" t="s">
        <v>62</v>
      </c>
      <c r="J223" s="260">
        <v>5</v>
      </c>
      <c r="K223" s="260">
        <v>5</v>
      </c>
      <c r="L223" s="260"/>
      <c r="M223" s="260"/>
      <c r="N223" s="260"/>
      <c r="O223" s="260"/>
      <c r="P223" s="260"/>
      <c r="Q223" s="260"/>
      <c r="R223" s="260"/>
      <c r="S223" s="260"/>
      <c r="T223" s="260"/>
      <c r="U223" s="260"/>
      <c r="V223" s="260">
        <v>5</v>
      </c>
      <c r="W223" s="260">
        <v>5</v>
      </c>
      <c r="X223" s="260">
        <v>10</v>
      </c>
      <c r="Y223" s="260">
        <v>20</v>
      </c>
      <c r="Z223" s="260">
        <v>10</v>
      </c>
      <c r="AA223" s="260">
        <v>20</v>
      </c>
      <c r="AB223" s="260">
        <v>5</v>
      </c>
      <c r="AC223" s="260">
        <v>10</v>
      </c>
      <c r="AD223" s="260"/>
      <c r="AE223" s="260"/>
      <c r="AF223" s="260"/>
      <c r="AG223" s="260"/>
      <c r="AH223" s="195">
        <v>382</v>
      </c>
      <c r="AI223" s="272">
        <v>5</v>
      </c>
      <c r="AJ223" s="271">
        <v>5</v>
      </c>
      <c r="AK223" s="260"/>
      <c r="AL223" s="260"/>
      <c r="AM223" s="260"/>
      <c r="AN223" s="260"/>
      <c r="AO223" s="260"/>
      <c r="AP223" s="260"/>
      <c r="AQ223" s="260"/>
      <c r="AR223" s="260"/>
      <c r="AS223" s="260"/>
      <c r="AT223" s="260"/>
      <c r="AU223" s="260">
        <v>5</v>
      </c>
      <c r="AV223" s="271">
        <v>20</v>
      </c>
      <c r="AW223" s="260">
        <v>5</v>
      </c>
      <c r="AX223" s="271">
        <v>20</v>
      </c>
      <c r="AY223" s="260">
        <v>5</v>
      </c>
      <c r="AZ223" s="271">
        <v>10</v>
      </c>
      <c r="BA223" s="276">
        <v>5</v>
      </c>
      <c r="BB223" s="276">
        <v>10</v>
      </c>
      <c r="BC223" s="276"/>
      <c r="BD223" s="276"/>
      <c r="BE223" s="276">
        <v>5</v>
      </c>
      <c r="BF223" s="276">
        <v>20</v>
      </c>
      <c r="BG223" s="260">
        <v>20</v>
      </c>
      <c r="BH223" s="271">
        <v>10</v>
      </c>
      <c r="BI223" s="276"/>
      <c r="BJ223" s="276"/>
      <c r="BK223" s="276"/>
      <c r="BL223" s="275"/>
      <c r="BM223" s="316">
        <v>382</v>
      </c>
      <c r="BN223" s="272">
        <v>40</v>
      </c>
      <c r="BO223" s="270">
        <v>40</v>
      </c>
      <c r="BP223" s="272"/>
      <c r="BQ223" s="260"/>
      <c r="BR223" s="260"/>
      <c r="BS223" s="260"/>
      <c r="BT223" s="260"/>
      <c r="BU223" s="260"/>
      <c r="BV223" s="260">
        <v>5</v>
      </c>
      <c r="BW223" s="260">
        <v>40</v>
      </c>
      <c r="BX223" s="260"/>
      <c r="BY223" s="260"/>
      <c r="BZ223" s="260"/>
      <c r="CA223" s="260"/>
      <c r="CB223" s="260"/>
      <c r="CC223" s="260"/>
      <c r="CD223" s="260">
        <v>80</v>
      </c>
      <c r="CE223" s="260">
        <v>80</v>
      </c>
      <c r="CF223" s="272"/>
      <c r="CG223" s="260"/>
      <c r="CH223" s="260"/>
      <c r="CI223" s="260"/>
      <c r="CJ223" s="260"/>
      <c r="CK223" s="260"/>
      <c r="CL223" s="260"/>
      <c r="CM223" s="260"/>
      <c r="CN223" s="260">
        <v>40</v>
      </c>
      <c r="CO223" s="260">
        <v>80</v>
      </c>
      <c r="CP223" s="260">
        <v>40</v>
      </c>
      <c r="CQ223" s="260">
        <v>40</v>
      </c>
      <c r="CR223" s="260">
        <v>20</v>
      </c>
      <c r="CS223" s="270">
        <v>40</v>
      </c>
      <c r="CT223" s="315">
        <v>382</v>
      </c>
      <c r="CU223" s="249">
        <f>Table2821115[[#This Row],[D28 - BR/18]]/Table2821115[[#This Row],[D0 - BR/18]]</f>
        <v>2</v>
      </c>
      <c r="CV223" s="248">
        <f>Table2821115[[#This Row],[D28 - KS/17]]/Table2821115[[#This Row],[D0 - KS/17]]</f>
        <v>4</v>
      </c>
      <c r="CW223" s="248">
        <f>Table2821115[[#This Row],[D28 - Phu/13]]/Table2821115[[#This Row],[D0 - Phu/13]]</f>
        <v>1</v>
      </c>
      <c r="CX223" s="248">
        <f>Table2821115[[#This Row],[D28 - CO/17]]/Table2821115[[#This Row],[D0 - CO/17]]</f>
        <v>1</v>
      </c>
      <c r="CY223" s="248">
        <f>LOG(Table2821115[[#This Row],[BR/18 Fold]],2)</f>
        <v>1</v>
      </c>
      <c r="CZ223" s="248">
        <f>LOG(Table2821115[[#This Row],[KS/17 Fold]],2)</f>
        <v>2</v>
      </c>
      <c r="DA223" s="248">
        <f>LOG(Table2821115[[#This Row],[Phu/13 Fold]],2)</f>
        <v>0</v>
      </c>
      <c r="DB223" s="248">
        <f>LOG(Table2821115[[#This Row],[CO/17 Fold]],2)</f>
        <v>0</v>
      </c>
      <c r="DC223" s="248">
        <f>SUM(Table2821115[[#This Row],[BR/18 Log2]:[CO/17 Log2]])</f>
        <v>3</v>
      </c>
    </row>
    <row r="224" spans="1:107" ht="24" customHeight="1">
      <c r="A224" s="318">
        <v>383</v>
      </c>
      <c r="B224" s="180">
        <v>21213</v>
      </c>
      <c r="C224" s="180">
        <v>43781</v>
      </c>
      <c r="D224" s="179">
        <v>61</v>
      </c>
      <c r="E224" s="3" t="s">
        <v>61</v>
      </c>
      <c r="F224" s="143" t="s">
        <v>116</v>
      </c>
      <c r="G224" s="142">
        <v>30.699349988252798</v>
      </c>
      <c r="H224" s="11" t="s">
        <v>59</v>
      </c>
      <c r="I224" s="277" t="s">
        <v>60</v>
      </c>
      <c r="J224" s="260">
        <v>5</v>
      </c>
      <c r="K224" s="260">
        <v>5</v>
      </c>
      <c r="L224" s="260"/>
      <c r="M224" s="260"/>
      <c r="N224" s="260"/>
      <c r="O224" s="260"/>
      <c r="P224" s="260"/>
      <c r="Q224" s="260"/>
      <c r="R224" s="260"/>
      <c r="S224" s="260"/>
      <c r="T224" s="260"/>
      <c r="U224" s="260"/>
      <c r="V224" s="260">
        <v>5</v>
      </c>
      <c r="W224" s="260">
        <v>20</v>
      </c>
      <c r="X224" s="260">
        <v>5</v>
      </c>
      <c r="Y224" s="260">
        <v>10</v>
      </c>
      <c r="Z224" s="260">
        <v>20</v>
      </c>
      <c r="AA224" s="260">
        <v>20</v>
      </c>
      <c r="AB224" s="260">
        <v>20</v>
      </c>
      <c r="AC224" s="260">
        <v>20</v>
      </c>
      <c r="AD224" s="260"/>
      <c r="AE224" s="260"/>
      <c r="AF224" s="260"/>
      <c r="AG224" s="260"/>
      <c r="AH224" s="195">
        <v>383</v>
      </c>
      <c r="AI224" s="272">
        <v>5</v>
      </c>
      <c r="AJ224" s="271">
        <v>5</v>
      </c>
      <c r="AK224" s="260"/>
      <c r="AL224" s="260"/>
      <c r="AM224" s="260"/>
      <c r="AN224" s="260"/>
      <c r="AO224" s="260"/>
      <c r="AP224" s="260"/>
      <c r="AQ224" s="260"/>
      <c r="AR224" s="260"/>
      <c r="AS224" s="260"/>
      <c r="AT224" s="260"/>
      <c r="AU224" s="260">
        <v>40</v>
      </c>
      <c r="AV224" s="271">
        <v>40</v>
      </c>
      <c r="AW224" s="260">
        <v>20</v>
      </c>
      <c r="AX224" s="271">
        <v>20</v>
      </c>
      <c r="AY224" s="260">
        <v>5</v>
      </c>
      <c r="AZ224" s="271">
        <v>5</v>
      </c>
      <c r="BA224" s="276">
        <v>20</v>
      </c>
      <c r="BB224" s="276">
        <v>10</v>
      </c>
      <c r="BC224" s="276"/>
      <c r="BD224" s="276"/>
      <c r="BE224" s="276">
        <v>5</v>
      </c>
      <c r="BF224" s="276">
        <v>20</v>
      </c>
      <c r="BG224" s="260">
        <v>40</v>
      </c>
      <c r="BH224" s="271">
        <v>40</v>
      </c>
      <c r="BI224" s="276"/>
      <c r="BJ224" s="276"/>
      <c r="BK224" s="276"/>
      <c r="BL224" s="275"/>
      <c r="BM224" s="316">
        <v>383</v>
      </c>
      <c r="BN224" s="272">
        <v>10</v>
      </c>
      <c r="BO224" s="270">
        <v>10</v>
      </c>
      <c r="BP224" s="272"/>
      <c r="BQ224" s="260"/>
      <c r="BR224" s="260"/>
      <c r="BS224" s="260"/>
      <c r="BT224" s="260"/>
      <c r="BU224" s="260"/>
      <c r="BV224" s="260">
        <v>5</v>
      </c>
      <c r="BW224" s="260">
        <v>10</v>
      </c>
      <c r="BX224" s="260"/>
      <c r="BY224" s="260"/>
      <c r="BZ224" s="260"/>
      <c r="CA224" s="260"/>
      <c r="CB224" s="260"/>
      <c r="CC224" s="260"/>
      <c r="CD224" s="260">
        <v>20</v>
      </c>
      <c r="CE224" s="260">
        <v>20</v>
      </c>
      <c r="CF224" s="272"/>
      <c r="CG224" s="260"/>
      <c r="CH224" s="260"/>
      <c r="CI224" s="260"/>
      <c r="CJ224" s="260"/>
      <c r="CK224" s="260"/>
      <c r="CL224" s="260"/>
      <c r="CM224" s="260"/>
      <c r="CN224" s="260">
        <v>10</v>
      </c>
      <c r="CO224" s="260">
        <v>10</v>
      </c>
      <c r="CP224" s="260">
        <v>10</v>
      </c>
      <c r="CQ224" s="260">
        <v>10</v>
      </c>
      <c r="CR224" s="260">
        <v>10</v>
      </c>
      <c r="CS224" s="270">
        <v>10</v>
      </c>
      <c r="CT224" s="315">
        <v>383</v>
      </c>
      <c r="CU224" s="249">
        <f>Table2821115[[#This Row],[D28 - BR/18]]/Table2821115[[#This Row],[D0 - BR/18]]</f>
        <v>1</v>
      </c>
      <c r="CV224" s="248">
        <f>Table2821115[[#This Row],[D28 - KS/17]]/Table2821115[[#This Row],[D0 - KS/17]]</f>
        <v>4</v>
      </c>
      <c r="CW224" s="248">
        <f>Table2821115[[#This Row],[D28 - Phu/13]]/Table2821115[[#This Row],[D0 - Phu/13]]</f>
        <v>1</v>
      </c>
      <c r="CX224" s="248">
        <f>Table2821115[[#This Row],[D28 - CO/17]]/Table2821115[[#This Row],[D0 - CO/17]]</f>
        <v>1</v>
      </c>
      <c r="CY224" s="248">
        <f>LOG(Table2821115[[#This Row],[BR/18 Fold]],2)</f>
        <v>0</v>
      </c>
      <c r="CZ224" s="248">
        <f>LOG(Table2821115[[#This Row],[KS/17 Fold]],2)</f>
        <v>2</v>
      </c>
      <c r="DA224" s="248">
        <f>LOG(Table2821115[[#This Row],[Phu/13 Fold]],2)</f>
        <v>0</v>
      </c>
      <c r="DB224" s="248">
        <f>LOG(Table2821115[[#This Row],[CO/17 Fold]],2)</f>
        <v>0</v>
      </c>
      <c r="DC224" s="248">
        <f>SUM(Table2821115[[#This Row],[BR/18 Log2]:[CO/17 Log2]])</f>
        <v>2</v>
      </c>
    </row>
    <row r="225" spans="1:107" ht="24" customHeight="1">
      <c r="A225" s="318">
        <v>384</v>
      </c>
      <c r="B225" s="180">
        <v>22475</v>
      </c>
      <c r="C225" s="180">
        <v>43777</v>
      </c>
      <c r="D225" s="179">
        <v>58</v>
      </c>
      <c r="E225" s="3" t="s">
        <v>61</v>
      </c>
      <c r="F225" s="143" t="s">
        <v>116</v>
      </c>
      <c r="G225" s="142">
        <v>37.220554064234108</v>
      </c>
      <c r="H225" s="11" t="s">
        <v>59</v>
      </c>
      <c r="I225" s="277" t="s">
        <v>62</v>
      </c>
      <c r="J225" s="260">
        <v>5</v>
      </c>
      <c r="K225" s="260">
        <v>5</v>
      </c>
      <c r="L225" s="260"/>
      <c r="M225" s="260"/>
      <c r="N225" s="260"/>
      <c r="O225" s="260"/>
      <c r="P225" s="260"/>
      <c r="Q225" s="260"/>
      <c r="R225" s="260"/>
      <c r="S225" s="260"/>
      <c r="T225" s="260"/>
      <c r="U225" s="260"/>
      <c r="V225" s="260">
        <v>5</v>
      </c>
      <c r="W225" s="260">
        <v>5</v>
      </c>
      <c r="X225" s="260">
        <v>5</v>
      </c>
      <c r="Y225" s="260">
        <v>5</v>
      </c>
      <c r="Z225" s="260">
        <v>5</v>
      </c>
      <c r="AA225" s="260">
        <v>5</v>
      </c>
      <c r="AB225" s="260">
        <v>5</v>
      </c>
      <c r="AC225" s="260">
        <v>5</v>
      </c>
      <c r="AD225" s="260"/>
      <c r="AE225" s="260"/>
      <c r="AF225" s="260"/>
      <c r="AG225" s="260"/>
      <c r="AH225" s="195">
        <v>384</v>
      </c>
      <c r="AI225" s="272">
        <v>5</v>
      </c>
      <c r="AJ225" s="271">
        <v>10</v>
      </c>
      <c r="AK225" s="260"/>
      <c r="AL225" s="260"/>
      <c r="AM225" s="260"/>
      <c r="AN225" s="260"/>
      <c r="AO225" s="260"/>
      <c r="AP225" s="260"/>
      <c r="AQ225" s="260"/>
      <c r="AR225" s="260"/>
      <c r="AS225" s="260"/>
      <c r="AT225" s="260"/>
      <c r="AU225" s="260">
        <v>5</v>
      </c>
      <c r="AV225" s="271">
        <v>80</v>
      </c>
      <c r="AW225" s="260">
        <v>5</v>
      </c>
      <c r="AX225" s="271">
        <v>80</v>
      </c>
      <c r="AY225" s="260">
        <v>5</v>
      </c>
      <c r="AZ225" s="271">
        <v>40</v>
      </c>
      <c r="BA225" s="276">
        <v>5</v>
      </c>
      <c r="BB225" s="276">
        <v>40</v>
      </c>
      <c r="BC225" s="276"/>
      <c r="BD225" s="276"/>
      <c r="BE225" s="276">
        <v>5</v>
      </c>
      <c r="BF225" s="276">
        <v>80</v>
      </c>
      <c r="BG225" s="260">
        <v>5</v>
      </c>
      <c r="BH225" s="271">
        <v>40</v>
      </c>
      <c r="BI225" s="276"/>
      <c r="BJ225" s="276"/>
      <c r="BK225" s="276"/>
      <c r="BL225" s="275"/>
      <c r="BM225" s="316">
        <v>384</v>
      </c>
      <c r="BN225" s="272">
        <v>5</v>
      </c>
      <c r="BO225" s="270">
        <v>10</v>
      </c>
      <c r="BP225" s="272"/>
      <c r="BQ225" s="260"/>
      <c r="BR225" s="260"/>
      <c r="BS225" s="260"/>
      <c r="BT225" s="260"/>
      <c r="BU225" s="260"/>
      <c r="BV225" s="260">
        <v>5</v>
      </c>
      <c r="BW225" s="260">
        <v>80</v>
      </c>
      <c r="BX225" s="260"/>
      <c r="BY225" s="260"/>
      <c r="BZ225" s="260"/>
      <c r="CA225" s="260"/>
      <c r="CB225" s="260"/>
      <c r="CC225" s="260"/>
      <c r="CD225" s="260">
        <v>10</v>
      </c>
      <c r="CE225" s="260">
        <v>320</v>
      </c>
      <c r="CF225" s="272"/>
      <c r="CG225" s="260"/>
      <c r="CH225" s="260"/>
      <c r="CI225" s="260"/>
      <c r="CJ225" s="260"/>
      <c r="CK225" s="260"/>
      <c r="CL225" s="260"/>
      <c r="CM225" s="260"/>
      <c r="CN225" s="260">
        <v>5</v>
      </c>
      <c r="CO225" s="260">
        <v>10</v>
      </c>
      <c r="CP225" s="260">
        <v>5</v>
      </c>
      <c r="CQ225" s="260">
        <v>10</v>
      </c>
      <c r="CR225" s="260">
        <v>5</v>
      </c>
      <c r="CS225" s="270">
        <v>10</v>
      </c>
      <c r="CT225" s="315">
        <v>384</v>
      </c>
      <c r="CU225" s="249">
        <f>Table2821115[[#This Row],[D28 - BR/18]]/Table2821115[[#This Row],[D0 - BR/18]]</f>
        <v>1</v>
      </c>
      <c r="CV225" s="248">
        <f>Table2821115[[#This Row],[D28 - KS/17]]/Table2821115[[#This Row],[D0 - KS/17]]</f>
        <v>16</v>
      </c>
      <c r="CW225" s="248">
        <f>Table2821115[[#This Row],[D28 - Phu/13]]/Table2821115[[#This Row],[D0 - Phu/13]]</f>
        <v>32</v>
      </c>
      <c r="CX225" s="248">
        <f>Table2821115[[#This Row],[D28 - CO/17]]/Table2821115[[#This Row],[D0 - CO/17]]</f>
        <v>2</v>
      </c>
      <c r="CY225" s="248">
        <f>LOG(Table2821115[[#This Row],[BR/18 Fold]],2)</f>
        <v>0</v>
      </c>
      <c r="CZ225" s="248">
        <f>LOG(Table2821115[[#This Row],[KS/17 Fold]],2)</f>
        <v>4</v>
      </c>
      <c r="DA225" s="248">
        <f>LOG(Table2821115[[#This Row],[Phu/13 Fold]],2)</f>
        <v>5</v>
      </c>
      <c r="DB225" s="248">
        <f>LOG(Table2821115[[#This Row],[CO/17 Fold]],2)</f>
        <v>1</v>
      </c>
      <c r="DC225" s="248">
        <f>SUM(Table2821115[[#This Row],[BR/18 Log2]:[CO/17 Log2]])</f>
        <v>10</v>
      </c>
    </row>
    <row r="226" spans="1:107" ht="24" customHeight="1">
      <c r="A226" s="318">
        <v>385</v>
      </c>
      <c r="B226" s="180">
        <v>22437</v>
      </c>
      <c r="C226" s="180">
        <v>43783</v>
      </c>
      <c r="D226" s="179">
        <v>58</v>
      </c>
      <c r="E226" s="3" t="s">
        <v>61</v>
      </c>
      <c r="F226" s="143" t="s">
        <v>116</v>
      </c>
      <c r="G226" s="142">
        <v>25.303748544948157</v>
      </c>
      <c r="H226" s="11" t="s">
        <v>59</v>
      </c>
      <c r="I226" s="277" t="s">
        <v>62</v>
      </c>
      <c r="J226" s="260">
        <v>5</v>
      </c>
      <c r="K226" s="260">
        <v>320</v>
      </c>
      <c r="L226" s="260"/>
      <c r="M226" s="260"/>
      <c r="N226" s="260"/>
      <c r="O226" s="260"/>
      <c r="P226" s="260"/>
      <c r="Q226" s="260"/>
      <c r="R226" s="260"/>
      <c r="S226" s="260"/>
      <c r="T226" s="260"/>
      <c r="U226" s="260"/>
      <c r="V226" s="260">
        <v>5</v>
      </c>
      <c r="W226" s="260">
        <v>5</v>
      </c>
      <c r="X226" s="260">
        <v>20</v>
      </c>
      <c r="Y226" s="260">
        <v>1280</v>
      </c>
      <c r="Z226" s="260">
        <v>40</v>
      </c>
      <c r="AA226" s="260">
        <v>1280</v>
      </c>
      <c r="AB226" s="260">
        <v>20</v>
      </c>
      <c r="AC226" s="260">
        <v>1280</v>
      </c>
      <c r="AD226" s="260"/>
      <c r="AE226" s="260"/>
      <c r="AF226" s="260"/>
      <c r="AG226" s="260"/>
      <c r="AH226" s="195">
        <v>385</v>
      </c>
      <c r="AI226" s="272">
        <v>10</v>
      </c>
      <c r="AJ226" s="271">
        <v>40</v>
      </c>
      <c r="AK226" s="260"/>
      <c r="AL226" s="260"/>
      <c r="AM226" s="260"/>
      <c r="AN226" s="260"/>
      <c r="AO226" s="260"/>
      <c r="AP226" s="260"/>
      <c r="AQ226" s="260"/>
      <c r="AR226" s="260"/>
      <c r="AS226" s="260"/>
      <c r="AT226" s="260"/>
      <c r="AU226" s="260">
        <v>5</v>
      </c>
      <c r="AV226" s="271">
        <v>80</v>
      </c>
      <c r="AW226" s="260">
        <v>20</v>
      </c>
      <c r="AX226" s="271">
        <v>320</v>
      </c>
      <c r="AY226" s="260">
        <v>5</v>
      </c>
      <c r="AZ226" s="271">
        <v>40</v>
      </c>
      <c r="BA226" s="276">
        <v>20</v>
      </c>
      <c r="BB226" s="276">
        <v>160</v>
      </c>
      <c r="BC226" s="276"/>
      <c r="BD226" s="276"/>
      <c r="BE226" s="276">
        <v>5</v>
      </c>
      <c r="BF226" s="276">
        <v>40</v>
      </c>
      <c r="BG226" s="260">
        <v>20</v>
      </c>
      <c r="BH226" s="271">
        <v>80</v>
      </c>
      <c r="BI226" s="276"/>
      <c r="BJ226" s="276"/>
      <c r="BK226" s="276"/>
      <c r="BL226" s="275"/>
      <c r="BM226" s="316">
        <v>385</v>
      </c>
      <c r="BN226" s="272">
        <v>320</v>
      </c>
      <c r="BO226" s="270">
        <v>320</v>
      </c>
      <c r="BP226" s="272"/>
      <c r="BQ226" s="260"/>
      <c r="BR226" s="260"/>
      <c r="BS226" s="260"/>
      <c r="BT226" s="260"/>
      <c r="BU226" s="260"/>
      <c r="BV226" s="260">
        <v>80</v>
      </c>
      <c r="BW226" s="260">
        <v>160</v>
      </c>
      <c r="BX226" s="260"/>
      <c r="BY226" s="260"/>
      <c r="BZ226" s="260"/>
      <c r="CA226" s="260"/>
      <c r="CB226" s="260"/>
      <c r="CC226" s="260"/>
      <c r="CD226" s="260">
        <v>40</v>
      </c>
      <c r="CE226" s="260">
        <v>160</v>
      </c>
      <c r="CF226" s="272"/>
      <c r="CG226" s="260"/>
      <c r="CH226" s="260"/>
      <c r="CI226" s="260"/>
      <c r="CJ226" s="260"/>
      <c r="CK226" s="260"/>
      <c r="CL226" s="260"/>
      <c r="CM226" s="260"/>
      <c r="CN226" s="260">
        <v>80</v>
      </c>
      <c r="CO226" s="260">
        <v>80</v>
      </c>
      <c r="CP226" s="260">
        <v>160</v>
      </c>
      <c r="CQ226" s="260">
        <v>160</v>
      </c>
      <c r="CR226" s="260">
        <v>160</v>
      </c>
      <c r="CS226" s="270">
        <v>160</v>
      </c>
      <c r="CT226" s="315">
        <v>385</v>
      </c>
      <c r="CU226" s="249">
        <f>Table2821115[[#This Row],[D28 - BR/18]]/Table2821115[[#This Row],[D0 - BR/18]]</f>
        <v>64</v>
      </c>
      <c r="CV226" s="248">
        <f>Table2821115[[#This Row],[D28 - KS/17]]/Table2821115[[#This Row],[D0 - KS/17]]</f>
        <v>8</v>
      </c>
      <c r="CW226" s="248">
        <f>Table2821115[[#This Row],[D28 - Phu/13]]/Table2821115[[#This Row],[D0 - Phu/13]]</f>
        <v>4</v>
      </c>
      <c r="CX226" s="248">
        <f>Table2821115[[#This Row],[D28 - CO/17]]/Table2821115[[#This Row],[D0 - CO/17]]</f>
        <v>1</v>
      </c>
      <c r="CY226" s="248">
        <f>LOG(Table2821115[[#This Row],[BR/18 Fold]],2)</f>
        <v>6</v>
      </c>
      <c r="CZ226" s="248">
        <f>LOG(Table2821115[[#This Row],[KS/17 Fold]],2)</f>
        <v>3</v>
      </c>
      <c r="DA226" s="248">
        <f>LOG(Table2821115[[#This Row],[Phu/13 Fold]],2)</f>
        <v>2</v>
      </c>
      <c r="DB226" s="248">
        <f>LOG(Table2821115[[#This Row],[CO/17 Fold]],2)</f>
        <v>0</v>
      </c>
      <c r="DC226" s="248">
        <f>SUM(Table2821115[[#This Row],[BR/18 Log2]:[CO/17 Log2]])</f>
        <v>11</v>
      </c>
    </row>
    <row r="227" spans="1:107" ht="24" customHeight="1">
      <c r="A227" s="324">
        <v>386</v>
      </c>
      <c r="B227" s="190">
        <v>27457</v>
      </c>
      <c r="C227" s="190">
        <v>43801</v>
      </c>
      <c r="D227" s="189">
        <v>44</v>
      </c>
      <c r="E227" s="3" t="s">
        <v>61</v>
      </c>
      <c r="F227" s="143" t="s">
        <v>116</v>
      </c>
      <c r="G227" s="142">
        <v>31.547253723728769</v>
      </c>
      <c r="H227" s="11" t="s">
        <v>59</v>
      </c>
      <c r="I227" s="277" t="s">
        <v>60</v>
      </c>
      <c r="J227" s="260">
        <v>5</v>
      </c>
      <c r="K227" s="260">
        <v>5</v>
      </c>
      <c r="L227" s="260"/>
      <c r="M227" s="260"/>
      <c r="N227" s="260"/>
      <c r="O227" s="260"/>
      <c r="P227" s="260"/>
      <c r="Q227" s="260"/>
      <c r="R227" s="260"/>
      <c r="S227" s="260"/>
      <c r="T227" s="260"/>
      <c r="U227" s="260"/>
      <c r="V227" s="260">
        <v>5</v>
      </c>
      <c r="W227" s="260">
        <v>5</v>
      </c>
      <c r="X227" s="260">
        <v>80</v>
      </c>
      <c r="Y227" s="260">
        <v>320</v>
      </c>
      <c r="Z227" s="260">
        <v>5</v>
      </c>
      <c r="AA227" s="260">
        <v>320</v>
      </c>
      <c r="AB227" s="260">
        <v>5</v>
      </c>
      <c r="AC227" s="260">
        <v>160</v>
      </c>
      <c r="AD227" s="260"/>
      <c r="AE227" s="260"/>
      <c r="AF227" s="260"/>
      <c r="AG227" s="260"/>
      <c r="AH227" s="198">
        <v>386</v>
      </c>
      <c r="AI227" s="272">
        <v>20</v>
      </c>
      <c r="AJ227" s="271">
        <v>40</v>
      </c>
      <c r="AK227" s="260"/>
      <c r="AL227" s="260"/>
      <c r="AM227" s="260"/>
      <c r="AN227" s="260"/>
      <c r="AO227" s="260"/>
      <c r="AP227" s="260"/>
      <c r="AQ227" s="260"/>
      <c r="AR227" s="260"/>
      <c r="AS227" s="260"/>
      <c r="AT227" s="260"/>
      <c r="AU227" s="260">
        <v>40</v>
      </c>
      <c r="AV227" s="271">
        <v>40</v>
      </c>
      <c r="AW227" s="260">
        <v>10</v>
      </c>
      <c r="AX227" s="271">
        <v>20</v>
      </c>
      <c r="AY227" s="260">
        <v>5</v>
      </c>
      <c r="AZ227" s="271">
        <v>5</v>
      </c>
      <c r="BA227" s="276">
        <v>40</v>
      </c>
      <c r="BB227" s="276">
        <v>40</v>
      </c>
      <c r="BC227" s="276"/>
      <c r="BD227" s="276"/>
      <c r="BE227" s="276">
        <v>5</v>
      </c>
      <c r="BF227" s="276">
        <v>40</v>
      </c>
      <c r="BG227" s="260">
        <v>80</v>
      </c>
      <c r="BH227" s="271">
        <v>40</v>
      </c>
      <c r="BI227" s="276"/>
      <c r="BJ227" s="276"/>
      <c r="BK227" s="276"/>
      <c r="BL227" s="275"/>
      <c r="BM227" s="323">
        <v>386</v>
      </c>
      <c r="BN227" s="272">
        <v>80</v>
      </c>
      <c r="BO227" s="270">
        <v>160</v>
      </c>
      <c r="BP227" s="272"/>
      <c r="BQ227" s="260"/>
      <c r="BR227" s="260"/>
      <c r="BS227" s="260"/>
      <c r="BT227" s="260"/>
      <c r="BU227" s="260"/>
      <c r="BV227" s="260">
        <v>5</v>
      </c>
      <c r="BW227" s="260">
        <v>5</v>
      </c>
      <c r="BX227" s="260"/>
      <c r="BY227" s="260"/>
      <c r="BZ227" s="260"/>
      <c r="CA227" s="260"/>
      <c r="CB227" s="260"/>
      <c r="CC227" s="260"/>
      <c r="CD227" s="260">
        <v>80</v>
      </c>
      <c r="CE227" s="260">
        <v>80</v>
      </c>
      <c r="CF227" s="272"/>
      <c r="CG227" s="260"/>
      <c r="CH227" s="260"/>
      <c r="CI227" s="260"/>
      <c r="CJ227" s="260"/>
      <c r="CK227" s="260"/>
      <c r="CL227" s="260"/>
      <c r="CM227" s="260"/>
      <c r="CN227" s="260">
        <v>80</v>
      </c>
      <c r="CO227" s="260">
        <v>80</v>
      </c>
      <c r="CP227" s="260">
        <v>160</v>
      </c>
      <c r="CQ227" s="260">
        <v>160</v>
      </c>
      <c r="CR227" s="260">
        <v>80</v>
      </c>
      <c r="CS227" s="270">
        <v>160</v>
      </c>
      <c r="CT227" s="322">
        <v>386</v>
      </c>
      <c r="CU227" s="249">
        <f>Table2821115[[#This Row],[D28 - BR/18]]/Table2821115[[#This Row],[D0 - BR/18]]</f>
        <v>32</v>
      </c>
      <c r="CV227" s="248">
        <f>Table2821115[[#This Row],[D28 - KS/17]]/Table2821115[[#This Row],[D0 - KS/17]]</f>
        <v>8</v>
      </c>
      <c r="CW227" s="248">
        <f>Table2821115[[#This Row],[D28 - Phu/13]]/Table2821115[[#This Row],[D0 - Phu/13]]</f>
        <v>1</v>
      </c>
      <c r="CX227" s="248">
        <f>Table2821115[[#This Row],[D28 - CO/17]]/Table2821115[[#This Row],[D0 - CO/17]]</f>
        <v>1</v>
      </c>
      <c r="CY227" s="248">
        <f>LOG(Table2821115[[#This Row],[BR/18 Fold]],2)</f>
        <v>5</v>
      </c>
      <c r="CZ227" s="248">
        <f>LOG(Table2821115[[#This Row],[KS/17 Fold]],2)</f>
        <v>3</v>
      </c>
      <c r="DA227" s="248">
        <f>LOG(Table2821115[[#This Row],[Phu/13 Fold]],2)</f>
        <v>0</v>
      </c>
      <c r="DB227" s="248">
        <f>LOG(Table2821115[[#This Row],[CO/17 Fold]],2)</f>
        <v>0</v>
      </c>
      <c r="DC227" s="248">
        <f>SUM(Table2821115[[#This Row],[BR/18 Log2]:[CO/17 Log2]])</f>
        <v>8</v>
      </c>
    </row>
    <row r="228" spans="1:107" ht="24" customHeight="1">
      <c r="A228" s="324">
        <v>387</v>
      </c>
      <c r="B228" s="190">
        <v>27831</v>
      </c>
      <c r="C228" s="190">
        <v>43776</v>
      </c>
      <c r="D228" s="189">
        <v>43</v>
      </c>
      <c r="E228" s="4" t="s">
        <v>58</v>
      </c>
      <c r="F228" s="143" t="s">
        <v>116</v>
      </c>
      <c r="G228" s="142">
        <v>27.155628655605817</v>
      </c>
      <c r="H228" s="11" t="s">
        <v>59</v>
      </c>
      <c r="I228" s="277" t="s">
        <v>60</v>
      </c>
      <c r="J228" s="260">
        <v>5</v>
      </c>
      <c r="K228" s="260">
        <v>5</v>
      </c>
      <c r="L228" s="260"/>
      <c r="M228" s="260"/>
      <c r="N228" s="260"/>
      <c r="O228" s="260"/>
      <c r="P228" s="260"/>
      <c r="Q228" s="260"/>
      <c r="R228" s="260"/>
      <c r="S228" s="260"/>
      <c r="T228" s="260"/>
      <c r="U228" s="260"/>
      <c r="V228" s="260">
        <v>5</v>
      </c>
      <c r="W228" s="260">
        <v>10</v>
      </c>
      <c r="X228" s="260">
        <v>5</v>
      </c>
      <c r="Y228" s="260">
        <v>10</v>
      </c>
      <c r="Z228" s="260">
        <v>5</v>
      </c>
      <c r="AA228" s="260">
        <v>5</v>
      </c>
      <c r="AB228" s="260">
        <v>10</v>
      </c>
      <c r="AC228" s="260">
        <v>10</v>
      </c>
      <c r="AD228" s="260"/>
      <c r="AE228" s="260"/>
      <c r="AF228" s="260"/>
      <c r="AG228" s="260"/>
      <c r="AH228" s="198">
        <v>387</v>
      </c>
      <c r="AI228" s="272">
        <v>20</v>
      </c>
      <c r="AJ228" s="271">
        <v>20</v>
      </c>
      <c r="AK228" s="260"/>
      <c r="AL228" s="260"/>
      <c r="AM228" s="260"/>
      <c r="AN228" s="260"/>
      <c r="AO228" s="260"/>
      <c r="AP228" s="260"/>
      <c r="AQ228" s="260"/>
      <c r="AR228" s="260"/>
      <c r="AS228" s="260"/>
      <c r="AT228" s="260"/>
      <c r="AU228" s="260">
        <v>20</v>
      </c>
      <c r="AV228" s="271">
        <v>40</v>
      </c>
      <c r="AW228" s="260">
        <v>20</v>
      </c>
      <c r="AX228" s="271">
        <v>40</v>
      </c>
      <c r="AY228" s="260">
        <v>5</v>
      </c>
      <c r="AZ228" s="271">
        <v>5</v>
      </c>
      <c r="BA228" s="276">
        <v>10</v>
      </c>
      <c r="BB228" s="276">
        <v>10</v>
      </c>
      <c r="BC228" s="276"/>
      <c r="BD228" s="276"/>
      <c r="BE228" s="276">
        <v>5</v>
      </c>
      <c r="BF228" s="276">
        <v>10</v>
      </c>
      <c r="BG228" s="260">
        <v>10</v>
      </c>
      <c r="BH228" s="271">
        <v>20</v>
      </c>
      <c r="BI228" s="276"/>
      <c r="BJ228" s="276"/>
      <c r="BK228" s="276"/>
      <c r="BL228" s="275"/>
      <c r="BM228" s="323">
        <v>387</v>
      </c>
      <c r="BN228" s="272">
        <v>40</v>
      </c>
      <c r="BO228" s="270">
        <v>40</v>
      </c>
      <c r="BP228" s="272"/>
      <c r="BQ228" s="260"/>
      <c r="BR228" s="260"/>
      <c r="BS228" s="260"/>
      <c r="BT228" s="260"/>
      <c r="BU228" s="260"/>
      <c r="BV228" s="260">
        <v>5</v>
      </c>
      <c r="BW228" s="260">
        <v>160</v>
      </c>
      <c r="BX228" s="260"/>
      <c r="BY228" s="260"/>
      <c r="BZ228" s="260"/>
      <c r="CA228" s="260"/>
      <c r="CB228" s="260"/>
      <c r="CC228" s="260"/>
      <c r="CD228" s="260">
        <v>160</v>
      </c>
      <c r="CE228" s="260">
        <v>160</v>
      </c>
      <c r="CF228" s="272"/>
      <c r="CG228" s="260"/>
      <c r="CH228" s="260"/>
      <c r="CI228" s="260"/>
      <c r="CJ228" s="260"/>
      <c r="CK228" s="260"/>
      <c r="CL228" s="260"/>
      <c r="CM228" s="260"/>
      <c r="CN228" s="260">
        <v>5</v>
      </c>
      <c r="CO228" s="260">
        <v>20</v>
      </c>
      <c r="CP228" s="260">
        <v>40</v>
      </c>
      <c r="CQ228" s="260">
        <v>80</v>
      </c>
      <c r="CR228" s="260">
        <v>40</v>
      </c>
      <c r="CS228" s="270">
        <v>40</v>
      </c>
      <c r="CT228" s="322">
        <v>387</v>
      </c>
      <c r="CU228" s="249">
        <f>Table2821115[[#This Row],[D28 - BR/18]]/Table2821115[[#This Row],[D0 - BR/18]]</f>
        <v>1</v>
      </c>
      <c r="CV228" s="248">
        <f>Table2821115[[#This Row],[D28 - KS/17]]/Table2821115[[#This Row],[D0 - KS/17]]</f>
        <v>2</v>
      </c>
      <c r="CW228" s="248">
        <f>Table2821115[[#This Row],[D28 - Phu/13]]/Table2821115[[#This Row],[D0 - Phu/13]]</f>
        <v>1</v>
      </c>
      <c r="CX228" s="248">
        <f>Table2821115[[#This Row],[D28 - CO/17]]/Table2821115[[#This Row],[D0 - CO/17]]</f>
        <v>2</v>
      </c>
      <c r="CY228" s="248">
        <f>LOG(Table2821115[[#This Row],[BR/18 Fold]],2)</f>
        <v>0</v>
      </c>
      <c r="CZ228" s="248">
        <f>LOG(Table2821115[[#This Row],[KS/17 Fold]],2)</f>
        <v>1</v>
      </c>
      <c r="DA228" s="248">
        <f>LOG(Table2821115[[#This Row],[Phu/13 Fold]],2)</f>
        <v>0</v>
      </c>
      <c r="DB228" s="248">
        <f>LOG(Table2821115[[#This Row],[CO/17 Fold]],2)</f>
        <v>1</v>
      </c>
      <c r="DC228" s="248">
        <f>SUM(Table2821115[[#This Row],[BR/18 Log2]:[CO/17 Log2]])</f>
        <v>2</v>
      </c>
    </row>
    <row r="229" spans="1:107" ht="24" customHeight="1">
      <c r="A229" s="318">
        <v>388</v>
      </c>
      <c r="B229" s="180">
        <v>24151</v>
      </c>
      <c r="C229" s="180">
        <v>43783</v>
      </c>
      <c r="D229" s="179">
        <v>53</v>
      </c>
      <c r="E229" s="3" t="s">
        <v>61</v>
      </c>
      <c r="F229" s="143" t="s">
        <v>116</v>
      </c>
      <c r="G229" s="142">
        <v>28.182629387269486</v>
      </c>
      <c r="H229" s="11" t="s">
        <v>59</v>
      </c>
      <c r="I229" s="277" t="s">
        <v>60</v>
      </c>
      <c r="J229" s="260">
        <v>5</v>
      </c>
      <c r="K229" s="260">
        <v>5</v>
      </c>
      <c r="L229" s="260"/>
      <c r="M229" s="260"/>
      <c r="N229" s="260"/>
      <c r="O229" s="260"/>
      <c r="P229" s="260"/>
      <c r="Q229" s="260"/>
      <c r="R229" s="260"/>
      <c r="S229" s="260"/>
      <c r="T229" s="260"/>
      <c r="U229" s="260"/>
      <c r="V229" s="260">
        <v>5</v>
      </c>
      <c r="W229" s="260">
        <v>5</v>
      </c>
      <c r="X229" s="260">
        <v>5</v>
      </c>
      <c r="Y229" s="260">
        <v>20</v>
      </c>
      <c r="Z229" s="260">
        <v>5</v>
      </c>
      <c r="AA229" s="260">
        <v>40</v>
      </c>
      <c r="AB229" s="260">
        <v>5</v>
      </c>
      <c r="AC229" s="260">
        <v>40</v>
      </c>
      <c r="AD229" s="260"/>
      <c r="AE229" s="260"/>
      <c r="AF229" s="260"/>
      <c r="AG229" s="260"/>
      <c r="AH229" s="195">
        <v>388</v>
      </c>
      <c r="AI229" s="272">
        <v>5</v>
      </c>
      <c r="AJ229" s="271">
        <v>5</v>
      </c>
      <c r="AK229" s="260"/>
      <c r="AL229" s="260"/>
      <c r="AM229" s="260"/>
      <c r="AN229" s="260"/>
      <c r="AO229" s="260"/>
      <c r="AP229" s="260"/>
      <c r="AQ229" s="260"/>
      <c r="AR229" s="260"/>
      <c r="AS229" s="260"/>
      <c r="AT229" s="260"/>
      <c r="AU229" s="260">
        <v>5</v>
      </c>
      <c r="AV229" s="271">
        <v>10</v>
      </c>
      <c r="AW229" s="260">
        <v>5</v>
      </c>
      <c r="AX229" s="271">
        <v>10</v>
      </c>
      <c r="AY229" s="260">
        <v>5</v>
      </c>
      <c r="AZ229" s="271">
        <v>5</v>
      </c>
      <c r="BA229" s="276">
        <v>5</v>
      </c>
      <c r="BB229" s="276">
        <v>10</v>
      </c>
      <c r="BC229" s="276"/>
      <c r="BD229" s="276"/>
      <c r="BE229" s="276">
        <v>5</v>
      </c>
      <c r="BF229" s="276">
        <v>10</v>
      </c>
      <c r="BG229" s="260">
        <v>5</v>
      </c>
      <c r="BH229" s="271">
        <v>10</v>
      </c>
      <c r="BI229" s="276"/>
      <c r="BJ229" s="276"/>
      <c r="BK229" s="276"/>
      <c r="BL229" s="275"/>
      <c r="BM229" s="316">
        <v>388</v>
      </c>
      <c r="BN229" s="272">
        <v>20</v>
      </c>
      <c r="BO229" s="270">
        <v>40</v>
      </c>
      <c r="BP229" s="272"/>
      <c r="BQ229" s="260"/>
      <c r="BR229" s="260"/>
      <c r="BS229" s="260"/>
      <c r="BT229" s="260"/>
      <c r="BU229" s="260"/>
      <c r="BV229" s="260">
        <v>5</v>
      </c>
      <c r="BW229" s="260">
        <v>10</v>
      </c>
      <c r="BX229" s="260"/>
      <c r="BY229" s="260"/>
      <c r="BZ229" s="260"/>
      <c r="CA229" s="260"/>
      <c r="CB229" s="260"/>
      <c r="CC229" s="260"/>
      <c r="CD229" s="260">
        <v>5</v>
      </c>
      <c r="CE229" s="260">
        <v>20</v>
      </c>
      <c r="CF229" s="272"/>
      <c r="CG229" s="260"/>
      <c r="CH229" s="260"/>
      <c r="CI229" s="260"/>
      <c r="CJ229" s="260"/>
      <c r="CK229" s="260"/>
      <c r="CL229" s="260"/>
      <c r="CM229" s="260"/>
      <c r="CN229" s="260">
        <v>5</v>
      </c>
      <c r="CO229" s="260">
        <v>40</v>
      </c>
      <c r="CP229" s="260">
        <v>5</v>
      </c>
      <c r="CQ229" s="260">
        <v>80</v>
      </c>
      <c r="CR229" s="260">
        <v>5</v>
      </c>
      <c r="CS229" s="270">
        <v>80</v>
      </c>
      <c r="CT229" s="315">
        <v>388</v>
      </c>
      <c r="CU229" s="249">
        <f>Table2821115[[#This Row],[D28 - BR/18]]/Table2821115[[#This Row],[D0 - BR/18]]</f>
        <v>8</v>
      </c>
      <c r="CV229" s="248">
        <f>Table2821115[[#This Row],[D28 - KS/17]]/Table2821115[[#This Row],[D0 - KS/17]]</f>
        <v>2</v>
      </c>
      <c r="CW229" s="248">
        <f>Table2821115[[#This Row],[D28 - Phu/13]]/Table2821115[[#This Row],[D0 - Phu/13]]</f>
        <v>4</v>
      </c>
      <c r="CX229" s="248">
        <f>Table2821115[[#This Row],[D28 - CO/17]]/Table2821115[[#This Row],[D0 - CO/17]]</f>
        <v>16</v>
      </c>
      <c r="CY229" s="248">
        <f>LOG(Table2821115[[#This Row],[BR/18 Fold]],2)</f>
        <v>3</v>
      </c>
      <c r="CZ229" s="248">
        <f>LOG(Table2821115[[#This Row],[KS/17 Fold]],2)</f>
        <v>1</v>
      </c>
      <c r="DA229" s="248">
        <f>LOG(Table2821115[[#This Row],[Phu/13 Fold]],2)</f>
        <v>2</v>
      </c>
      <c r="DB229" s="248">
        <f>LOG(Table2821115[[#This Row],[CO/17 Fold]],2)</f>
        <v>4</v>
      </c>
      <c r="DC229" s="248">
        <f>SUM(Table2821115[[#This Row],[BR/18 Log2]:[CO/17 Log2]])</f>
        <v>10</v>
      </c>
    </row>
    <row r="230" spans="1:107" ht="24" customHeight="1">
      <c r="A230" s="330">
        <v>389</v>
      </c>
      <c r="B230" s="210">
        <v>19190</v>
      </c>
      <c r="C230" s="210">
        <v>43774</v>
      </c>
      <c r="D230" s="209">
        <v>67</v>
      </c>
      <c r="E230" s="3" t="s">
        <v>61</v>
      </c>
      <c r="F230" s="143" t="s">
        <v>126</v>
      </c>
      <c r="G230" s="142">
        <v>21.240498806659701</v>
      </c>
      <c r="H230" s="5" t="s">
        <v>64</v>
      </c>
      <c r="I230" s="277" t="s">
        <v>60</v>
      </c>
      <c r="J230" s="260">
        <v>5</v>
      </c>
      <c r="K230" s="260">
        <v>5</v>
      </c>
      <c r="L230" s="260"/>
      <c r="M230" s="260"/>
      <c r="N230" s="260"/>
      <c r="O230" s="260"/>
      <c r="P230" s="260"/>
      <c r="Q230" s="260"/>
      <c r="R230" s="260"/>
      <c r="S230" s="260"/>
      <c r="T230" s="260"/>
      <c r="U230" s="260"/>
      <c r="V230" s="260">
        <v>5</v>
      </c>
      <c r="W230" s="260">
        <v>160</v>
      </c>
      <c r="X230" s="260">
        <v>40</v>
      </c>
      <c r="Y230" s="260">
        <v>40</v>
      </c>
      <c r="Z230" s="260">
        <v>40</v>
      </c>
      <c r="AA230" s="260">
        <v>40</v>
      </c>
      <c r="AB230" s="260">
        <v>20</v>
      </c>
      <c r="AC230" s="260">
        <v>20</v>
      </c>
      <c r="AD230" s="260"/>
      <c r="AE230" s="260"/>
      <c r="AF230" s="260"/>
      <c r="AG230" s="260"/>
      <c r="AH230" s="208">
        <v>389</v>
      </c>
      <c r="AI230" s="272">
        <v>40</v>
      </c>
      <c r="AJ230" s="271">
        <v>80</v>
      </c>
      <c r="AK230" s="260"/>
      <c r="AL230" s="260"/>
      <c r="AM230" s="260"/>
      <c r="AN230" s="260"/>
      <c r="AO230" s="260"/>
      <c r="AP230" s="260"/>
      <c r="AQ230" s="260"/>
      <c r="AR230" s="260"/>
      <c r="AS230" s="260"/>
      <c r="AT230" s="260"/>
      <c r="AU230" s="260">
        <v>40</v>
      </c>
      <c r="AV230" s="271">
        <v>40</v>
      </c>
      <c r="AW230" s="260">
        <v>20</v>
      </c>
      <c r="AX230" s="271">
        <v>20</v>
      </c>
      <c r="AY230" s="260">
        <v>20</v>
      </c>
      <c r="AZ230" s="271">
        <v>20</v>
      </c>
      <c r="BA230" s="276">
        <v>40</v>
      </c>
      <c r="BB230" s="276">
        <v>40</v>
      </c>
      <c r="BC230" s="276"/>
      <c r="BD230" s="276"/>
      <c r="BE230" s="276">
        <v>10</v>
      </c>
      <c r="BF230" s="276">
        <v>160</v>
      </c>
      <c r="BG230" s="260">
        <v>40</v>
      </c>
      <c r="BH230" s="271">
        <v>40</v>
      </c>
      <c r="BI230" s="276"/>
      <c r="BJ230" s="276"/>
      <c r="BK230" s="276"/>
      <c r="BL230" s="275"/>
      <c r="BM230" s="329">
        <v>389</v>
      </c>
      <c r="BN230" s="272">
        <v>80</v>
      </c>
      <c r="BO230" s="270">
        <v>80</v>
      </c>
      <c r="BP230" s="272"/>
      <c r="BQ230" s="260"/>
      <c r="BR230" s="260"/>
      <c r="BS230" s="260"/>
      <c r="BT230" s="260"/>
      <c r="BU230" s="260"/>
      <c r="BV230" s="260">
        <v>5</v>
      </c>
      <c r="BW230" s="260">
        <v>10</v>
      </c>
      <c r="BX230" s="260"/>
      <c r="BY230" s="260"/>
      <c r="BZ230" s="260"/>
      <c r="CA230" s="260"/>
      <c r="CB230" s="260"/>
      <c r="CC230" s="260"/>
      <c r="CD230" s="260">
        <v>20</v>
      </c>
      <c r="CE230" s="260">
        <v>20</v>
      </c>
      <c r="CF230" s="272"/>
      <c r="CG230" s="260"/>
      <c r="CH230" s="260"/>
      <c r="CI230" s="260"/>
      <c r="CJ230" s="260"/>
      <c r="CK230" s="260"/>
      <c r="CL230" s="260"/>
      <c r="CM230" s="260"/>
      <c r="CN230" s="260">
        <v>20</v>
      </c>
      <c r="CO230" s="260">
        <v>40</v>
      </c>
      <c r="CP230" s="260">
        <v>80</v>
      </c>
      <c r="CQ230" s="260">
        <v>80</v>
      </c>
      <c r="CR230" s="260">
        <v>80</v>
      </c>
      <c r="CS230" s="270">
        <v>80</v>
      </c>
      <c r="CT230" s="328">
        <v>389</v>
      </c>
      <c r="CU230" s="249">
        <f>Table2821115[[#This Row],[D28 - BR/18]]/Table2821115[[#This Row],[D0 - BR/18]]</f>
        <v>1</v>
      </c>
      <c r="CV230" s="248">
        <f>Table2821115[[#This Row],[D28 - KS/17]]/Table2821115[[#This Row],[D0 - KS/17]]</f>
        <v>16</v>
      </c>
      <c r="CW230" s="248">
        <f>Table2821115[[#This Row],[D28 - Phu/13]]/Table2821115[[#This Row],[D0 - Phu/13]]</f>
        <v>1</v>
      </c>
      <c r="CX230" s="248">
        <f>Table2821115[[#This Row],[D28 - CO/17]]/Table2821115[[#This Row],[D0 - CO/17]]</f>
        <v>1</v>
      </c>
      <c r="CY230" s="248">
        <f>LOG(Table2821115[[#This Row],[BR/18 Fold]],2)</f>
        <v>0</v>
      </c>
      <c r="CZ230" s="248">
        <f>LOG(Table2821115[[#This Row],[KS/17 Fold]],2)</f>
        <v>4</v>
      </c>
      <c r="DA230" s="248">
        <f>LOG(Table2821115[[#This Row],[Phu/13 Fold]],2)</f>
        <v>0</v>
      </c>
      <c r="DB230" s="248">
        <f>LOG(Table2821115[[#This Row],[CO/17 Fold]],2)</f>
        <v>0</v>
      </c>
      <c r="DC230" s="248">
        <f>SUM(Table2821115[[#This Row],[BR/18 Log2]:[CO/17 Log2]])</f>
        <v>4</v>
      </c>
    </row>
    <row r="231" spans="1:107" ht="24" customHeight="1">
      <c r="A231" s="318">
        <v>390</v>
      </c>
      <c r="B231" s="180">
        <v>21872</v>
      </c>
      <c r="C231" s="180">
        <v>43777</v>
      </c>
      <c r="D231" s="179">
        <v>59</v>
      </c>
      <c r="E231" s="4" t="s">
        <v>58</v>
      </c>
      <c r="F231" s="143" t="s">
        <v>116</v>
      </c>
      <c r="G231" s="142">
        <v>21.083570742440536</v>
      </c>
      <c r="H231" s="11" t="s">
        <v>59</v>
      </c>
      <c r="I231" s="277" t="s">
        <v>60</v>
      </c>
      <c r="J231" s="260">
        <v>5</v>
      </c>
      <c r="K231" s="260">
        <v>5</v>
      </c>
      <c r="L231" s="260"/>
      <c r="M231" s="260"/>
      <c r="N231" s="260"/>
      <c r="O231" s="260"/>
      <c r="P231" s="260"/>
      <c r="Q231" s="260"/>
      <c r="R231" s="260"/>
      <c r="S231" s="260"/>
      <c r="T231" s="260"/>
      <c r="U231" s="260"/>
      <c r="V231" s="260">
        <v>10</v>
      </c>
      <c r="W231" s="260">
        <v>10</v>
      </c>
      <c r="X231" s="260">
        <v>5</v>
      </c>
      <c r="Y231" s="260">
        <v>5</v>
      </c>
      <c r="Z231" s="260">
        <v>5</v>
      </c>
      <c r="AA231" s="260">
        <v>5</v>
      </c>
      <c r="AB231" s="260">
        <v>40</v>
      </c>
      <c r="AC231" s="260">
        <v>40</v>
      </c>
      <c r="AD231" s="260"/>
      <c r="AE231" s="260"/>
      <c r="AF231" s="260"/>
      <c r="AG231" s="260"/>
      <c r="AH231" s="195">
        <v>390</v>
      </c>
      <c r="AI231" s="272">
        <v>20</v>
      </c>
      <c r="AJ231" s="271">
        <v>20</v>
      </c>
      <c r="AK231" s="260"/>
      <c r="AL231" s="260"/>
      <c r="AM231" s="260"/>
      <c r="AN231" s="260"/>
      <c r="AO231" s="260"/>
      <c r="AP231" s="260"/>
      <c r="AQ231" s="260"/>
      <c r="AR231" s="260"/>
      <c r="AS231" s="260"/>
      <c r="AT231" s="260"/>
      <c r="AU231" s="260">
        <v>20</v>
      </c>
      <c r="AV231" s="271">
        <v>20</v>
      </c>
      <c r="AW231" s="260">
        <v>20</v>
      </c>
      <c r="AX231" s="271">
        <v>20</v>
      </c>
      <c r="AY231" s="260">
        <v>5</v>
      </c>
      <c r="AZ231" s="271">
        <v>5</v>
      </c>
      <c r="BA231" s="276">
        <v>10</v>
      </c>
      <c r="BB231" s="276">
        <v>10</v>
      </c>
      <c r="BC231" s="276"/>
      <c r="BD231" s="276"/>
      <c r="BE231" s="276">
        <v>5</v>
      </c>
      <c r="BF231" s="276">
        <v>5</v>
      </c>
      <c r="BG231" s="260">
        <v>20</v>
      </c>
      <c r="BH231" s="271">
        <v>20</v>
      </c>
      <c r="BI231" s="276"/>
      <c r="BJ231" s="276"/>
      <c r="BK231" s="276"/>
      <c r="BL231" s="275"/>
      <c r="BM231" s="316">
        <v>390</v>
      </c>
      <c r="BN231" s="272">
        <v>40</v>
      </c>
      <c r="BO231" s="270">
        <v>40</v>
      </c>
      <c r="BP231" s="272"/>
      <c r="BQ231" s="260"/>
      <c r="BR231" s="260"/>
      <c r="BS231" s="260"/>
      <c r="BT231" s="260"/>
      <c r="BU231" s="260"/>
      <c r="BV231" s="260">
        <v>5</v>
      </c>
      <c r="BW231" s="260">
        <v>5</v>
      </c>
      <c r="BX231" s="260"/>
      <c r="BY231" s="260"/>
      <c r="BZ231" s="260"/>
      <c r="CA231" s="260"/>
      <c r="CB231" s="260"/>
      <c r="CC231" s="260"/>
      <c r="CD231" s="260">
        <v>80</v>
      </c>
      <c r="CE231" s="260">
        <v>80</v>
      </c>
      <c r="CF231" s="272"/>
      <c r="CG231" s="260"/>
      <c r="CH231" s="260"/>
      <c r="CI231" s="260"/>
      <c r="CJ231" s="260"/>
      <c r="CK231" s="260"/>
      <c r="CL231" s="260"/>
      <c r="CM231" s="260"/>
      <c r="CN231" s="260">
        <v>5</v>
      </c>
      <c r="CO231" s="260">
        <v>5</v>
      </c>
      <c r="CP231" s="260">
        <v>20</v>
      </c>
      <c r="CQ231" s="260">
        <v>20</v>
      </c>
      <c r="CR231" s="260">
        <v>20</v>
      </c>
      <c r="CS231" s="270">
        <v>20</v>
      </c>
      <c r="CT231" s="315">
        <v>390</v>
      </c>
      <c r="CU231" s="249">
        <f>Table2821115[[#This Row],[D28 - BR/18]]/Table2821115[[#This Row],[D0 - BR/18]]</f>
        <v>1</v>
      </c>
      <c r="CV231" s="248">
        <f>Table2821115[[#This Row],[D28 - KS/17]]/Table2821115[[#This Row],[D0 - KS/17]]</f>
        <v>1</v>
      </c>
      <c r="CW231" s="248">
        <f>Table2821115[[#This Row],[D28 - Phu/13]]/Table2821115[[#This Row],[D0 - Phu/13]]</f>
        <v>1</v>
      </c>
      <c r="CX231" s="248">
        <f>Table2821115[[#This Row],[D28 - CO/17]]/Table2821115[[#This Row],[D0 - CO/17]]</f>
        <v>1</v>
      </c>
      <c r="CY231" s="248">
        <f>LOG(Table2821115[[#This Row],[BR/18 Fold]],2)</f>
        <v>0</v>
      </c>
      <c r="CZ231" s="248">
        <f>LOG(Table2821115[[#This Row],[KS/17 Fold]],2)</f>
        <v>0</v>
      </c>
      <c r="DA231" s="248">
        <f>LOG(Table2821115[[#This Row],[Phu/13 Fold]],2)</f>
        <v>0</v>
      </c>
      <c r="DB231" s="248">
        <f>LOG(Table2821115[[#This Row],[CO/17 Fold]],2)</f>
        <v>0</v>
      </c>
      <c r="DC231" s="248">
        <f>SUM(Table2821115[[#This Row],[BR/18 Log2]:[CO/17 Log2]])</f>
        <v>0</v>
      </c>
    </row>
    <row r="232" spans="1:107" ht="24" customHeight="1">
      <c r="A232" s="330">
        <v>391</v>
      </c>
      <c r="B232" s="210">
        <v>20001</v>
      </c>
      <c r="C232" s="210">
        <v>43781</v>
      </c>
      <c r="D232" s="209">
        <v>65</v>
      </c>
      <c r="E232" s="3" t="s">
        <v>61</v>
      </c>
      <c r="F232" s="143" t="s">
        <v>116</v>
      </c>
      <c r="G232" s="142">
        <v>22.198805321939247</v>
      </c>
      <c r="H232" s="5" t="s">
        <v>64</v>
      </c>
      <c r="I232" s="277" t="s">
        <v>60</v>
      </c>
      <c r="J232" s="260">
        <v>5</v>
      </c>
      <c r="K232" s="260">
        <v>5</v>
      </c>
      <c r="L232" s="260"/>
      <c r="M232" s="260"/>
      <c r="N232" s="260"/>
      <c r="O232" s="260"/>
      <c r="P232" s="260"/>
      <c r="Q232" s="260"/>
      <c r="R232" s="260"/>
      <c r="S232" s="260"/>
      <c r="T232" s="260"/>
      <c r="U232" s="260"/>
      <c r="V232" s="260">
        <v>5</v>
      </c>
      <c r="W232" s="260">
        <v>5</v>
      </c>
      <c r="X232" s="260">
        <v>5</v>
      </c>
      <c r="Y232" s="260">
        <v>5</v>
      </c>
      <c r="Z232" s="260">
        <v>5</v>
      </c>
      <c r="AA232" s="260">
        <v>10</v>
      </c>
      <c r="AB232" s="260">
        <v>5</v>
      </c>
      <c r="AC232" s="260">
        <v>5</v>
      </c>
      <c r="AD232" s="260"/>
      <c r="AE232" s="260"/>
      <c r="AF232" s="260"/>
      <c r="AG232" s="260"/>
      <c r="AH232" s="208">
        <v>391</v>
      </c>
      <c r="AI232" s="272">
        <v>5</v>
      </c>
      <c r="AJ232" s="271">
        <v>5</v>
      </c>
      <c r="AK232" s="260"/>
      <c r="AL232" s="260"/>
      <c r="AM232" s="260"/>
      <c r="AN232" s="260"/>
      <c r="AO232" s="260"/>
      <c r="AP232" s="260"/>
      <c r="AQ232" s="260"/>
      <c r="AR232" s="260"/>
      <c r="AS232" s="260"/>
      <c r="AT232" s="260"/>
      <c r="AU232" s="260">
        <v>160</v>
      </c>
      <c r="AV232" s="271">
        <v>320</v>
      </c>
      <c r="AW232" s="260">
        <v>160</v>
      </c>
      <c r="AX232" s="271">
        <v>320</v>
      </c>
      <c r="AY232" s="260">
        <v>40</v>
      </c>
      <c r="AZ232" s="271">
        <v>40</v>
      </c>
      <c r="BA232" s="276">
        <v>160</v>
      </c>
      <c r="BB232" s="276">
        <v>80</v>
      </c>
      <c r="BC232" s="276"/>
      <c r="BD232" s="276"/>
      <c r="BE232" s="276">
        <v>10</v>
      </c>
      <c r="BF232" s="276">
        <v>20</v>
      </c>
      <c r="BG232" s="260">
        <v>320</v>
      </c>
      <c r="BH232" s="271">
        <v>160</v>
      </c>
      <c r="BI232" s="276"/>
      <c r="BJ232" s="276"/>
      <c r="BK232" s="276"/>
      <c r="BL232" s="275"/>
      <c r="BM232" s="329">
        <v>391</v>
      </c>
      <c r="BN232" s="272">
        <v>20</v>
      </c>
      <c r="BO232" s="270">
        <v>20</v>
      </c>
      <c r="BP232" s="272"/>
      <c r="BQ232" s="260"/>
      <c r="BR232" s="260"/>
      <c r="BS232" s="260"/>
      <c r="BT232" s="260"/>
      <c r="BU232" s="260"/>
      <c r="BV232" s="260">
        <v>10</v>
      </c>
      <c r="BW232" s="260">
        <v>10</v>
      </c>
      <c r="BX232" s="260"/>
      <c r="BY232" s="260"/>
      <c r="BZ232" s="260"/>
      <c r="CA232" s="260"/>
      <c r="CB232" s="260"/>
      <c r="CC232" s="260"/>
      <c r="CD232" s="260">
        <v>80</v>
      </c>
      <c r="CE232" s="260">
        <v>40</v>
      </c>
      <c r="CF232" s="272"/>
      <c r="CG232" s="260"/>
      <c r="CH232" s="260"/>
      <c r="CI232" s="260"/>
      <c r="CJ232" s="260"/>
      <c r="CK232" s="260"/>
      <c r="CL232" s="260"/>
      <c r="CM232" s="260"/>
      <c r="CN232" s="260">
        <v>10</v>
      </c>
      <c r="CO232" s="260">
        <v>20</v>
      </c>
      <c r="CP232" s="260">
        <v>20</v>
      </c>
      <c r="CQ232" s="260">
        <v>20</v>
      </c>
      <c r="CR232" s="260">
        <v>10</v>
      </c>
      <c r="CS232" s="270">
        <v>20</v>
      </c>
      <c r="CT232" s="328">
        <v>391</v>
      </c>
      <c r="CU232" s="249">
        <f>Table2821115[[#This Row],[D28 - BR/18]]/Table2821115[[#This Row],[D0 - BR/18]]</f>
        <v>1</v>
      </c>
      <c r="CV232" s="248">
        <f>Table2821115[[#This Row],[D28 - KS/17]]/Table2821115[[#This Row],[D0 - KS/17]]</f>
        <v>2</v>
      </c>
      <c r="CW232" s="248">
        <f>Table2821115[[#This Row],[D28 - Phu/13]]/Table2821115[[#This Row],[D0 - Phu/13]]</f>
        <v>0.5</v>
      </c>
      <c r="CX232" s="248">
        <f>Table2821115[[#This Row],[D28 - CO/17]]/Table2821115[[#This Row],[D0 - CO/17]]</f>
        <v>1</v>
      </c>
      <c r="CY232" s="248">
        <f>LOG(Table2821115[[#This Row],[BR/18 Fold]],2)</f>
        <v>0</v>
      </c>
      <c r="CZ232" s="248">
        <f>LOG(Table2821115[[#This Row],[KS/17 Fold]],2)</f>
        <v>1</v>
      </c>
      <c r="DA232" s="248">
        <f>LOG(Table2821115[[#This Row],[Phu/13 Fold]],2)</f>
        <v>-1</v>
      </c>
      <c r="DB232" s="248">
        <f>LOG(Table2821115[[#This Row],[CO/17 Fold]],2)</f>
        <v>0</v>
      </c>
      <c r="DC232" s="248">
        <f>SUM(Table2821115[[#This Row],[BR/18 Log2]:[CO/17 Log2]])</f>
        <v>0</v>
      </c>
    </row>
    <row r="233" spans="1:107" ht="24" customHeight="1">
      <c r="A233" s="324">
        <v>392</v>
      </c>
      <c r="B233" s="190">
        <v>26142</v>
      </c>
      <c r="C233" s="190">
        <v>43775</v>
      </c>
      <c r="D233" s="189">
        <v>48</v>
      </c>
      <c r="E233" s="3" t="s">
        <v>61</v>
      </c>
      <c r="F233" s="143" t="s">
        <v>116</v>
      </c>
      <c r="G233" s="142">
        <v>22.526988303599033</v>
      </c>
      <c r="H233" s="11" t="s">
        <v>59</v>
      </c>
      <c r="I233" s="277" t="s">
        <v>62</v>
      </c>
      <c r="J233" s="260">
        <v>5</v>
      </c>
      <c r="K233" s="260">
        <v>5</v>
      </c>
      <c r="L233" s="260"/>
      <c r="M233" s="260"/>
      <c r="N233" s="260"/>
      <c r="O233" s="260"/>
      <c r="P233" s="260"/>
      <c r="Q233" s="260"/>
      <c r="R233" s="260"/>
      <c r="S233" s="260"/>
      <c r="T233" s="260"/>
      <c r="U233" s="260"/>
      <c r="V233" s="260">
        <v>5</v>
      </c>
      <c r="W233" s="260">
        <v>5</v>
      </c>
      <c r="X233" s="260">
        <v>20</v>
      </c>
      <c r="Y233" s="260">
        <v>80</v>
      </c>
      <c r="Z233" s="260">
        <v>20</v>
      </c>
      <c r="AA233" s="260">
        <v>80</v>
      </c>
      <c r="AB233" s="260">
        <v>10</v>
      </c>
      <c r="AC233" s="260">
        <v>40</v>
      </c>
      <c r="AD233" s="260"/>
      <c r="AE233" s="260"/>
      <c r="AF233" s="260"/>
      <c r="AG233" s="260"/>
      <c r="AH233" s="198">
        <v>392</v>
      </c>
      <c r="AI233" s="272">
        <v>20</v>
      </c>
      <c r="AJ233" s="271">
        <v>20</v>
      </c>
      <c r="AK233" s="260"/>
      <c r="AL233" s="260"/>
      <c r="AM233" s="260"/>
      <c r="AN233" s="260"/>
      <c r="AO233" s="260"/>
      <c r="AP233" s="260"/>
      <c r="AQ233" s="260"/>
      <c r="AR233" s="260"/>
      <c r="AS233" s="260"/>
      <c r="AT233" s="260"/>
      <c r="AU233" s="260">
        <v>40</v>
      </c>
      <c r="AV233" s="271">
        <v>80</v>
      </c>
      <c r="AW233" s="260">
        <v>40</v>
      </c>
      <c r="AX233" s="271">
        <v>160</v>
      </c>
      <c r="AY233" s="260">
        <v>5</v>
      </c>
      <c r="AZ233" s="271">
        <v>80</v>
      </c>
      <c r="BA233" s="276">
        <v>20</v>
      </c>
      <c r="BB233" s="276">
        <v>80</v>
      </c>
      <c r="BC233" s="276"/>
      <c r="BD233" s="276"/>
      <c r="BE233" s="276">
        <v>5</v>
      </c>
      <c r="BF233" s="276">
        <v>80</v>
      </c>
      <c r="BG233" s="260">
        <v>80</v>
      </c>
      <c r="BH233" s="271">
        <v>160</v>
      </c>
      <c r="BI233" s="276"/>
      <c r="BJ233" s="276"/>
      <c r="BK233" s="276"/>
      <c r="BL233" s="275"/>
      <c r="BM233" s="323">
        <v>392</v>
      </c>
      <c r="BN233" s="272">
        <v>80</v>
      </c>
      <c r="BO233" s="270">
        <v>80</v>
      </c>
      <c r="BP233" s="272"/>
      <c r="BQ233" s="260"/>
      <c r="BR233" s="260"/>
      <c r="BS233" s="260"/>
      <c r="BT233" s="260"/>
      <c r="BU233" s="260"/>
      <c r="BV233" s="260">
        <v>40</v>
      </c>
      <c r="BW233" s="260">
        <v>80</v>
      </c>
      <c r="BX233" s="260"/>
      <c r="BY233" s="260"/>
      <c r="BZ233" s="260"/>
      <c r="CA233" s="260"/>
      <c r="CB233" s="260"/>
      <c r="CC233" s="260"/>
      <c r="CD233" s="260">
        <v>80</v>
      </c>
      <c r="CE233" s="260">
        <v>160</v>
      </c>
      <c r="CF233" s="272"/>
      <c r="CG233" s="260"/>
      <c r="CH233" s="260"/>
      <c r="CI233" s="260"/>
      <c r="CJ233" s="260"/>
      <c r="CK233" s="260"/>
      <c r="CL233" s="260"/>
      <c r="CM233" s="260"/>
      <c r="CN233" s="260">
        <v>40</v>
      </c>
      <c r="CO233" s="260">
        <v>80</v>
      </c>
      <c r="CP233" s="260">
        <v>160</v>
      </c>
      <c r="CQ233" s="260">
        <v>80</v>
      </c>
      <c r="CR233" s="260">
        <v>160</v>
      </c>
      <c r="CS233" s="270">
        <v>80</v>
      </c>
      <c r="CT233" s="322">
        <v>392</v>
      </c>
      <c r="CU233" s="249">
        <f>Table2821115[[#This Row],[D28 - BR/18]]/Table2821115[[#This Row],[D0 - BR/18]]</f>
        <v>4</v>
      </c>
      <c r="CV233" s="248">
        <f>Table2821115[[#This Row],[D28 - KS/17]]/Table2821115[[#This Row],[D0 - KS/17]]</f>
        <v>16</v>
      </c>
      <c r="CW233" s="248">
        <f>Table2821115[[#This Row],[D28 - Phu/13]]/Table2821115[[#This Row],[D0 - Phu/13]]</f>
        <v>2</v>
      </c>
      <c r="CX233" s="248">
        <f>Table2821115[[#This Row],[D28 - CO/17]]/Table2821115[[#This Row],[D0 - CO/17]]</f>
        <v>0.5</v>
      </c>
      <c r="CY233" s="248">
        <f>LOG(Table2821115[[#This Row],[BR/18 Fold]],2)</f>
        <v>2</v>
      </c>
      <c r="CZ233" s="248">
        <f>LOG(Table2821115[[#This Row],[KS/17 Fold]],2)</f>
        <v>4</v>
      </c>
      <c r="DA233" s="248">
        <f>LOG(Table2821115[[#This Row],[Phu/13 Fold]],2)</f>
        <v>1</v>
      </c>
      <c r="DB233" s="248">
        <f>LOG(Table2821115[[#This Row],[CO/17 Fold]],2)</f>
        <v>-1</v>
      </c>
      <c r="DC233" s="248">
        <f>SUM(Table2821115[[#This Row],[BR/18 Log2]:[CO/17 Log2]])</f>
        <v>6</v>
      </c>
    </row>
    <row r="234" spans="1:107" ht="24" customHeight="1">
      <c r="A234" s="318">
        <v>393</v>
      </c>
      <c r="B234" s="180">
        <v>24557</v>
      </c>
      <c r="C234" s="180">
        <v>43787</v>
      </c>
      <c r="D234" s="179">
        <v>52</v>
      </c>
      <c r="E234" s="4" t="s">
        <v>58</v>
      </c>
      <c r="F234" s="143" t="s">
        <v>116</v>
      </c>
      <c r="G234" s="142">
        <v>30.987803212305185</v>
      </c>
      <c r="H234" s="11" t="s">
        <v>59</v>
      </c>
      <c r="I234" s="277" t="s">
        <v>62</v>
      </c>
      <c r="J234" s="260">
        <v>5</v>
      </c>
      <c r="K234" s="260">
        <v>5</v>
      </c>
      <c r="L234" s="260"/>
      <c r="M234" s="260"/>
      <c r="N234" s="260"/>
      <c r="O234" s="260"/>
      <c r="P234" s="260"/>
      <c r="Q234" s="260"/>
      <c r="R234" s="260"/>
      <c r="S234" s="260"/>
      <c r="T234" s="260"/>
      <c r="U234" s="260"/>
      <c r="V234" s="260">
        <v>5</v>
      </c>
      <c r="W234" s="260">
        <v>5</v>
      </c>
      <c r="X234" s="260">
        <v>160</v>
      </c>
      <c r="Y234" s="260">
        <v>320</v>
      </c>
      <c r="Z234" s="260">
        <v>5</v>
      </c>
      <c r="AA234" s="260">
        <v>320</v>
      </c>
      <c r="AB234" s="260">
        <v>20</v>
      </c>
      <c r="AC234" s="260">
        <v>40</v>
      </c>
      <c r="AD234" s="260"/>
      <c r="AE234" s="260"/>
      <c r="AF234" s="260"/>
      <c r="AG234" s="260"/>
      <c r="AH234" s="195">
        <v>393</v>
      </c>
      <c r="AI234" s="272">
        <v>20</v>
      </c>
      <c r="AJ234" s="271">
        <v>40</v>
      </c>
      <c r="AK234" s="260"/>
      <c r="AL234" s="260"/>
      <c r="AM234" s="260"/>
      <c r="AN234" s="260"/>
      <c r="AO234" s="260"/>
      <c r="AP234" s="260"/>
      <c r="AQ234" s="260"/>
      <c r="AR234" s="260"/>
      <c r="AS234" s="260"/>
      <c r="AT234" s="260"/>
      <c r="AU234" s="260">
        <v>80</v>
      </c>
      <c r="AV234" s="271">
        <v>160</v>
      </c>
      <c r="AW234" s="260">
        <v>80</v>
      </c>
      <c r="AX234" s="271">
        <v>160</v>
      </c>
      <c r="AY234" s="260">
        <v>5</v>
      </c>
      <c r="AZ234" s="271">
        <v>80</v>
      </c>
      <c r="BA234" s="276">
        <v>80</v>
      </c>
      <c r="BB234" s="276">
        <v>80</v>
      </c>
      <c r="BC234" s="276"/>
      <c r="BD234" s="276"/>
      <c r="BE234" s="276">
        <v>40</v>
      </c>
      <c r="BF234" s="276">
        <v>80</v>
      </c>
      <c r="BG234" s="260">
        <v>80</v>
      </c>
      <c r="BH234" s="271">
        <v>160</v>
      </c>
      <c r="BI234" s="276"/>
      <c r="BJ234" s="276"/>
      <c r="BK234" s="276"/>
      <c r="BL234" s="275"/>
      <c r="BM234" s="316">
        <v>393</v>
      </c>
      <c r="BN234" s="272">
        <v>40</v>
      </c>
      <c r="BO234" s="270">
        <v>40</v>
      </c>
      <c r="BP234" s="272"/>
      <c r="BQ234" s="260"/>
      <c r="BR234" s="260"/>
      <c r="BS234" s="260"/>
      <c r="BT234" s="260"/>
      <c r="BU234" s="260"/>
      <c r="BV234" s="260">
        <v>5</v>
      </c>
      <c r="BW234" s="260">
        <v>5</v>
      </c>
      <c r="BX234" s="260"/>
      <c r="BY234" s="260"/>
      <c r="BZ234" s="260"/>
      <c r="CA234" s="260"/>
      <c r="CB234" s="260"/>
      <c r="CC234" s="260"/>
      <c r="CD234" s="260">
        <v>10</v>
      </c>
      <c r="CE234" s="260">
        <v>40</v>
      </c>
      <c r="CF234" s="272"/>
      <c r="CG234" s="260"/>
      <c r="CH234" s="260"/>
      <c r="CI234" s="260"/>
      <c r="CJ234" s="260"/>
      <c r="CK234" s="260"/>
      <c r="CL234" s="260"/>
      <c r="CM234" s="260"/>
      <c r="CN234" s="260">
        <v>5</v>
      </c>
      <c r="CO234" s="260">
        <v>160</v>
      </c>
      <c r="CP234" s="260">
        <v>320</v>
      </c>
      <c r="CQ234" s="260">
        <v>320</v>
      </c>
      <c r="CR234" s="260">
        <v>320</v>
      </c>
      <c r="CS234" s="270">
        <v>320</v>
      </c>
      <c r="CT234" s="315">
        <v>393</v>
      </c>
      <c r="CU234" s="249">
        <f>Table2821115[[#This Row],[D28 - BR/18]]/Table2821115[[#This Row],[D0 - BR/18]]</f>
        <v>2</v>
      </c>
      <c r="CV234" s="248">
        <f>Table2821115[[#This Row],[D28 - KS/17]]/Table2821115[[#This Row],[D0 - KS/17]]</f>
        <v>2</v>
      </c>
      <c r="CW234" s="248">
        <f>Table2821115[[#This Row],[D28 - Phu/13]]/Table2821115[[#This Row],[D0 - Phu/13]]</f>
        <v>4</v>
      </c>
      <c r="CX234" s="248">
        <f>Table2821115[[#This Row],[D28 - CO/17]]/Table2821115[[#This Row],[D0 - CO/17]]</f>
        <v>1</v>
      </c>
      <c r="CY234" s="248">
        <f>LOG(Table2821115[[#This Row],[BR/18 Fold]],2)</f>
        <v>1</v>
      </c>
      <c r="CZ234" s="248">
        <f>LOG(Table2821115[[#This Row],[KS/17 Fold]],2)</f>
        <v>1</v>
      </c>
      <c r="DA234" s="248">
        <f>LOG(Table2821115[[#This Row],[Phu/13 Fold]],2)</f>
        <v>2</v>
      </c>
      <c r="DB234" s="248">
        <f>LOG(Table2821115[[#This Row],[CO/17 Fold]],2)</f>
        <v>0</v>
      </c>
      <c r="DC234" s="248">
        <f>SUM(Table2821115[[#This Row],[BR/18 Log2]:[CO/17 Log2]])</f>
        <v>4</v>
      </c>
    </row>
    <row r="235" spans="1:107" ht="24" customHeight="1">
      <c r="A235" s="324">
        <v>394</v>
      </c>
      <c r="B235" s="190">
        <v>28371</v>
      </c>
      <c r="C235" s="190">
        <v>43790</v>
      </c>
      <c r="D235" s="189">
        <v>42</v>
      </c>
      <c r="E235" s="3" t="s">
        <v>61</v>
      </c>
      <c r="F235" s="143" t="s">
        <v>116</v>
      </c>
      <c r="G235" s="142">
        <v>36.161920774538615</v>
      </c>
      <c r="H235" s="11" t="s">
        <v>59</v>
      </c>
      <c r="I235" s="277" t="s">
        <v>60</v>
      </c>
      <c r="J235" s="260">
        <v>5</v>
      </c>
      <c r="K235" s="260">
        <v>5</v>
      </c>
      <c r="L235" s="260"/>
      <c r="M235" s="260"/>
      <c r="N235" s="260"/>
      <c r="O235" s="260"/>
      <c r="P235" s="260"/>
      <c r="Q235" s="260"/>
      <c r="R235" s="260"/>
      <c r="S235" s="260"/>
      <c r="T235" s="260"/>
      <c r="U235" s="260"/>
      <c r="V235" s="260">
        <v>5</v>
      </c>
      <c r="W235" s="260">
        <v>5</v>
      </c>
      <c r="X235" s="260">
        <v>10</v>
      </c>
      <c r="Y235" s="260">
        <v>20</v>
      </c>
      <c r="Z235" s="260">
        <v>20</v>
      </c>
      <c r="AA235" s="260">
        <v>40</v>
      </c>
      <c r="AB235" s="260">
        <v>20</v>
      </c>
      <c r="AC235" s="260">
        <v>20</v>
      </c>
      <c r="AD235" s="260"/>
      <c r="AE235" s="260"/>
      <c r="AF235" s="260"/>
      <c r="AG235" s="260"/>
      <c r="AH235" s="198">
        <v>394</v>
      </c>
      <c r="AI235" s="272">
        <v>5</v>
      </c>
      <c r="AJ235" s="271">
        <v>5</v>
      </c>
      <c r="AK235" s="260"/>
      <c r="AL235" s="260"/>
      <c r="AM235" s="260"/>
      <c r="AN235" s="260"/>
      <c r="AO235" s="260"/>
      <c r="AP235" s="260"/>
      <c r="AQ235" s="260"/>
      <c r="AR235" s="260"/>
      <c r="AS235" s="260"/>
      <c r="AT235" s="260"/>
      <c r="AU235" s="260">
        <v>20</v>
      </c>
      <c r="AV235" s="271">
        <v>20</v>
      </c>
      <c r="AW235" s="260">
        <v>10</v>
      </c>
      <c r="AX235" s="271">
        <v>20</v>
      </c>
      <c r="AY235" s="260">
        <v>5</v>
      </c>
      <c r="AZ235" s="271">
        <v>5</v>
      </c>
      <c r="BA235" s="276">
        <v>5</v>
      </c>
      <c r="BB235" s="276">
        <v>10</v>
      </c>
      <c r="BC235" s="276"/>
      <c r="BD235" s="276"/>
      <c r="BE235" s="276">
        <v>5</v>
      </c>
      <c r="BF235" s="276">
        <v>10</v>
      </c>
      <c r="BG235" s="260">
        <v>40</v>
      </c>
      <c r="BH235" s="271">
        <v>10</v>
      </c>
      <c r="BI235" s="276"/>
      <c r="BJ235" s="276"/>
      <c r="BK235" s="276"/>
      <c r="BL235" s="275"/>
      <c r="BM235" s="323">
        <v>394</v>
      </c>
      <c r="BN235" s="272">
        <v>40</v>
      </c>
      <c r="BO235" s="270">
        <v>40</v>
      </c>
      <c r="BP235" s="272"/>
      <c r="BQ235" s="260"/>
      <c r="BR235" s="260"/>
      <c r="BS235" s="260"/>
      <c r="BT235" s="260"/>
      <c r="BU235" s="260"/>
      <c r="BV235" s="260">
        <v>160</v>
      </c>
      <c r="BW235" s="260">
        <v>160</v>
      </c>
      <c r="BX235" s="260"/>
      <c r="BY235" s="260"/>
      <c r="BZ235" s="260"/>
      <c r="CA235" s="260"/>
      <c r="CB235" s="260"/>
      <c r="CC235" s="260"/>
      <c r="CD235" s="260">
        <v>160</v>
      </c>
      <c r="CE235" s="260">
        <v>160</v>
      </c>
      <c r="CF235" s="272"/>
      <c r="CG235" s="260"/>
      <c r="CH235" s="260"/>
      <c r="CI235" s="260"/>
      <c r="CJ235" s="260"/>
      <c r="CK235" s="260"/>
      <c r="CL235" s="260"/>
      <c r="CM235" s="260"/>
      <c r="CN235" s="260">
        <v>40</v>
      </c>
      <c r="CO235" s="260">
        <v>80</v>
      </c>
      <c r="CP235" s="260">
        <v>160</v>
      </c>
      <c r="CQ235" s="260">
        <v>160</v>
      </c>
      <c r="CR235" s="260">
        <v>80</v>
      </c>
      <c r="CS235" s="270">
        <v>80</v>
      </c>
      <c r="CT235" s="322">
        <v>394</v>
      </c>
      <c r="CU235" s="249">
        <f>Table2821115[[#This Row],[D28 - BR/18]]/Table2821115[[#This Row],[D0 - BR/18]]</f>
        <v>1</v>
      </c>
      <c r="CV235" s="248">
        <f>Table2821115[[#This Row],[D28 - KS/17]]/Table2821115[[#This Row],[D0 - KS/17]]</f>
        <v>2</v>
      </c>
      <c r="CW235" s="248">
        <f>Table2821115[[#This Row],[D28 - Phu/13]]/Table2821115[[#This Row],[D0 - Phu/13]]</f>
        <v>1</v>
      </c>
      <c r="CX235" s="248">
        <f>Table2821115[[#This Row],[D28 - CO/17]]/Table2821115[[#This Row],[D0 - CO/17]]</f>
        <v>1</v>
      </c>
      <c r="CY235" s="248">
        <f>LOG(Table2821115[[#This Row],[BR/18 Fold]],2)</f>
        <v>0</v>
      </c>
      <c r="CZ235" s="248">
        <f>LOG(Table2821115[[#This Row],[KS/17 Fold]],2)</f>
        <v>1</v>
      </c>
      <c r="DA235" s="248">
        <f>LOG(Table2821115[[#This Row],[Phu/13 Fold]],2)</f>
        <v>0</v>
      </c>
      <c r="DB235" s="248">
        <f>LOG(Table2821115[[#This Row],[CO/17 Fold]],2)</f>
        <v>0</v>
      </c>
      <c r="DC235" s="248">
        <f>SUM(Table2821115[[#This Row],[BR/18 Log2]:[CO/17 Log2]])</f>
        <v>1</v>
      </c>
    </row>
    <row r="236" spans="1:107" ht="24" customHeight="1">
      <c r="A236" s="324">
        <v>395</v>
      </c>
      <c r="B236" s="190">
        <v>26813</v>
      </c>
      <c r="C236" s="190">
        <v>43792</v>
      </c>
      <c r="D236" s="189">
        <v>46</v>
      </c>
      <c r="E236" s="3" t="s">
        <v>61</v>
      </c>
      <c r="F236" s="143" t="s">
        <v>116</v>
      </c>
      <c r="G236" s="142">
        <v>30.067764323327424</v>
      </c>
      <c r="H236" s="11" t="s">
        <v>59</v>
      </c>
      <c r="I236" s="277" t="s">
        <v>60</v>
      </c>
      <c r="J236" s="260">
        <v>5</v>
      </c>
      <c r="K236" s="260">
        <v>5</v>
      </c>
      <c r="L236" s="260"/>
      <c r="M236" s="260"/>
      <c r="N236" s="260"/>
      <c r="O236" s="260"/>
      <c r="P236" s="260"/>
      <c r="Q236" s="260"/>
      <c r="R236" s="260"/>
      <c r="S236" s="260"/>
      <c r="T236" s="260"/>
      <c r="U236" s="260"/>
      <c r="V236" s="260">
        <v>5</v>
      </c>
      <c r="W236" s="260">
        <v>5</v>
      </c>
      <c r="X236" s="260">
        <v>5</v>
      </c>
      <c r="Y236" s="260">
        <v>320</v>
      </c>
      <c r="Z236" s="260">
        <v>5</v>
      </c>
      <c r="AA236" s="260">
        <v>320</v>
      </c>
      <c r="AB236" s="260">
        <v>5</v>
      </c>
      <c r="AC236" s="260">
        <v>320</v>
      </c>
      <c r="AD236" s="260"/>
      <c r="AE236" s="260"/>
      <c r="AF236" s="260"/>
      <c r="AG236" s="260"/>
      <c r="AH236" s="198">
        <v>395</v>
      </c>
      <c r="AI236" s="272">
        <v>5</v>
      </c>
      <c r="AJ236" s="271">
        <v>5</v>
      </c>
      <c r="AK236" s="260"/>
      <c r="AL236" s="260"/>
      <c r="AM236" s="260"/>
      <c r="AN236" s="260"/>
      <c r="AO236" s="260"/>
      <c r="AP236" s="260"/>
      <c r="AQ236" s="260"/>
      <c r="AR236" s="260"/>
      <c r="AS236" s="260"/>
      <c r="AT236" s="260"/>
      <c r="AU236" s="260">
        <v>5</v>
      </c>
      <c r="AV236" s="271">
        <v>5</v>
      </c>
      <c r="AW236" s="260">
        <v>5</v>
      </c>
      <c r="AX236" s="271">
        <v>5</v>
      </c>
      <c r="AY236" s="260">
        <v>5</v>
      </c>
      <c r="AZ236" s="271">
        <v>5</v>
      </c>
      <c r="BA236" s="276">
        <v>5</v>
      </c>
      <c r="BB236" s="276">
        <v>5</v>
      </c>
      <c r="BC236" s="276"/>
      <c r="BD236" s="276"/>
      <c r="BE236" s="276">
        <v>5</v>
      </c>
      <c r="BF236" s="276">
        <v>5</v>
      </c>
      <c r="BG236" s="260">
        <v>5</v>
      </c>
      <c r="BH236" s="271">
        <v>5</v>
      </c>
      <c r="BI236" s="276"/>
      <c r="BJ236" s="276"/>
      <c r="BK236" s="276"/>
      <c r="BL236" s="275"/>
      <c r="BM236" s="323">
        <v>395</v>
      </c>
      <c r="BN236" s="272">
        <v>5</v>
      </c>
      <c r="BO236" s="270">
        <v>20</v>
      </c>
      <c r="BP236" s="272"/>
      <c r="BQ236" s="260"/>
      <c r="BR236" s="260"/>
      <c r="BS236" s="260"/>
      <c r="BT236" s="260"/>
      <c r="BU236" s="260"/>
      <c r="BV236" s="260">
        <v>5</v>
      </c>
      <c r="BW236" s="260">
        <v>5</v>
      </c>
      <c r="BX236" s="260"/>
      <c r="BY236" s="260"/>
      <c r="BZ236" s="260"/>
      <c r="CA236" s="260"/>
      <c r="CB236" s="260"/>
      <c r="CC236" s="260"/>
      <c r="CD236" s="260">
        <v>5</v>
      </c>
      <c r="CE236" s="260">
        <v>20</v>
      </c>
      <c r="CF236" s="272"/>
      <c r="CG236" s="260"/>
      <c r="CH236" s="260"/>
      <c r="CI236" s="260"/>
      <c r="CJ236" s="260"/>
      <c r="CK236" s="260"/>
      <c r="CL236" s="260"/>
      <c r="CM236" s="260"/>
      <c r="CN236" s="260">
        <v>5</v>
      </c>
      <c r="CO236" s="260">
        <v>320</v>
      </c>
      <c r="CP236" s="260">
        <v>10</v>
      </c>
      <c r="CQ236" s="260">
        <v>640</v>
      </c>
      <c r="CR236" s="260">
        <v>5</v>
      </c>
      <c r="CS236" s="270">
        <v>320</v>
      </c>
      <c r="CT236" s="322">
        <v>395</v>
      </c>
      <c r="CU236" s="249">
        <f>Table2821115[[#This Row],[D28 - BR/18]]/Table2821115[[#This Row],[D0 - BR/18]]</f>
        <v>64</v>
      </c>
      <c r="CV236" s="248">
        <f>Table2821115[[#This Row],[D28 - KS/17]]/Table2821115[[#This Row],[D0 - KS/17]]</f>
        <v>1</v>
      </c>
      <c r="CW236" s="248">
        <f>Table2821115[[#This Row],[D28 - Phu/13]]/Table2821115[[#This Row],[D0 - Phu/13]]</f>
        <v>4</v>
      </c>
      <c r="CX236" s="248">
        <f>Table2821115[[#This Row],[D28 - CO/17]]/Table2821115[[#This Row],[D0 - CO/17]]</f>
        <v>64</v>
      </c>
      <c r="CY236" s="248">
        <f>LOG(Table2821115[[#This Row],[BR/18 Fold]],2)</f>
        <v>6</v>
      </c>
      <c r="CZ236" s="248">
        <f>LOG(Table2821115[[#This Row],[KS/17 Fold]],2)</f>
        <v>0</v>
      </c>
      <c r="DA236" s="248">
        <f>LOG(Table2821115[[#This Row],[Phu/13 Fold]],2)</f>
        <v>2</v>
      </c>
      <c r="DB236" s="248">
        <f>LOG(Table2821115[[#This Row],[CO/17 Fold]],2)</f>
        <v>6</v>
      </c>
      <c r="DC236" s="248">
        <f>SUM(Table2821115[[#This Row],[BR/18 Log2]:[CO/17 Log2]])</f>
        <v>14</v>
      </c>
    </row>
    <row r="237" spans="1:107" ht="24" customHeight="1">
      <c r="A237" s="321">
        <v>396</v>
      </c>
      <c r="B237" s="183">
        <v>31311</v>
      </c>
      <c r="C237" s="183">
        <v>43780</v>
      </c>
      <c r="D237" s="182">
        <v>34</v>
      </c>
      <c r="E237" s="3" t="s">
        <v>61</v>
      </c>
      <c r="F237" s="143" t="s">
        <v>116</v>
      </c>
      <c r="G237" s="142">
        <v>23.154799411888259</v>
      </c>
      <c r="H237" s="11" t="s">
        <v>59</v>
      </c>
      <c r="I237" s="277" t="s">
        <v>62</v>
      </c>
      <c r="J237" s="260">
        <v>5</v>
      </c>
      <c r="K237" s="260">
        <v>5</v>
      </c>
      <c r="L237" s="260"/>
      <c r="M237" s="260"/>
      <c r="N237" s="260"/>
      <c r="O237" s="260"/>
      <c r="P237" s="260"/>
      <c r="Q237" s="260"/>
      <c r="R237" s="260"/>
      <c r="S237" s="260"/>
      <c r="T237" s="260"/>
      <c r="U237" s="260"/>
      <c r="V237" s="260">
        <v>20</v>
      </c>
      <c r="W237" s="260">
        <v>20</v>
      </c>
      <c r="X237" s="260">
        <v>80</v>
      </c>
      <c r="Y237" s="260">
        <v>80</v>
      </c>
      <c r="Z237" s="260">
        <v>80</v>
      </c>
      <c r="AA237" s="260">
        <v>80</v>
      </c>
      <c r="AB237" s="260">
        <v>40</v>
      </c>
      <c r="AC237" s="260">
        <v>160</v>
      </c>
      <c r="AD237" s="260"/>
      <c r="AE237" s="260"/>
      <c r="AF237" s="260"/>
      <c r="AG237" s="260"/>
      <c r="AH237" s="32">
        <v>396</v>
      </c>
      <c r="AI237" s="272">
        <v>20</v>
      </c>
      <c r="AJ237" s="271">
        <v>20</v>
      </c>
      <c r="AK237" s="260"/>
      <c r="AL237" s="260"/>
      <c r="AM237" s="260"/>
      <c r="AN237" s="260"/>
      <c r="AO237" s="260"/>
      <c r="AP237" s="260"/>
      <c r="AQ237" s="260"/>
      <c r="AR237" s="260"/>
      <c r="AS237" s="260"/>
      <c r="AT237" s="260"/>
      <c r="AU237" s="260">
        <v>40</v>
      </c>
      <c r="AV237" s="271">
        <v>160</v>
      </c>
      <c r="AW237" s="260">
        <v>20</v>
      </c>
      <c r="AX237" s="271">
        <v>160</v>
      </c>
      <c r="AY237" s="260">
        <v>40</v>
      </c>
      <c r="AZ237" s="271">
        <v>160</v>
      </c>
      <c r="BA237" s="276">
        <v>40</v>
      </c>
      <c r="BB237" s="276">
        <v>160</v>
      </c>
      <c r="BC237" s="276"/>
      <c r="BD237" s="276"/>
      <c r="BE237" s="276">
        <v>5</v>
      </c>
      <c r="BF237" s="276">
        <v>80</v>
      </c>
      <c r="BG237" s="260">
        <v>80</v>
      </c>
      <c r="BH237" s="271">
        <v>40</v>
      </c>
      <c r="BI237" s="276"/>
      <c r="BJ237" s="276"/>
      <c r="BK237" s="276"/>
      <c r="BL237" s="275"/>
      <c r="BM237" s="320">
        <v>396</v>
      </c>
      <c r="BN237" s="272">
        <v>40</v>
      </c>
      <c r="BO237" s="270">
        <v>80</v>
      </c>
      <c r="BP237" s="272"/>
      <c r="BQ237" s="260"/>
      <c r="BR237" s="260"/>
      <c r="BS237" s="260"/>
      <c r="BT237" s="260"/>
      <c r="BU237" s="260"/>
      <c r="BV237" s="260">
        <v>80</v>
      </c>
      <c r="BW237" s="260">
        <v>160</v>
      </c>
      <c r="BX237" s="260"/>
      <c r="BY237" s="260"/>
      <c r="BZ237" s="260"/>
      <c r="CA237" s="260"/>
      <c r="CB237" s="260"/>
      <c r="CC237" s="260"/>
      <c r="CD237" s="260">
        <v>160</v>
      </c>
      <c r="CE237" s="260">
        <v>160</v>
      </c>
      <c r="CF237" s="272"/>
      <c r="CG237" s="260"/>
      <c r="CH237" s="260"/>
      <c r="CI237" s="260"/>
      <c r="CJ237" s="260"/>
      <c r="CK237" s="260"/>
      <c r="CL237" s="260"/>
      <c r="CM237" s="260"/>
      <c r="CN237" s="260">
        <v>10</v>
      </c>
      <c r="CO237" s="260">
        <v>80</v>
      </c>
      <c r="CP237" s="260">
        <v>5</v>
      </c>
      <c r="CQ237" s="260">
        <v>80</v>
      </c>
      <c r="CR237" s="260">
        <v>5</v>
      </c>
      <c r="CS237" s="270">
        <v>40</v>
      </c>
      <c r="CT237" s="319">
        <v>396</v>
      </c>
      <c r="CU237" s="249">
        <f>Table2821115[[#This Row],[D28 - BR/18]]/Table2821115[[#This Row],[D0 - BR/18]]</f>
        <v>4</v>
      </c>
      <c r="CV237" s="248">
        <f>Table2821115[[#This Row],[D28 - KS/17]]/Table2821115[[#This Row],[D0 - KS/17]]</f>
        <v>16</v>
      </c>
      <c r="CW237" s="248">
        <f>Table2821115[[#This Row],[D28 - Phu/13]]/Table2821115[[#This Row],[D0 - Phu/13]]</f>
        <v>1</v>
      </c>
      <c r="CX237" s="248">
        <f>Table2821115[[#This Row],[D28 - CO/17]]/Table2821115[[#This Row],[D0 - CO/17]]</f>
        <v>16</v>
      </c>
      <c r="CY237" s="248">
        <f>LOG(Table2821115[[#This Row],[BR/18 Fold]],2)</f>
        <v>2</v>
      </c>
      <c r="CZ237" s="248">
        <f>LOG(Table2821115[[#This Row],[KS/17 Fold]],2)</f>
        <v>4</v>
      </c>
      <c r="DA237" s="248">
        <f>LOG(Table2821115[[#This Row],[Phu/13 Fold]],2)</f>
        <v>0</v>
      </c>
      <c r="DB237" s="248">
        <f>LOG(Table2821115[[#This Row],[CO/17 Fold]],2)</f>
        <v>4</v>
      </c>
      <c r="DC237" s="248">
        <f>SUM(Table2821115[[#This Row],[BR/18 Log2]:[CO/17 Log2]])</f>
        <v>10</v>
      </c>
    </row>
    <row r="238" spans="1:107" ht="24" customHeight="1">
      <c r="A238" s="324">
        <v>397</v>
      </c>
      <c r="B238" s="190">
        <v>26530</v>
      </c>
      <c r="C238" s="190">
        <v>43771</v>
      </c>
      <c r="D238" s="189">
        <v>47</v>
      </c>
      <c r="E238" s="3" t="s">
        <v>61</v>
      </c>
      <c r="F238" s="143" t="s">
        <v>117</v>
      </c>
      <c r="G238" s="142">
        <v>36.977324919675056</v>
      </c>
      <c r="H238" s="11" t="s">
        <v>59</v>
      </c>
      <c r="I238" s="277" t="s">
        <v>60</v>
      </c>
      <c r="J238" s="260">
        <v>5</v>
      </c>
      <c r="K238" s="260">
        <v>5</v>
      </c>
      <c r="L238" s="260"/>
      <c r="M238" s="260"/>
      <c r="N238" s="260"/>
      <c r="O238" s="260"/>
      <c r="P238" s="260"/>
      <c r="Q238" s="260"/>
      <c r="R238" s="260"/>
      <c r="S238" s="260"/>
      <c r="T238" s="260"/>
      <c r="U238" s="260"/>
      <c r="V238" s="260">
        <v>5</v>
      </c>
      <c r="W238" s="260">
        <v>5</v>
      </c>
      <c r="X238" s="260">
        <v>5</v>
      </c>
      <c r="Y238" s="260">
        <v>10</v>
      </c>
      <c r="Z238" s="260">
        <v>5</v>
      </c>
      <c r="AA238" s="260">
        <v>10</v>
      </c>
      <c r="AB238" s="260">
        <v>5</v>
      </c>
      <c r="AC238" s="260">
        <v>5</v>
      </c>
      <c r="AD238" s="260"/>
      <c r="AE238" s="260"/>
      <c r="AF238" s="260"/>
      <c r="AG238" s="260"/>
      <c r="AH238" s="198">
        <v>397</v>
      </c>
      <c r="AI238" s="272">
        <v>20</v>
      </c>
      <c r="AJ238" s="271">
        <v>20</v>
      </c>
      <c r="AK238" s="260"/>
      <c r="AL238" s="260"/>
      <c r="AM238" s="260"/>
      <c r="AN238" s="260"/>
      <c r="AO238" s="260"/>
      <c r="AP238" s="260"/>
      <c r="AQ238" s="260"/>
      <c r="AR238" s="260"/>
      <c r="AS238" s="260"/>
      <c r="AT238" s="260"/>
      <c r="AU238" s="260">
        <v>10</v>
      </c>
      <c r="AV238" s="271">
        <v>10</v>
      </c>
      <c r="AW238" s="260">
        <v>10</v>
      </c>
      <c r="AX238" s="271">
        <v>20</v>
      </c>
      <c r="AY238" s="260">
        <v>5</v>
      </c>
      <c r="AZ238" s="271">
        <v>5</v>
      </c>
      <c r="BA238" s="276">
        <v>5</v>
      </c>
      <c r="BB238" s="276">
        <v>5</v>
      </c>
      <c r="BC238" s="276"/>
      <c r="BD238" s="276"/>
      <c r="BE238" s="276">
        <v>5</v>
      </c>
      <c r="BF238" s="276">
        <v>5</v>
      </c>
      <c r="BG238" s="260">
        <v>5</v>
      </c>
      <c r="BH238" s="271">
        <v>10</v>
      </c>
      <c r="BI238" s="276"/>
      <c r="BJ238" s="276"/>
      <c r="BK238" s="276"/>
      <c r="BL238" s="275"/>
      <c r="BM238" s="323">
        <v>397</v>
      </c>
      <c r="BN238" s="272">
        <v>80</v>
      </c>
      <c r="BO238" s="270">
        <v>80</v>
      </c>
      <c r="BP238" s="272"/>
      <c r="BQ238" s="260"/>
      <c r="BR238" s="260"/>
      <c r="BS238" s="260"/>
      <c r="BT238" s="260"/>
      <c r="BU238" s="260"/>
      <c r="BV238" s="260">
        <v>5</v>
      </c>
      <c r="BW238" s="260">
        <v>10</v>
      </c>
      <c r="BX238" s="260"/>
      <c r="BY238" s="260"/>
      <c r="BZ238" s="260"/>
      <c r="CA238" s="260"/>
      <c r="CB238" s="260"/>
      <c r="CC238" s="260"/>
      <c r="CD238" s="260">
        <v>5</v>
      </c>
      <c r="CE238" s="260">
        <v>40</v>
      </c>
      <c r="CF238" s="272"/>
      <c r="CG238" s="260"/>
      <c r="CH238" s="260"/>
      <c r="CI238" s="260"/>
      <c r="CJ238" s="260"/>
      <c r="CK238" s="260"/>
      <c r="CL238" s="260"/>
      <c r="CM238" s="260"/>
      <c r="CN238" s="260">
        <v>40</v>
      </c>
      <c r="CO238" s="260">
        <v>40</v>
      </c>
      <c r="CP238" s="260">
        <v>80</v>
      </c>
      <c r="CQ238" s="260">
        <v>80</v>
      </c>
      <c r="CR238" s="260">
        <v>160</v>
      </c>
      <c r="CS238" s="270">
        <v>80</v>
      </c>
      <c r="CT238" s="322">
        <v>397</v>
      </c>
      <c r="CU238" s="249">
        <f>Table2821115[[#This Row],[D28 - BR/18]]/Table2821115[[#This Row],[D0 - BR/18]]</f>
        <v>1</v>
      </c>
      <c r="CV238" s="248">
        <f>Table2821115[[#This Row],[D28 - KS/17]]/Table2821115[[#This Row],[D0 - KS/17]]</f>
        <v>1</v>
      </c>
      <c r="CW238" s="248">
        <f>Table2821115[[#This Row],[D28 - Phu/13]]/Table2821115[[#This Row],[D0 - Phu/13]]</f>
        <v>8</v>
      </c>
      <c r="CX238" s="248">
        <f>Table2821115[[#This Row],[D28 - CO/17]]/Table2821115[[#This Row],[D0 - CO/17]]</f>
        <v>1</v>
      </c>
      <c r="CY238" s="248">
        <f>LOG(Table2821115[[#This Row],[BR/18 Fold]],2)</f>
        <v>0</v>
      </c>
      <c r="CZ238" s="248">
        <f>LOG(Table2821115[[#This Row],[KS/17 Fold]],2)</f>
        <v>0</v>
      </c>
      <c r="DA238" s="248">
        <f>LOG(Table2821115[[#This Row],[Phu/13 Fold]],2)</f>
        <v>3</v>
      </c>
      <c r="DB238" s="248">
        <f>LOG(Table2821115[[#This Row],[CO/17 Fold]],2)</f>
        <v>0</v>
      </c>
      <c r="DC238" s="248">
        <f>SUM(Table2821115[[#This Row],[BR/18 Log2]:[CO/17 Log2]])</f>
        <v>3</v>
      </c>
    </row>
    <row r="239" spans="1:107" ht="24" customHeight="1">
      <c r="A239" s="318">
        <v>399</v>
      </c>
      <c r="B239" s="180">
        <v>21311</v>
      </c>
      <c r="C239" s="180">
        <v>43782</v>
      </c>
      <c r="D239" s="179">
        <v>61</v>
      </c>
      <c r="E239" s="4" t="s">
        <v>58</v>
      </c>
      <c r="F239" s="143" t="s">
        <v>116</v>
      </c>
      <c r="G239" s="142">
        <v>43.746768892022359</v>
      </c>
      <c r="H239" s="11" t="s">
        <v>59</v>
      </c>
      <c r="I239" s="277" t="s">
        <v>62</v>
      </c>
      <c r="J239" s="260">
        <v>5</v>
      </c>
      <c r="K239" s="260">
        <v>5</v>
      </c>
      <c r="L239" s="260"/>
      <c r="M239" s="260"/>
      <c r="N239" s="260"/>
      <c r="O239" s="260"/>
      <c r="P239" s="260"/>
      <c r="Q239" s="260"/>
      <c r="R239" s="260"/>
      <c r="S239" s="260"/>
      <c r="T239" s="260"/>
      <c r="U239" s="260"/>
      <c r="V239" s="260">
        <v>5</v>
      </c>
      <c r="W239" s="260">
        <v>5</v>
      </c>
      <c r="X239" s="260">
        <v>5</v>
      </c>
      <c r="Y239" s="260">
        <v>5</v>
      </c>
      <c r="Z239" s="260">
        <v>5</v>
      </c>
      <c r="AA239" s="260">
        <v>5</v>
      </c>
      <c r="AB239" s="260">
        <v>5</v>
      </c>
      <c r="AC239" s="260">
        <v>20</v>
      </c>
      <c r="AD239" s="260"/>
      <c r="AE239" s="260"/>
      <c r="AF239" s="260"/>
      <c r="AG239" s="260"/>
      <c r="AH239" s="195">
        <v>399</v>
      </c>
      <c r="AI239" s="272">
        <v>10</v>
      </c>
      <c r="AJ239" s="271">
        <v>40</v>
      </c>
      <c r="AK239" s="260"/>
      <c r="AL239" s="260"/>
      <c r="AM239" s="260"/>
      <c r="AN239" s="260"/>
      <c r="AO239" s="260"/>
      <c r="AP239" s="260"/>
      <c r="AQ239" s="260"/>
      <c r="AR239" s="260"/>
      <c r="AS239" s="260"/>
      <c r="AT239" s="260"/>
      <c r="AU239" s="260">
        <v>5</v>
      </c>
      <c r="AV239" s="271">
        <v>20</v>
      </c>
      <c r="AW239" s="260">
        <v>5</v>
      </c>
      <c r="AX239" s="271">
        <v>20</v>
      </c>
      <c r="AY239" s="260">
        <v>5</v>
      </c>
      <c r="AZ239" s="271">
        <v>5</v>
      </c>
      <c r="BA239" s="276">
        <v>5</v>
      </c>
      <c r="BB239" s="276">
        <v>10</v>
      </c>
      <c r="BC239" s="276"/>
      <c r="BD239" s="276"/>
      <c r="BE239" s="276">
        <v>5</v>
      </c>
      <c r="BF239" s="276">
        <v>10</v>
      </c>
      <c r="BG239" s="260">
        <v>5</v>
      </c>
      <c r="BH239" s="271">
        <v>10</v>
      </c>
      <c r="BI239" s="276"/>
      <c r="BJ239" s="276"/>
      <c r="BK239" s="276"/>
      <c r="BL239" s="275"/>
      <c r="BM239" s="316">
        <v>399</v>
      </c>
      <c r="BN239" s="272">
        <v>80</v>
      </c>
      <c r="BO239" s="270">
        <v>160</v>
      </c>
      <c r="BP239" s="272"/>
      <c r="BQ239" s="260"/>
      <c r="BR239" s="260"/>
      <c r="BS239" s="260"/>
      <c r="BT239" s="260"/>
      <c r="BU239" s="260"/>
      <c r="BV239" s="260">
        <v>5</v>
      </c>
      <c r="BW239" s="260">
        <v>640</v>
      </c>
      <c r="BX239" s="260"/>
      <c r="BY239" s="260"/>
      <c r="BZ239" s="260"/>
      <c r="CA239" s="260"/>
      <c r="CB239" s="260"/>
      <c r="CC239" s="260"/>
      <c r="CD239" s="260">
        <v>80</v>
      </c>
      <c r="CE239" s="260">
        <v>640</v>
      </c>
      <c r="CF239" s="272"/>
      <c r="CG239" s="260"/>
      <c r="CH239" s="260"/>
      <c r="CI239" s="260"/>
      <c r="CJ239" s="260"/>
      <c r="CK239" s="260"/>
      <c r="CL239" s="260"/>
      <c r="CM239" s="260"/>
      <c r="CN239" s="260">
        <v>10</v>
      </c>
      <c r="CO239" s="260">
        <v>80</v>
      </c>
      <c r="CP239" s="260">
        <v>20</v>
      </c>
      <c r="CQ239" s="260">
        <v>160</v>
      </c>
      <c r="CR239" s="260">
        <v>10</v>
      </c>
      <c r="CS239" s="270">
        <v>320</v>
      </c>
      <c r="CT239" s="315">
        <v>399</v>
      </c>
      <c r="CU239" s="249">
        <f>Table2821115[[#This Row],[D28 - BR/18]]/Table2821115[[#This Row],[D0 - BR/18]]</f>
        <v>4</v>
      </c>
      <c r="CV239" s="248">
        <f>Table2821115[[#This Row],[D28 - KS/17]]/Table2821115[[#This Row],[D0 - KS/17]]</f>
        <v>2</v>
      </c>
      <c r="CW239" s="248">
        <f>Table2821115[[#This Row],[D28 - Phu/13]]/Table2821115[[#This Row],[D0 - Phu/13]]</f>
        <v>8</v>
      </c>
      <c r="CX239" s="248">
        <f>Table2821115[[#This Row],[D28 - CO/17]]/Table2821115[[#This Row],[D0 - CO/17]]</f>
        <v>8</v>
      </c>
      <c r="CY239" s="248">
        <f>LOG(Table2821115[[#This Row],[BR/18 Fold]],2)</f>
        <v>2</v>
      </c>
      <c r="CZ239" s="248">
        <f>LOG(Table2821115[[#This Row],[KS/17 Fold]],2)</f>
        <v>1</v>
      </c>
      <c r="DA239" s="248">
        <f>LOG(Table2821115[[#This Row],[Phu/13 Fold]],2)</f>
        <v>3</v>
      </c>
      <c r="DB239" s="248">
        <f>LOG(Table2821115[[#This Row],[CO/17 Fold]],2)</f>
        <v>3</v>
      </c>
      <c r="DC239" s="248">
        <f>SUM(Table2821115[[#This Row],[BR/18 Log2]:[CO/17 Log2]])</f>
        <v>9</v>
      </c>
    </row>
    <row r="240" spans="1:107" ht="24" customHeight="1">
      <c r="A240" s="318">
        <v>400</v>
      </c>
      <c r="B240" s="180">
        <v>21901</v>
      </c>
      <c r="C240" s="180">
        <v>43780</v>
      </c>
      <c r="D240" s="179">
        <v>59</v>
      </c>
      <c r="E240" s="4" t="s">
        <v>58</v>
      </c>
      <c r="F240" s="143" t="s">
        <v>116</v>
      </c>
      <c r="G240" s="142">
        <v>25.959978366684695</v>
      </c>
      <c r="H240" s="11" t="s">
        <v>59</v>
      </c>
      <c r="I240" s="277" t="s">
        <v>60</v>
      </c>
      <c r="J240" s="260">
        <v>5</v>
      </c>
      <c r="K240" s="260">
        <v>5</v>
      </c>
      <c r="L240" s="260"/>
      <c r="M240" s="260"/>
      <c r="N240" s="260"/>
      <c r="O240" s="260"/>
      <c r="P240" s="260"/>
      <c r="Q240" s="260"/>
      <c r="R240" s="260"/>
      <c r="S240" s="260"/>
      <c r="T240" s="260"/>
      <c r="U240" s="260"/>
      <c r="V240" s="260">
        <v>5</v>
      </c>
      <c r="W240" s="260">
        <v>5</v>
      </c>
      <c r="X240" s="260">
        <v>5</v>
      </c>
      <c r="Y240" s="260">
        <v>20</v>
      </c>
      <c r="Z240" s="260">
        <v>5</v>
      </c>
      <c r="AA240" s="260">
        <v>40</v>
      </c>
      <c r="AB240" s="260">
        <v>20</v>
      </c>
      <c r="AC240" s="260">
        <v>20</v>
      </c>
      <c r="AD240" s="260"/>
      <c r="AE240" s="260"/>
      <c r="AF240" s="260"/>
      <c r="AG240" s="260"/>
      <c r="AH240" s="195">
        <v>400</v>
      </c>
      <c r="AI240" s="272">
        <v>20</v>
      </c>
      <c r="AJ240" s="271">
        <v>20</v>
      </c>
      <c r="AK240" s="260"/>
      <c r="AL240" s="260"/>
      <c r="AM240" s="260"/>
      <c r="AN240" s="260"/>
      <c r="AO240" s="260"/>
      <c r="AP240" s="260"/>
      <c r="AQ240" s="260"/>
      <c r="AR240" s="260"/>
      <c r="AS240" s="260"/>
      <c r="AT240" s="260"/>
      <c r="AU240" s="260">
        <v>40</v>
      </c>
      <c r="AV240" s="271">
        <v>40</v>
      </c>
      <c r="AW240" s="260">
        <v>40</v>
      </c>
      <c r="AX240" s="271">
        <v>40</v>
      </c>
      <c r="AY240" s="260">
        <v>5</v>
      </c>
      <c r="AZ240" s="271">
        <v>40</v>
      </c>
      <c r="BA240" s="276">
        <v>80</v>
      </c>
      <c r="BB240" s="276">
        <v>80</v>
      </c>
      <c r="BC240" s="276"/>
      <c r="BD240" s="276"/>
      <c r="BE240" s="276">
        <v>10</v>
      </c>
      <c r="BF240" s="276">
        <v>10</v>
      </c>
      <c r="BG240" s="260">
        <v>80</v>
      </c>
      <c r="BH240" s="271">
        <v>40</v>
      </c>
      <c r="BI240" s="276"/>
      <c r="BJ240" s="276"/>
      <c r="BK240" s="276"/>
      <c r="BL240" s="275"/>
      <c r="BM240" s="316">
        <v>400</v>
      </c>
      <c r="BN240" s="272">
        <v>20</v>
      </c>
      <c r="BO240" s="270">
        <v>20</v>
      </c>
      <c r="BP240" s="272"/>
      <c r="BQ240" s="260"/>
      <c r="BR240" s="260"/>
      <c r="BS240" s="260"/>
      <c r="BT240" s="260"/>
      <c r="BU240" s="260"/>
      <c r="BV240" s="260">
        <v>5</v>
      </c>
      <c r="BW240" s="260">
        <v>20</v>
      </c>
      <c r="BX240" s="260"/>
      <c r="BY240" s="260"/>
      <c r="BZ240" s="260"/>
      <c r="CA240" s="260"/>
      <c r="CB240" s="260"/>
      <c r="CC240" s="260"/>
      <c r="CD240" s="260">
        <v>40</v>
      </c>
      <c r="CE240" s="260">
        <v>20</v>
      </c>
      <c r="CF240" s="272"/>
      <c r="CG240" s="260"/>
      <c r="CH240" s="260"/>
      <c r="CI240" s="260"/>
      <c r="CJ240" s="260"/>
      <c r="CK240" s="260"/>
      <c r="CL240" s="260"/>
      <c r="CM240" s="260"/>
      <c r="CN240" s="260">
        <v>20</v>
      </c>
      <c r="CO240" s="260">
        <v>20</v>
      </c>
      <c r="CP240" s="260">
        <v>20</v>
      </c>
      <c r="CQ240" s="260">
        <v>20</v>
      </c>
      <c r="CR240" s="260">
        <v>20</v>
      </c>
      <c r="CS240" s="270">
        <v>20</v>
      </c>
      <c r="CT240" s="315">
        <v>400</v>
      </c>
      <c r="CU240" s="249">
        <f>Table2821115[[#This Row],[D28 - BR/18]]/Table2821115[[#This Row],[D0 - BR/18]]</f>
        <v>1</v>
      </c>
      <c r="CV240" s="248">
        <f>Table2821115[[#This Row],[D28 - KS/17]]/Table2821115[[#This Row],[D0 - KS/17]]</f>
        <v>1</v>
      </c>
      <c r="CW240" s="248">
        <f>Table2821115[[#This Row],[D28 - Phu/13]]/Table2821115[[#This Row],[D0 - Phu/13]]</f>
        <v>0.5</v>
      </c>
      <c r="CX240" s="248">
        <f>Table2821115[[#This Row],[D28 - CO/17]]/Table2821115[[#This Row],[D0 - CO/17]]</f>
        <v>1</v>
      </c>
      <c r="CY240" s="248">
        <f>LOG(Table2821115[[#This Row],[BR/18 Fold]],2)</f>
        <v>0</v>
      </c>
      <c r="CZ240" s="248">
        <f>LOG(Table2821115[[#This Row],[KS/17 Fold]],2)</f>
        <v>0</v>
      </c>
      <c r="DA240" s="248">
        <f>LOG(Table2821115[[#This Row],[Phu/13 Fold]],2)</f>
        <v>-1</v>
      </c>
      <c r="DB240" s="248">
        <f>LOG(Table2821115[[#This Row],[CO/17 Fold]],2)</f>
        <v>0</v>
      </c>
      <c r="DC240" s="248">
        <f>SUM(Table2821115[[#This Row],[BR/18 Log2]:[CO/17 Log2]])</f>
        <v>-1</v>
      </c>
    </row>
    <row r="241" spans="1:107" ht="24" customHeight="1">
      <c r="A241" s="330">
        <v>401</v>
      </c>
      <c r="B241" s="210">
        <v>19939</v>
      </c>
      <c r="C241" s="210">
        <v>43782</v>
      </c>
      <c r="D241" s="209">
        <v>65</v>
      </c>
      <c r="E241" s="4" t="s">
        <v>58</v>
      </c>
      <c r="F241" s="143" t="s">
        <v>117</v>
      </c>
      <c r="G241" s="142">
        <v>37.676928705208269</v>
      </c>
      <c r="H241" s="5" t="s">
        <v>64</v>
      </c>
      <c r="I241" s="277" t="s">
        <v>60</v>
      </c>
      <c r="J241" s="260">
        <v>5</v>
      </c>
      <c r="K241" s="260">
        <v>5</v>
      </c>
      <c r="L241" s="260"/>
      <c r="M241" s="260"/>
      <c r="N241" s="260"/>
      <c r="O241" s="260"/>
      <c r="P241" s="260"/>
      <c r="Q241" s="260"/>
      <c r="R241" s="260"/>
      <c r="S241" s="260"/>
      <c r="T241" s="260"/>
      <c r="U241" s="260"/>
      <c r="V241" s="260">
        <v>5</v>
      </c>
      <c r="W241" s="260">
        <v>20</v>
      </c>
      <c r="X241" s="260">
        <v>20</v>
      </c>
      <c r="Y241" s="260">
        <v>80</v>
      </c>
      <c r="Z241" s="260">
        <v>40</v>
      </c>
      <c r="AA241" s="260">
        <v>80</v>
      </c>
      <c r="AB241" s="260">
        <v>5</v>
      </c>
      <c r="AC241" s="260">
        <v>40</v>
      </c>
      <c r="AD241" s="260"/>
      <c r="AE241" s="260"/>
      <c r="AF241" s="260"/>
      <c r="AG241" s="260"/>
      <c r="AH241" s="208">
        <v>401</v>
      </c>
      <c r="AI241" s="272">
        <v>10</v>
      </c>
      <c r="AJ241" s="271">
        <v>160</v>
      </c>
      <c r="AK241" s="260"/>
      <c r="AL241" s="260"/>
      <c r="AM241" s="260"/>
      <c r="AN241" s="260"/>
      <c r="AO241" s="260"/>
      <c r="AP241" s="260"/>
      <c r="AQ241" s="260"/>
      <c r="AR241" s="260"/>
      <c r="AS241" s="260"/>
      <c r="AT241" s="260"/>
      <c r="AU241" s="260">
        <v>160</v>
      </c>
      <c r="AV241" s="271">
        <v>1280</v>
      </c>
      <c r="AW241" s="260">
        <v>160</v>
      </c>
      <c r="AX241" s="271">
        <v>1280</v>
      </c>
      <c r="AY241" s="260">
        <v>40</v>
      </c>
      <c r="AZ241" s="271">
        <v>320</v>
      </c>
      <c r="BA241" s="276">
        <v>40</v>
      </c>
      <c r="BB241" s="276">
        <v>640</v>
      </c>
      <c r="BC241" s="276"/>
      <c r="BD241" s="276"/>
      <c r="BE241" s="276">
        <v>40</v>
      </c>
      <c r="BF241" s="276">
        <v>1280</v>
      </c>
      <c r="BG241" s="260">
        <v>80</v>
      </c>
      <c r="BH241" s="271">
        <v>1280</v>
      </c>
      <c r="BI241" s="276"/>
      <c r="BJ241" s="276"/>
      <c r="BK241" s="276"/>
      <c r="BL241" s="275"/>
      <c r="BM241" s="329">
        <v>401</v>
      </c>
      <c r="BN241" s="272">
        <v>160</v>
      </c>
      <c r="BO241" s="270">
        <v>320</v>
      </c>
      <c r="BP241" s="272"/>
      <c r="BQ241" s="260"/>
      <c r="BR241" s="260"/>
      <c r="BS241" s="260"/>
      <c r="BT241" s="260"/>
      <c r="BU241" s="260"/>
      <c r="BV241" s="260">
        <v>5</v>
      </c>
      <c r="BW241" s="260">
        <v>160</v>
      </c>
      <c r="BX241" s="260"/>
      <c r="BY241" s="260"/>
      <c r="BZ241" s="260"/>
      <c r="CA241" s="260"/>
      <c r="CB241" s="260"/>
      <c r="CC241" s="260"/>
      <c r="CD241" s="260">
        <v>160</v>
      </c>
      <c r="CE241" s="260">
        <v>160</v>
      </c>
      <c r="CF241" s="272"/>
      <c r="CG241" s="260"/>
      <c r="CH241" s="260"/>
      <c r="CI241" s="260"/>
      <c r="CJ241" s="260"/>
      <c r="CK241" s="260"/>
      <c r="CL241" s="260"/>
      <c r="CM241" s="260"/>
      <c r="CN241" s="260">
        <v>80</v>
      </c>
      <c r="CO241" s="260">
        <v>80</v>
      </c>
      <c r="CP241" s="260">
        <v>40</v>
      </c>
      <c r="CQ241" s="260">
        <v>80</v>
      </c>
      <c r="CR241" s="260">
        <v>80</v>
      </c>
      <c r="CS241" s="270">
        <v>160</v>
      </c>
      <c r="CT241" s="328">
        <v>401</v>
      </c>
      <c r="CU241" s="249">
        <f>Table2821115[[#This Row],[D28 - BR/18]]/Table2821115[[#This Row],[D0 - BR/18]]</f>
        <v>8</v>
      </c>
      <c r="CV241" s="248">
        <f>Table2821115[[#This Row],[D28 - KS/17]]/Table2821115[[#This Row],[D0 - KS/17]]</f>
        <v>32</v>
      </c>
      <c r="CW241" s="248">
        <f>Table2821115[[#This Row],[D28 - Phu/13]]/Table2821115[[#This Row],[D0 - Phu/13]]</f>
        <v>1</v>
      </c>
      <c r="CX241" s="248">
        <f>Table2821115[[#This Row],[D28 - CO/17]]/Table2821115[[#This Row],[D0 - CO/17]]</f>
        <v>2</v>
      </c>
      <c r="CY241" s="248">
        <f>LOG(Table2821115[[#This Row],[BR/18 Fold]],2)</f>
        <v>3</v>
      </c>
      <c r="CZ241" s="248">
        <f>LOG(Table2821115[[#This Row],[KS/17 Fold]],2)</f>
        <v>5</v>
      </c>
      <c r="DA241" s="248">
        <f>LOG(Table2821115[[#This Row],[Phu/13 Fold]],2)</f>
        <v>0</v>
      </c>
      <c r="DB241" s="248">
        <f>LOG(Table2821115[[#This Row],[CO/17 Fold]],2)</f>
        <v>1</v>
      </c>
      <c r="DC241" s="248">
        <f>SUM(Table2821115[[#This Row],[BR/18 Log2]:[CO/17 Log2]])</f>
        <v>9</v>
      </c>
    </row>
    <row r="242" spans="1:107" ht="24" customHeight="1">
      <c r="A242" s="318">
        <v>402</v>
      </c>
      <c r="B242" s="180">
        <v>23557</v>
      </c>
      <c r="C242" s="180">
        <v>43784</v>
      </c>
      <c r="D242" s="179">
        <v>55</v>
      </c>
      <c r="E242" s="4" t="s">
        <v>58</v>
      </c>
      <c r="F242" s="143" t="s">
        <v>116</v>
      </c>
      <c r="G242" s="142">
        <v>32.592592592592588</v>
      </c>
      <c r="H242" s="11" t="s">
        <v>59</v>
      </c>
      <c r="I242" s="277" t="s">
        <v>62</v>
      </c>
      <c r="J242" s="260">
        <v>5</v>
      </c>
      <c r="K242" s="260">
        <v>5</v>
      </c>
      <c r="L242" s="260"/>
      <c r="M242" s="260"/>
      <c r="N242" s="260"/>
      <c r="O242" s="260"/>
      <c r="P242" s="260"/>
      <c r="Q242" s="260"/>
      <c r="R242" s="260"/>
      <c r="S242" s="260"/>
      <c r="T242" s="260"/>
      <c r="U242" s="260"/>
      <c r="V242" s="260">
        <v>5</v>
      </c>
      <c r="W242" s="260">
        <v>5</v>
      </c>
      <c r="X242" s="260">
        <v>5</v>
      </c>
      <c r="Y242" s="260">
        <v>5</v>
      </c>
      <c r="Z242" s="260">
        <v>5</v>
      </c>
      <c r="AA242" s="260">
        <v>5</v>
      </c>
      <c r="AB242" s="260">
        <v>5</v>
      </c>
      <c r="AC242" s="260">
        <v>20</v>
      </c>
      <c r="AD242" s="260"/>
      <c r="AE242" s="260"/>
      <c r="AF242" s="260"/>
      <c r="AG242" s="260"/>
      <c r="AH242" s="195">
        <v>402</v>
      </c>
      <c r="AI242" s="272">
        <v>5</v>
      </c>
      <c r="AJ242" s="271">
        <v>5</v>
      </c>
      <c r="AK242" s="260"/>
      <c r="AL242" s="260"/>
      <c r="AM242" s="260"/>
      <c r="AN242" s="260"/>
      <c r="AO242" s="260"/>
      <c r="AP242" s="260"/>
      <c r="AQ242" s="260"/>
      <c r="AR242" s="260"/>
      <c r="AS242" s="260"/>
      <c r="AT242" s="260"/>
      <c r="AU242" s="260">
        <v>40</v>
      </c>
      <c r="AV242" s="271">
        <v>80</v>
      </c>
      <c r="AW242" s="260">
        <v>40</v>
      </c>
      <c r="AX242" s="271">
        <v>80</v>
      </c>
      <c r="AY242" s="260">
        <v>5</v>
      </c>
      <c r="AZ242" s="271">
        <v>5</v>
      </c>
      <c r="BA242" s="276">
        <v>5</v>
      </c>
      <c r="BB242" s="276">
        <v>20</v>
      </c>
      <c r="BC242" s="276"/>
      <c r="BD242" s="276"/>
      <c r="BE242" s="276">
        <v>160</v>
      </c>
      <c r="BF242" s="276">
        <v>160</v>
      </c>
      <c r="BG242" s="260">
        <v>40</v>
      </c>
      <c r="BH242" s="271">
        <v>40</v>
      </c>
      <c r="BI242" s="276"/>
      <c r="BJ242" s="276"/>
      <c r="BK242" s="276"/>
      <c r="BL242" s="275"/>
      <c r="BM242" s="316">
        <v>402</v>
      </c>
      <c r="BN242" s="272">
        <v>5</v>
      </c>
      <c r="BO242" s="270">
        <v>20</v>
      </c>
      <c r="BP242" s="272"/>
      <c r="BQ242" s="260"/>
      <c r="BR242" s="260"/>
      <c r="BS242" s="260"/>
      <c r="BT242" s="260"/>
      <c r="BU242" s="260"/>
      <c r="BV242" s="260">
        <v>5</v>
      </c>
      <c r="BW242" s="260">
        <v>5</v>
      </c>
      <c r="BX242" s="260"/>
      <c r="BY242" s="260"/>
      <c r="BZ242" s="260"/>
      <c r="CA242" s="260"/>
      <c r="CB242" s="260"/>
      <c r="CC242" s="260"/>
      <c r="CD242" s="260">
        <v>10</v>
      </c>
      <c r="CE242" s="260">
        <v>80</v>
      </c>
      <c r="CF242" s="272"/>
      <c r="CG242" s="260"/>
      <c r="CH242" s="260"/>
      <c r="CI242" s="260"/>
      <c r="CJ242" s="260"/>
      <c r="CK242" s="260"/>
      <c r="CL242" s="260"/>
      <c r="CM242" s="260"/>
      <c r="CN242" s="260">
        <v>5</v>
      </c>
      <c r="CO242" s="260">
        <v>40</v>
      </c>
      <c r="CP242" s="260">
        <v>5</v>
      </c>
      <c r="CQ242" s="260">
        <v>40</v>
      </c>
      <c r="CR242" s="260">
        <v>5</v>
      </c>
      <c r="CS242" s="270">
        <v>80</v>
      </c>
      <c r="CT242" s="315">
        <v>402</v>
      </c>
      <c r="CU242" s="249">
        <f>Table2821115[[#This Row],[D28 - BR/18]]/Table2821115[[#This Row],[D0 - BR/18]]</f>
        <v>4</v>
      </c>
      <c r="CV242" s="248">
        <f>Table2821115[[#This Row],[D28 - KS/17]]/Table2821115[[#This Row],[D0 - KS/17]]</f>
        <v>1</v>
      </c>
      <c r="CW242" s="248">
        <f>Table2821115[[#This Row],[D28 - Phu/13]]/Table2821115[[#This Row],[D0 - Phu/13]]</f>
        <v>8</v>
      </c>
      <c r="CX242" s="248">
        <f>Table2821115[[#This Row],[D28 - CO/17]]/Table2821115[[#This Row],[D0 - CO/17]]</f>
        <v>8</v>
      </c>
      <c r="CY242" s="248">
        <f>LOG(Table2821115[[#This Row],[BR/18 Fold]],2)</f>
        <v>2</v>
      </c>
      <c r="CZ242" s="248">
        <f>LOG(Table2821115[[#This Row],[KS/17 Fold]],2)</f>
        <v>0</v>
      </c>
      <c r="DA242" s="248">
        <f>LOG(Table2821115[[#This Row],[Phu/13 Fold]],2)</f>
        <v>3</v>
      </c>
      <c r="DB242" s="248">
        <f>LOG(Table2821115[[#This Row],[CO/17 Fold]],2)</f>
        <v>3</v>
      </c>
      <c r="DC242" s="248">
        <f>SUM(Table2821115[[#This Row],[BR/18 Log2]:[CO/17 Log2]])</f>
        <v>8</v>
      </c>
    </row>
    <row r="243" spans="1:107" ht="24" customHeight="1">
      <c r="A243" s="318">
        <v>403</v>
      </c>
      <c r="B243" s="180">
        <v>22443</v>
      </c>
      <c r="C243" s="180">
        <v>43781</v>
      </c>
      <c r="D243" s="179">
        <v>58</v>
      </c>
      <c r="E243" s="3" t="s">
        <v>61</v>
      </c>
      <c r="F243" s="143" t="s">
        <v>116</v>
      </c>
      <c r="G243" s="142">
        <v>29.902787729701359</v>
      </c>
      <c r="H243" s="11" t="s">
        <v>59</v>
      </c>
      <c r="I243" s="277" t="s">
        <v>60</v>
      </c>
      <c r="J243" s="260">
        <v>5</v>
      </c>
      <c r="K243" s="260">
        <v>5</v>
      </c>
      <c r="L243" s="260"/>
      <c r="M243" s="260"/>
      <c r="N243" s="260"/>
      <c r="O243" s="260"/>
      <c r="P243" s="260"/>
      <c r="Q243" s="260"/>
      <c r="R243" s="260"/>
      <c r="S243" s="260"/>
      <c r="T243" s="260"/>
      <c r="U243" s="260"/>
      <c r="V243" s="260">
        <v>5</v>
      </c>
      <c r="W243" s="260">
        <v>5</v>
      </c>
      <c r="X243" s="260">
        <v>5</v>
      </c>
      <c r="Y243" s="260">
        <v>5</v>
      </c>
      <c r="Z243" s="260">
        <v>5</v>
      </c>
      <c r="AA243" s="260">
        <v>20</v>
      </c>
      <c r="AB243" s="260">
        <v>20</v>
      </c>
      <c r="AC243" s="260">
        <v>40</v>
      </c>
      <c r="AD243" s="260"/>
      <c r="AE243" s="260"/>
      <c r="AF243" s="260"/>
      <c r="AG243" s="260"/>
      <c r="AH243" s="195">
        <v>403</v>
      </c>
      <c r="AI243" s="272">
        <v>20</v>
      </c>
      <c r="AJ243" s="271">
        <v>40</v>
      </c>
      <c r="AK243" s="260"/>
      <c r="AL243" s="260"/>
      <c r="AM243" s="260"/>
      <c r="AN243" s="260"/>
      <c r="AO243" s="260"/>
      <c r="AP243" s="260"/>
      <c r="AQ243" s="260"/>
      <c r="AR243" s="260"/>
      <c r="AS243" s="260"/>
      <c r="AT243" s="260"/>
      <c r="AU243" s="260">
        <v>40</v>
      </c>
      <c r="AV243" s="271">
        <v>320</v>
      </c>
      <c r="AW243" s="260">
        <v>20</v>
      </c>
      <c r="AX243" s="271">
        <v>320</v>
      </c>
      <c r="AY243" s="260">
        <v>80</v>
      </c>
      <c r="AZ243" s="271">
        <v>640</v>
      </c>
      <c r="BA243" s="276">
        <v>160</v>
      </c>
      <c r="BB243" s="276">
        <v>640</v>
      </c>
      <c r="BC243" s="276"/>
      <c r="BD243" s="276"/>
      <c r="BE243" s="276">
        <v>5</v>
      </c>
      <c r="BF243" s="276">
        <v>160</v>
      </c>
      <c r="BG243" s="260">
        <v>160</v>
      </c>
      <c r="BH243" s="271">
        <v>640</v>
      </c>
      <c r="BI243" s="276"/>
      <c r="BJ243" s="276"/>
      <c r="BK243" s="276"/>
      <c r="BL243" s="275"/>
      <c r="BM243" s="316">
        <v>403</v>
      </c>
      <c r="BN243" s="272">
        <v>20</v>
      </c>
      <c r="BO243" s="270">
        <v>40</v>
      </c>
      <c r="BP243" s="272"/>
      <c r="BQ243" s="260"/>
      <c r="BR243" s="260"/>
      <c r="BS243" s="260"/>
      <c r="BT243" s="260"/>
      <c r="BU243" s="260"/>
      <c r="BV243" s="260">
        <v>5</v>
      </c>
      <c r="BW243" s="260">
        <v>5</v>
      </c>
      <c r="BX243" s="260"/>
      <c r="BY243" s="260"/>
      <c r="BZ243" s="260"/>
      <c r="CA243" s="260"/>
      <c r="CB243" s="260"/>
      <c r="CC243" s="260"/>
      <c r="CD243" s="260">
        <v>40</v>
      </c>
      <c r="CE243" s="260">
        <v>80</v>
      </c>
      <c r="CF243" s="272"/>
      <c r="CG243" s="260"/>
      <c r="CH243" s="260"/>
      <c r="CI243" s="260"/>
      <c r="CJ243" s="260"/>
      <c r="CK243" s="260"/>
      <c r="CL243" s="260"/>
      <c r="CM243" s="260"/>
      <c r="CN243" s="260">
        <v>40</v>
      </c>
      <c r="CO243" s="260">
        <v>80</v>
      </c>
      <c r="CP243" s="260">
        <v>80</v>
      </c>
      <c r="CQ243" s="260">
        <v>160</v>
      </c>
      <c r="CR243" s="260">
        <v>80</v>
      </c>
      <c r="CS243" s="270">
        <v>160</v>
      </c>
      <c r="CT243" s="315">
        <v>403</v>
      </c>
      <c r="CU243" s="249">
        <f>Table2821115[[#This Row],[D28 - BR/18]]/Table2821115[[#This Row],[D0 - BR/18]]</f>
        <v>2</v>
      </c>
      <c r="CV243" s="248">
        <f>Table2821115[[#This Row],[D28 - KS/17]]/Table2821115[[#This Row],[D0 - KS/17]]</f>
        <v>32</v>
      </c>
      <c r="CW243" s="248">
        <f>Table2821115[[#This Row],[D28 - Phu/13]]/Table2821115[[#This Row],[D0 - Phu/13]]</f>
        <v>2</v>
      </c>
      <c r="CX243" s="248">
        <f>Table2821115[[#This Row],[D28 - CO/17]]/Table2821115[[#This Row],[D0 - CO/17]]</f>
        <v>2</v>
      </c>
      <c r="CY243" s="248">
        <f>LOG(Table2821115[[#This Row],[BR/18 Fold]],2)</f>
        <v>1</v>
      </c>
      <c r="CZ243" s="248">
        <f>LOG(Table2821115[[#This Row],[KS/17 Fold]],2)</f>
        <v>5</v>
      </c>
      <c r="DA243" s="248">
        <f>LOG(Table2821115[[#This Row],[Phu/13 Fold]],2)</f>
        <v>1</v>
      </c>
      <c r="DB243" s="248">
        <f>LOG(Table2821115[[#This Row],[CO/17 Fold]],2)</f>
        <v>1</v>
      </c>
      <c r="DC243" s="248">
        <f>SUM(Table2821115[[#This Row],[BR/18 Log2]:[CO/17 Log2]])</f>
        <v>8</v>
      </c>
    </row>
    <row r="244" spans="1:107" ht="24" customHeight="1">
      <c r="A244" s="324">
        <v>404</v>
      </c>
      <c r="B244" s="190">
        <v>25901</v>
      </c>
      <c r="C244" s="190">
        <v>43794</v>
      </c>
      <c r="D244" s="189">
        <v>48</v>
      </c>
      <c r="E244" s="3" t="s">
        <v>61</v>
      </c>
      <c r="F244" s="143" t="s">
        <v>116</v>
      </c>
      <c r="G244" s="142">
        <v>40.785777809085218</v>
      </c>
      <c r="H244" s="11" t="s">
        <v>59</v>
      </c>
      <c r="I244" s="277" t="s">
        <v>60</v>
      </c>
      <c r="J244" s="260">
        <v>5</v>
      </c>
      <c r="K244" s="260">
        <v>5</v>
      </c>
      <c r="L244" s="260"/>
      <c r="M244" s="260"/>
      <c r="N244" s="260"/>
      <c r="O244" s="260"/>
      <c r="P244" s="260"/>
      <c r="Q244" s="260"/>
      <c r="R244" s="260"/>
      <c r="S244" s="260"/>
      <c r="T244" s="260"/>
      <c r="U244" s="260"/>
      <c r="V244" s="260">
        <v>5</v>
      </c>
      <c r="W244" s="260">
        <v>5</v>
      </c>
      <c r="X244" s="260">
        <v>40</v>
      </c>
      <c r="Y244" s="260">
        <v>40</v>
      </c>
      <c r="Z244" s="260">
        <v>80</v>
      </c>
      <c r="AA244" s="260">
        <v>80</v>
      </c>
      <c r="AB244" s="260">
        <v>80</v>
      </c>
      <c r="AC244" s="260">
        <v>40</v>
      </c>
      <c r="AD244" s="260"/>
      <c r="AE244" s="260"/>
      <c r="AF244" s="260"/>
      <c r="AG244" s="260"/>
      <c r="AH244" s="198">
        <v>404</v>
      </c>
      <c r="AI244" s="272">
        <v>20</v>
      </c>
      <c r="AJ244" s="271">
        <v>20</v>
      </c>
      <c r="AK244" s="260"/>
      <c r="AL244" s="260"/>
      <c r="AM244" s="260"/>
      <c r="AN244" s="260"/>
      <c r="AO244" s="260"/>
      <c r="AP244" s="260"/>
      <c r="AQ244" s="260"/>
      <c r="AR244" s="260"/>
      <c r="AS244" s="260"/>
      <c r="AT244" s="260"/>
      <c r="AU244" s="260">
        <v>40</v>
      </c>
      <c r="AV244" s="271">
        <v>80</v>
      </c>
      <c r="AW244" s="260">
        <v>20</v>
      </c>
      <c r="AX244" s="271">
        <v>80</v>
      </c>
      <c r="AY244" s="260">
        <v>20</v>
      </c>
      <c r="AZ244" s="271">
        <v>40</v>
      </c>
      <c r="BA244" s="276">
        <v>40</v>
      </c>
      <c r="BB244" s="276">
        <v>80</v>
      </c>
      <c r="BC244" s="276"/>
      <c r="BD244" s="276"/>
      <c r="BE244" s="276">
        <v>5</v>
      </c>
      <c r="BF244" s="276">
        <v>40</v>
      </c>
      <c r="BG244" s="260">
        <v>80</v>
      </c>
      <c r="BH244" s="271">
        <v>80</v>
      </c>
      <c r="BI244" s="276"/>
      <c r="BJ244" s="276"/>
      <c r="BK244" s="276"/>
      <c r="BL244" s="275"/>
      <c r="BM244" s="323">
        <v>404</v>
      </c>
      <c r="BN244" s="272">
        <v>80</v>
      </c>
      <c r="BO244" s="270">
        <v>80</v>
      </c>
      <c r="BP244" s="272"/>
      <c r="BQ244" s="260"/>
      <c r="BR244" s="260"/>
      <c r="BS244" s="260"/>
      <c r="BT244" s="260"/>
      <c r="BU244" s="260"/>
      <c r="BV244" s="260">
        <v>160</v>
      </c>
      <c r="BW244" s="260">
        <v>160</v>
      </c>
      <c r="BX244" s="260"/>
      <c r="BY244" s="260"/>
      <c r="BZ244" s="260"/>
      <c r="CA244" s="260"/>
      <c r="CB244" s="260"/>
      <c r="CC244" s="260"/>
      <c r="CD244" s="260">
        <v>160</v>
      </c>
      <c r="CE244" s="260">
        <v>160</v>
      </c>
      <c r="CF244" s="272"/>
      <c r="CG244" s="260"/>
      <c r="CH244" s="260"/>
      <c r="CI244" s="260"/>
      <c r="CJ244" s="260"/>
      <c r="CK244" s="260"/>
      <c r="CL244" s="260"/>
      <c r="CM244" s="260"/>
      <c r="CN244" s="260">
        <v>80</v>
      </c>
      <c r="CO244" s="260">
        <v>80</v>
      </c>
      <c r="CP244" s="260">
        <v>80</v>
      </c>
      <c r="CQ244" s="260">
        <v>80</v>
      </c>
      <c r="CR244" s="260">
        <v>160</v>
      </c>
      <c r="CS244" s="270">
        <v>160</v>
      </c>
      <c r="CT244" s="322">
        <v>404</v>
      </c>
      <c r="CU244" s="249">
        <f>Table2821115[[#This Row],[D28 - BR/18]]/Table2821115[[#This Row],[D0 - BR/18]]</f>
        <v>0.5</v>
      </c>
      <c r="CV244" s="248">
        <f>Table2821115[[#This Row],[D28 - KS/17]]/Table2821115[[#This Row],[D0 - KS/17]]</f>
        <v>8</v>
      </c>
      <c r="CW244" s="248">
        <f>Table2821115[[#This Row],[D28 - Phu/13]]/Table2821115[[#This Row],[D0 - Phu/13]]</f>
        <v>1</v>
      </c>
      <c r="CX244" s="248">
        <f>Table2821115[[#This Row],[D28 - CO/17]]/Table2821115[[#This Row],[D0 - CO/17]]</f>
        <v>1</v>
      </c>
      <c r="CY244" s="248">
        <f>LOG(Table2821115[[#This Row],[BR/18 Fold]],2)</f>
        <v>-1</v>
      </c>
      <c r="CZ244" s="248">
        <f>LOG(Table2821115[[#This Row],[KS/17 Fold]],2)</f>
        <v>3</v>
      </c>
      <c r="DA244" s="248">
        <f>LOG(Table2821115[[#This Row],[Phu/13 Fold]],2)</f>
        <v>0</v>
      </c>
      <c r="DB244" s="248">
        <f>LOG(Table2821115[[#This Row],[CO/17 Fold]],2)</f>
        <v>0</v>
      </c>
      <c r="DC244" s="248">
        <f>SUM(Table2821115[[#This Row],[BR/18 Log2]:[CO/17 Log2]])</f>
        <v>2</v>
      </c>
    </row>
    <row r="245" spans="1:107" ht="24" customHeight="1">
      <c r="A245" s="318">
        <v>405</v>
      </c>
      <c r="B245" s="180">
        <v>23149</v>
      </c>
      <c r="C245" s="180">
        <v>43776</v>
      </c>
      <c r="D245" s="179">
        <v>56</v>
      </c>
      <c r="E245" s="3" t="s">
        <v>61</v>
      </c>
      <c r="F245" s="143" t="s">
        <v>116</v>
      </c>
      <c r="G245" s="142">
        <v>26.212280472151051</v>
      </c>
      <c r="H245" s="11" t="s">
        <v>59</v>
      </c>
      <c r="I245" s="277" t="s">
        <v>62</v>
      </c>
      <c r="J245" s="260">
        <v>5</v>
      </c>
      <c r="K245" s="260">
        <v>5</v>
      </c>
      <c r="L245" s="260"/>
      <c r="M245" s="260"/>
      <c r="N245" s="260"/>
      <c r="O245" s="260"/>
      <c r="P245" s="260"/>
      <c r="Q245" s="260"/>
      <c r="R245" s="260"/>
      <c r="S245" s="260"/>
      <c r="T245" s="260"/>
      <c r="U245" s="260"/>
      <c r="V245" s="260">
        <v>5</v>
      </c>
      <c r="W245" s="260">
        <v>5</v>
      </c>
      <c r="X245" s="260">
        <v>5</v>
      </c>
      <c r="Y245" s="260">
        <v>5</v>
      </c>
      <c r="Z245" s="260">
        <v>5</v>
      </c>
      <c r="AA245" s="260">
        <v>5</v>
      </c>
      <c r="AB245" s="260">
        <v>5</v>
      </c>
      <c r="AC245" s="260">
        <v>20</v>
      </c>
      <c r="AD245" s="260"/>
      <c r="AE245" s="260"/>
      <c r="AF245" s="260"/>
      <c r="AG245" s="260"/>
      <c r="AH245" s="195">
        <v>405</v>
      </c>
      <c r="AI245" s="272">
        <v>10</v>
      </c>
      <c r="AJ245" s="271">
        <v>40</v>
      </c>
      <c r="AK245" s="260"/>
      <c r="AL245" s="260"/>
      <c r="AM245" s="260"/>
      <c r="AN245" s="260"/>
      <c r="AO245" s="260"/>
      <c r="AP245" s="260"/>
      <c r="AQ245" s="260"/>
      <c r="AR245" s="260"/>
      <c r="AS245" s="260"/>
      <c r="AT245" s="260"/>
      <c r="AU245" s="260">
        <v>80</v>
      </c>
      <c r="AV245" s="271">
        <v>80</v>
      </c>
      <c r="AW245" s="260">
        <v>160</v>
      </c>
      <c r="AX245" s="271">
        <v>80</v>
      </c>
      <c r="AY245" s="260">
        <v>5</v>
      </c>
      <c r="AZ245" s="271">
        <v>5</v>
      </c>
      <c r="BA245" s="276">
        <v>40</v>
      </c>
      <c r="BB245" s="276">
        <v>40</v>
      </c>
      <c r="BC245" s="276"/>
      <c r="BD245" s="276"/>
      <c r="BE245" s="276">
        <v>10</v>
      </c>
      <c r="BF245" s="276">
        <v>20</v>
      </c>
      <c r="BG245" s="260">
        <v>20</v>
      </c>
      <c r="BH245" s="271">
        <v>40</v>
      </c>
      <c r="BI245" s="276"/>
      <c r="BJ245" s="276"/>
      <c r="BK245" s="276"/>
      <c r="BL245" s="275"/>
      <c r="BM245" s="316">
        <v>405</v>
      </c>
      <c r="BN245" s="272">
        <v>20</v>
      </c>
      <c r="BO245" s="270">
        <v>640</v>
      </c>
      <c r="BP245" s="272"/>
      <c r="BQ245" s="260"/>
      <c r="BR245" s="260"/>
      <c r="BS245" s="260"/>
      <c r="BT245" s="260"/>
      <c r="BU245" s="260"/>
      <c r="BV245" s="260">
        <v>5</v>
      </c>
      <c r="BW245" s="260">
        <v>640</v>
      </c>
      <c r="BX245" s="260"/>
      <c r="BY245" s="260"/>
      <c r="BZ245" s="260"/>
      <c r="CA245" s="260"/>
      <c r="CB245" s="260"/>
      <c r="CC245" s="260"/>
      <c r="CD245" s="260">
        <v>10</v>
      </c>
      <c r="CE245" s="260">
        <v>640</v>
      </c>
      <c r="CF245" s="272"/>
      <c r="CG245" s="260"/>
      <c r="CH245" s="260"/>
      <c r="CI245" s="260"/>
      <c r="CJ245" s="260"/>
      <c r="CK245" s="260"/>
      <c r="CL245" s="260"/>
      <c r="CM245" s="260"/>
      <c r="CN245" s="260">
        <v>10</v>
      </c>
      <c r="CO245" s="260">
        <v>160</v>
      </c>
      <c r="CP245" s="260">
        <v>10</v>
      </c>
      <c r="CQ245" s="260">
        <v>320</v>
      </c>
      <c r="CR245" s="260">
        <v>20</v>
      </c>
      <c r="CS245" s="270">
        <v>320</v>
      </c>
      <c r="CT245" s="315">
        <v>405</v>
      </c>
      <c r="CU245" s="249">
        <f>Table2821115[[#This Row],[D28 - BR/18]]/Table2821115[[#This Row],[D0 - BR/18]]</f>
        <v>4</v>
      </c>
      <c r="CV245" s="248">
        <f>Table2821115[[#This Row],[D28 - KS/17]]/Table2821115[[#This Row],[D0 - KS/17]]</f>
        <v>2</v>
      </c>
      <c r="CW245" s="248">
        <f>Table2821115[[#This Row],[D28 - Phu/13]]/Table2821115[[#This Row],[D0 - Phu/13]]</f>
        <v>64</v>
      </c>
      <c r="CX245" s="248">
        <f>Table2821115[[#This Row],[D28 - CO/17]]/Table2821115[[#This Row],[D0 - CO/17]]</f>
        <v>32</v>
      </c>
      <c r="CY245" s="248">
        <f>LOG(Table2821115[[#This Row],[BR/18 Fold]],2)</f>
        <v>2</v>
      </c>
      <c r="CZ245" s="248">
        <f>LOG(Table2821115[[#This Row],[KS/17 Fold]],2)</f>
        <v>1</v>
      </c>
      <c r="DA245" s="248">
        <f>LOG(Table2821115[[#This Row],[Phu/13 Fold]],2)</f>
        <v>6</v>
      </c>
      <c r="DB245" s="248">
        <f>LOG(Table2821115[[#This Row],[CO/17 Fold]],2)</f>
        <v>5</v>
      </c>
      <c r="DC245" s="248">
        <f>SUM(Table2821115[[#This Row],[BR/18 Log2]:[CO/17 Log2]])</f>
        <v>14</v>
      </c>
    </row>
    <row r="246" spans="1:107" ht="24" customHeight="1">
      <c r="A246" s="327">
        <v>406</v>
      </c>
      <c r="B246" s="205">
        <v>16809</v>
      </c>
      <c r="C246" s="205">
        <v>43787</v>
      </c>
      <c r="D246" s="204">
        <v>73</v>
      </c>
      <c r="E246" s="3" t="s">
        <v>61</v>
      </c>
      <c r="F246" s="143" t="s">
        <v>116</v>
      </c>
      <c r="G246" s="142">
        <v>25.97342125979096</v>
      </c>
      <c r="H246" s="11" t="s">
        <v>59</v>
      </c>
      <c r="I246" s="277" t="s">
        <v>62</v>
      </c>
      <c r="J246" s="260">
        <v>5</v>
      </c>
      <c r="K246" s="260">
        <v>20</v>
      </c>
      <c r="L246" s="260"/>
      <c r="M246" s="260"/>
      <c r="N246" s="260"/>
      <c r="O246" s="260"/>
      <c r="P246" s="260"/>
      <c r="Q246" s="260"/>
      <c r="R246" s="260"/>
      <c r="S246" s="260"/>
      <c r="T246" s="260"/>
      <c r="U246" s="260"/>
      <c r="V246" s="260">
        <v>5</v>
      </c>
      <c r="W246" s="260">
        <v>5</v>
      </c>
      <c r="X246" s="260">
        <v>5</v>
      </c>
      <c r="Y246" s="260">
        <v>20</v>
      </c>
      <c r="Z246" s="260">
        <v>5</v>
      </c>
      <c r="AA246" s="260">
        <v>80</v>
      </c>
      <c r="AB246" s="260">
        <v>5</v>
      </c>
      <c r="AC246" s="260">
        <v>40</v>
      </c>
      <c r="AD246" s="260"/>
      <c r="AE246" s="260"/>
      <c r="AF246" s="260"/>
      <c r="AG246" s="260"/>
      <c r="AH246" s="203">
        <v>406</v>
      </c>
      <c r="AI246" s="272">
        <v>5</v>
      </c>
      <c r="AJ246" s="271">
        <v>5</v>
      </c>
      <c r="AK246" s="260"/>
      <c r="AL246" s="260"/>
      <c r="AM246" s="260"/>
      <c r="AN246" s="260"/>
      <c r="AO246" s="260"/>
      <c r="AP246" s="260"/>
      <c r="AQ246" s="260"/>
      <c r="AR246" s="260"/>
      <c r="AS246" s="260"/>
      <c r="AT246" s="260"/>
      <c r="AU246" s="260">
        <v>40</v>
      </c>
      <c r="AV246" s="271">
        <v>160</v>
      </c>
      <c r="AW246" s="260">
        <v>10</v>
      </c>
      <c r="AX246" s="271">
        <v>80</v>
      </c>
      <c r="AY246" s="260">
        <v>5</v>
      </c>
      <c r="AZ246" s="271">
        <v>20</v>
      </c>
      <c r="BA246" s="276">
        <v>10</v>
      </c>
      <c r="BB246" s="276">
        <v>40</v>
      </c>
      <c r="BC246" s="276"/>
      <c r="BD246" s="276"/>
      <c r="BE246" s="276">
        <v>5</v>
      </c>
      <c r="BF246" s="276">
        <v>20</v>
      </c>
      <c r="BG246" s="260">
        <v>20</v>
      </c>
      <c r="BH246" s="271">
        <v>80</v>
      </c>
      <c r="BI246" s="276"/>
      <c r="BJ246" s="276"/>
      <c r="BK246" s="276"/>
      <c r="BL246" s="275"/>
      <c r="BM246" s="326">
        <v>406</v>
      </c>
      <c r="BN246" s="272">
        <v>5</v>
      </c>
      <c r="BO246" s="270">
        <v>160</v>
      </c>
      <c r="BP246" s="272"/>
      <c r="BQ246" s="260"/>
      <c r="BR246" s="260"/>
      <c r="BS246" s="260"/>
      <c r="BT246" s="260"/>
      <c r="BU246" s="260"/>
      <c r="BV246" s="260">
        <v>5</v>
      </c>
      <c r="BW246" s="260">
        <v>320</v>
      </c>
      <c r="BX246" s="260"/>
      <c r="BY246" s="260"/>
      <c r="BZ246" s="260"/>
      <c r="CA246" s="260"/>
      <c r="CB246" s="260"/>
      <c r="CC246" s="260"/>
      <c r="CD246" s="260">
        <v>10</v>
      </c>
      <c r="CE246" s="260">
        <v>160</v>
      </c>
      <c r="CF246" s="272"/>
      <c r="CG246" s="260"/>
      <c r="CH246" s="260"/>
      <c r="CI246" s="260"/>
      <c r="CJ246" s="260"/>
      <c r="CK246" s="260"/>
      <c r="CL246" s="260"/>
      <c r="CM246" s="260"/>
      <c r="CN246" s="260">
        <v>5</v>
      </c>
      <c r="CO246" s="260">
        <v>10</v>
      </c>
      <c r="CP246" s="260">
        <v>5</v>
      </c>
      <c r="CQ246" s="260">
        <v>20</v>
      </c>
      <c r="CR246" s="260">
        <v>5</v>
      </c>
      <c r="CS246" s="270">
        <v>80</v>
      </c>
      <c r="CT246" s="325">
        <v>406</v>
      </c>
      <c r="CU246" s="249">
        <f>Table2821115[[#This Row],[D28 - BR/18]]/Table2821115[[#This Row],[D0 - BR/18]]</f>
        <v>8</v>
      </c>
      <c r="CV246" s="248">
        <f>Table2821115[[#This Row],[D28 - KS/17]]/Table2821115[[#This Row],[D0 - KS/17]]</f>
        <v>4</v>
      </c>
      <c r="CW246" s="248">
        <f>Table2821115[[#This Row],[D28 - Phu/13]]/Table2821115[[#This Row],[D0 - Phu/13]]</f>
        <v>16</v>
      </c>
      <c r="CX246" s="248">
        <f>Table2821115[[#This Row],[D28 - CO/17]]/Table2821115[[#This Row],[D0 - CO/17]]</f>
        <v>4</v>
      </c>
      <c r="CY246" s="248">
        <f>LOG(Table2821115[[#This Row],[BR/18 Fold]],2)</f>
        <v>3</v>
      </c>
      <c r="CZ246" s="248">
        <f>LOG(Table2821115[[#This Row],[KS/17 Fold]],2)</f>
        <v>2</v>
      </c>
      <c r="DA246" s="248">
        <f>LOG(Table2821115[[#This Row],[Phu/13 Fold]],2)</f>
        <v>4</v>
      </c>
      <c r="DB246" s="248">
        <f>LOG(Table2821115[[#This Row],[CO/17 Fold]],2)</f>
        <v>2</v>
      </c>
      <c r="DC246" s="248">
        <f>SUM(Table2821115[[#This Row],[BR/18 Log2]:[CO/17 Log2]])</f>
        <v>11</v>
      </c>
    </row>
    <row r="247" spans="1:107" ht="24" customHeight="1">
      <c r="A247" s="324">
        <v>407</v>
      </c>
      <c r="B247" s="190">
        <v>28799</v>
      </c>
      <c r="C247" s="190">
        <v>43784</v>
      </c>
      <c r="D247" s="189">
        <v>41</v>
      </c>
      <c r="E247" s="4" t="s">
        <v>58</v>
      </c>
      <c r="F247" s="143" t="s">
        <v>116</v>
      </c>
      <c r="G247" s="142">
        <v>29.967626728652696</v>
      </c>
      <c r="H247" s="11" t="s">
        <v>59</v>
      </c>
      <c r="I247" s="277" t="s">
        <v>60</v>
      </c>
      <c r="J247" s="260">
        <v>5</v>
      </c>
      <c r="K247" s="260">
        <v>5</v>
      </c>
      <c r="L247" s="260"/>
      <c r="M247" s="260"/>
      <c r="N247" s="260"/>
      <c r="O247" s="260"/>
      <c r="P247" s="260"/>
      <c r="Q247" s="260"/>
      <c r="R247" s="260"/>
      <c r="S247" s="260"/>
      <c r="T247" s="260"/>
      <c r="U247" s="260"/>
      <c r="V247" s="260">
        <v>10</v>
      </c>
      <c r="W247" s="260">
        <v>20</v>
      </c>
      <c r="X247" s="260">
        <v>5</v>
      </c>
      <c r="Y247" s="260">
        <v>5</v>
      </c>
      <c r="Z247" s="260">
        <v>5</v>
      </c>
      <c r="AA247" s="260">
        <v>80</v>
      </c>
      <c r="AB247" s="260">
        <v>80</v>
      </c>
      <c r="AC247" s="260">
        <v>80</v>
      </c>
      <c r="AD247" s="260"/>
      <c r="AE247" s="260"/>
      <c r="AF247" s="260"/>
      <c r="AG247" s="260"/>
      <c r="AH247" s="198">
        <v>407</v>
      </c>
      <c r="AI247" s="272">
        <v>10</v>
      </c>
      <c r="AJ247" s="271">
        <v>20</v>
      </c>
      <c r="AK247" s="260"/>
      <c r="AL247" s="260"/>
      <c r="AM247" s="260"/>
      <c r="AN247" s="260"/>
      <c r="AO247" s="260"/>
      <c r="AP247" s="260"/>
      <c r="AQ247" s="260"/>
      <c r="AR247" s="260"/>
      <c r="AS247" s="260"/>
      <c r="AT247" s="260"/>
      <c r="AU247" s="260">
        <v>40</v>
      </c>
      <c r="AV247" s="271">
        <v>320</v>
      </c>
      <c r="AW247" s="260">
        <v>40</v>
      </c>
      <c r="AX247" s="271">
        <v>640</v>
      </c>
      <c r="AY247" s="260">
        <v>5</v>
      </c>
      <c r="AZ247" s="271">
        <v>5</v>
      </c>
      <c r="BA247" s="276">
        <v>10</v>
      </c>
      <c r="BB247" s="276">
        <v>40</v>
      </c>
      <c r="BC247" s="276"/>
      <c r="BD247" s="276"/>
      <c r="BE247" s="276">
        <v>20</v>
      </c>
      <c r="BF247" s="276">
        <v>640</v>
      </c>
      <c r="BG247" s="260">
        <v>40</v>
      </c>
      <c r="BH247" s="271">
        <v>80</v>
      </c>
      <c r="BI247" s="276"/>
      <c r="BJ247" s="276"/>
      <c r="BK247" s="276"/>
      <c r="BL247" s="275"/>
      <c r="BM247" s="323">
        <v>407</v>
      </c>
      <c r="BN247" s="272">
        <v>20</v>
      </c>
      <c r="BO247" s="270">
        <v>40</v>
      </c>
      <c r="BP247" s="272"/>
      <c r="BQ247" s="260"/>
      <c r="BR247" s="260"/>
      <c r="BS247" s="260"/>
      <c r="BT247" s="260"/>
      <c r="BU247" s="260"/>
      <c r="BV247" s="260">
        <v>5</v>
      </c>
      <c r="BW247" s="260">
        <v>5</v>
      </c>
      <c r="BX247" s="260"/>
      <c r="BY247" s="260"/>
      <c r="BZ247" s="260"/>
      <c r="CA247" s="260"/>
      <c r="CB247" s="260"/>
      <c r="CC247" s="260"/>
      <c r="CD247" s="260">
        <v>20</v>
      </c>
      <c r="CE247" s="260">
        <v>40</v>
      </c>
      <c r="CF247" s="272"/>
      <c r="CG247" s="260"/>
      <c r="CH247" s="260"/>
      <c r="CI247" s="260"/>
      <c r="CJ247" s="260"/>
      <c r="CK247" s="260"/>
      <c r="CL247" s="260"/>
      <c r="CM247" s="260"/>
      <c r="CN247" s="260">
        <v>10</v>
      </c>
      <c r="CO247" s="260">
        <v>20</v>
      </c>
      <c r="CP247" s="260">
        <v>40</v>
      </c>
      <c r="CQ247" s="260">
        <v>40</v>
      </c>
      <c r="CR247" s="260">
        <v>20</v>
      </c>
      <c r="CS247" s="270">
        <v>80</v>
      </c>
      <c r="CT247" s="322">
        <v>407</v>
      </c>
      <c r="CU247" s="249">
        <f>Table2821115[[#This Row],[D28 - BR/18]]/Table2821115[[#This Row],[D0 - BR/18]]</f>
        <v>1</v>
      </c>
      <c r="CV247" s="248">
        <f>Table2821115[[#This Row],[D28 - KS/17]]/Table2821115[[#This Row],[D0 - KS/17]]</f>
        <v>32</v>
      </c>
      <c r="CW247" s="248">
        <f>Table2821115[[#This Row],[D28 - Phu/13]]/Table2821115[[#This Row],[D0 - Phu/13]]</f>
        <v>2</v>
      </c>
      <c r="CX247" s="248">
        <f>Table2821115[[#This Row],[D28 - CO/17]]/Table2821115[[#This Row],[D0 - CO/17]]</f>
        <v>1</v>
      </c>
      <c r="CY247" s="248">
        <f>LOG(Table2821115[[#This Row],[BR/18 Fold]],2)</f>
        <v>0</v>
      </c>
      <c r="CZ247" s="248">
        <f>LOG(Table2821115[[#This Row],[KS/17 Fold]],2)</f>
        <v>5</v>
      </c>
      <c r="DA247" s="248">
        <f>LOG(Table2821115[[#This Row],[Phu/13 Fold]],2)</f>
        <v>1</v>
      </c>
      <c r="DB247" s="248">
        <f>LOG(Table2821115[[#This Row],[CO/17 Fold]],2)</f>
        <v>0</v>
      </c>
      <c r="DC247" s="248">
        <f>SUM(Table2821115[[#This Row],[BR/18 Log2]:[CO/17 Log2]])</f>
        <v>6</v>
      </c>
    </row>
    <row r="248" spans="1:107" ht="24" customHeight="1">
      <c r="A248" s="321">
        <v>408</v>
      </c>
      <c r="B248" s="183">
        <v>36830</v>
      </c>
      <c r="C248" s="183">
        <v>43812</v>
      </c>
      <c r="D248" s="182">
        <v>19</v>
      </c>
      <c r="E248" s="3" t="s">
        <v>61</v>
      </c>
      <c r="F248" s="143" t="s">
        <v>116</v>
      </c>
      <c r="G248" s="142">
        <v>20.272246695683641</v>
      </c>
      <c r="H248" s="11" t="s">
        <v>59</v>
      </c>
      <c r="I248" s="277" t="s">
        <v>60</v>
      </c>
      <c r="J248" s="260">
        <v>5</v>
      </c>
      <c r="K248" s="260">
        <v>5</v>
      </c>
      <c r="L248" s="260"/>
      <c r="M248" s="260"/>
      <c r="N248" s="260"/>
      <c r="O248" s="260"/>
      <c r="P248" s="260"/>
      <c r="Q248" s="260"/>
      <c r="R248" s="260"/>
      <c r="S248" s="260"/>
      <c r="T248" s="260"/>
      <c r="U248" s="260"/>
      <c r="V248" s="260">
        <v>5</v>
      </c>
      <c r="W248" s="260">
        <v>5</v>
      </c>
      <c r="X248" s="260">
        <v>320</v>
      </c>
      <c r="Y248" s="260">
        <v>320</v>
      </c>
      <c r="Z248" s="260">
        <v>640</v>
      </c>
      <c r="AA248" s="260">
        <v>640</v>
      </c>
      <c r="AB248" s="260">
        <v>320</v>
      </c>
      <c r="AC248" s="260">
        <v>320</v>
      </c>
      <c r="AD248" s="260"/>
      <c r="AE248" s="260"/>
      <c r="AF248" s="260"/>
      <c r="AG248" s="260"/>
      <c r="AH248" s="32">
        <v>408</v>
      </c>
      <c r="AI248" s="272">
        <v>10</v>
      </c>
      <c r="AJ248" s="271">
        <v>40</v>
      </c>
      <c r="AK248" s="260"/>
      <c r="AL248" s="260"/>
      <c r="AM248" s="260"/>
      <c r="AN248" s="260"/>
      <c r="AO248" s="260"/>
      <c r="AP248" s="260"/>
      <c r="AQ248" s="260"/>
      <c r="AR248" s="260"/>
      <c r="AS248" s="260"/>
      <c r="AT248" s="260"/>
      <c r="AU248" s="260">
        <v>320</v>
      </c>
      <c r="AV248" s="271">
        <v>1280</v>
      </c>
      <c r="AW248" s="260">
        <v>320</v>
      </c>
      <c r="AX248" s="271">
        <v>1280</v>
      </c>
      <c r="AY248" s="260">
        <v>160</v>
      </c>
      <c r="AZ248" s="271">
        <v>320</v>
      </c>
      <c r="BA248" s="276">
        <v>160</v>
      </c>
      <c r="BB248" s="276">
        <v>640</v>
      </c>
      <c r="BC248" s="276"/>
      <c r="BD248" s="276"/>
      <c r="BE248" s="276">
        <v>40</v>
      </c>
      <c r="BF248" s="276">
        <v>320</v>
      </c>
      <c r="BG248" s="260">
        <v>320</v>
      </c>
      <c r="BH248" s="271">
        <v>1280</v>
      </c>
      <c r="BI248" s="276"/>
      <c r="BJ248" s="276"/>
      <c r="BK248" s="276"/>
      <c r="BL248" s="275"/>
      <c r="BM248" s="320">
        <v>408</v>
      </c>
      <c r="BN248" s="272">
        <v>40</v>
      </c>
      <c r="BO248" s="270">
        <v>80</v>
      </c>
      <c r="BP248" s="272"/>
      <c r="BQ248" s="260"/>
      <c r="BR248" s="260"/>
      <c r="BS248" s="260"/>
      <c r="BT248" s="260"/>
      <c r="BU248" s="260"/>
      <c r="BV248" s="260">
        <v>5</v>
      </c>
      <c r="BW248" s="260">
        <v>5</v>
      </c>
      <c r="BX248" s="260"/>
      <c r="BY248" s="260"/>
      <c r="BZ248" s="260"/>
      <c r="CA248" s="260"/>
      <c r="CB248" s="260"/>
      <c r="CC248" s="260"/>
      <c r="CD248" s="260">
        <v>40</v>
      </c>
      <c r="CE248" s="260">
        <v>80</v>
      </c>
      <c r="CF248" s="272"/>
      <c r="CG248" s="260"/>
      <c r="CH248" s="260"/>
      <c r="CI248" s="260"/>
      <c r="CJ248" s="260"/>
      <c r="CK248" s="260"/>
      <c r="CL248" s="260"/>
      <c r="CM248" s="260"/>
      <c r="CN248" s="260">
        <v>20</v>
      </c>
      <c r="CO248" s="260">
        <v>20</v>
      </c>
      <c r="CP248" s="260">
        <v>40</v>
      </c>
      <c r="CQ248" s="260">
        <v>40</v>
      </c>
      <c r="CR248" s="260">
        <v>40</v>
      </c>
      <c r="CS248" s="270">
        <v>40</v>
      </c>
      <c r="CT248" s="319">
        <v>408</v>
      </c>
      <c r="CU248" s="249">
        <f>Table2821115[[#This Row],[D28 - BR/18]]/Table2821115[[#This Row],[D0 - BR/18]]</f>
        <v>1</v>
      </c>
      <c r="CV248" s="248">
        <f>Table2821115[[#This Row],[D28 - KS/17]]/Table2821115[[#This Row],[D0 - KS/17]]</f>
        <v>8</v>
      </c>
      <c r="CW248" s="248">
        <f>Table2821115[[#This Row],[D28 - Phu/13]]/Table2821115[[#This Row],[D0 - Phu/13]]</f>
        <v>2</v>
      </c>
      <c r="CX248" s="248">
        <f>Table2821115[[#This Row],[D28 - CO/17]]/Table2821115[[#This Row],[D0 - CO/17]]</f>
        <v>1</v>
      </c>
      <c r="CY248" s="248">
        <f>LOG(Table2821115[[#This Row],[BR/18 Fold]],2)</f>
        <v>0</v>
      </c>
      <c r="CZ248" s="248">
        <f>LOG(Table2821115[[#This Row],[KS/17 Fold]],2)</f>
        <v>3</v>
      </c>
      <c r="DA248" s="248">
        <f>LOG(Table2821115[[#This Row],[Phu/13 Fold]],2)</f>
        <v>1</v>
      </c>
      <c r="DB248" s="248">
        <f>LOG(Table2821115[[#This Row],[CO/17 Fold]],2)</f>
        <v>0</v>
      </c>
      <c r="DC248" s="248">
        <f>SUM(Table2821115[[#This Row],[BR/18 Log2]:[CO/17 Log2]])</f>
        <v>4</v>
      </c>
    </row>
    <row r="249" spans="1:107" ht="24" customHeight="1">
      <c r="A249" s="324">
        <v>409</v>
      </c>
      <c r="B249" s="190">
        <v>27363</v>
      </c>
      <c r="C249" s="190">
        <v>43782</v>
      </c>
      <c r="D249" s="189">
        <v>44</v>
      </c>
      <c r="E249" s="3" t="s">
        <v>61</v>
      </c>
      <c r="F249" s="143" t="s">
        <v>117</v>
      </c>
      <c r="G249" s="142">
        <v>35.622217180266034</v>
      </c>
      <c r="H249" s="11" t="s">
        <v>59</v>
      </c>
      <c r="I249" s="277" t="s">
        <v>60</v>
      </c>
      <c r="J249" s="260">
        <v>5</v>
      </c>
      <c r="K249" s="260">
        <v>5</v>
      </c>
      <c r="L249" s="260"/>
      <c r="M249" s="260"/>
      <c r="N249" s="260"/>
      <c r="O249" s="260"/>
      <c r="P249" s="260"/>
      <c r="Q249" s="260"/>
      <c r="R249" s="260"/>
      <c r="S249" s="260"/>
      <c r="T249" s="260"/>
      <c r="U249" s="260"/>
      <c r="V249" s="260">
        <v>5</v>
      </c>
      <c r="W249" s="260">
        <v>5</v>
      </c>
      <c r="X249" s="260">
        <v>5</v>
      </c>
      <c r="Y249" s="260">
        <v>320</v>
      </c>
      <c r="Z249" s="260">
        <v>5</v>
      </c>
      <c r="AA249" s="260">
        <v>320</v>
      </c>
      <c r="AB249" s="260">
        <v>5</v>
      </c>
      <c r="AC249" s="260">
        <v>160</v>
      </c>
      <c r="AD249" s="260"/>
      <c r="AE249" s="260"/>
      <c r="AF249" s="260"/>
      <c r="AG249" s="260"/>
      <c r="AH249" s="198">
        <v>409</v>
      </c>
      <c r="AI249" s="272">
        <v>5</v>
      </c>
      <c r="AJ249" s="271">
        <v>10</v>
      </c>
      <c r="AK249" s="260"/>
      <c r="AL249" s="260"/>
      <c r="AM249" s="260"/>
      <c r="AN249" s="260"/>
      <c r="AO249" s="260"/>
      <c r="AP249" s="260"/>
      <c r="AQ249" s="260"/>
      <c r="AR249" s="260"/>
      <c r="AS249" s="260"/>
      <c r="AT249" s="260"/>
      <c r="AU249" s="260">
        <v>5</v>
      </c>
      <c r="AV249" s="271">
        <v>5</v>
      </c>
      <c r="AW249" s="260">
        <v>5</v>
      </c>
      <c r="AX249" s="271">
        <v>10</v>
      </c>
      <c r="AY249" s="260">
        <v>5</v>
      </c>
      <c r="AZ249" s="271">
        <v>5</v>
      </c>
      <c r="BA249" s="276">
        <v>5</v>
      </c>
      <c r="BB249" s="276">
        <v>10</v>
      </c>
      <c r="BC249" s="276"/>
      <c r="BD249" s="276"/>
      <c r="BE249" s="276">
        <v>5</v>
      </c>
      <c r="BF249" s="276">
        <v>10</v>
      </c>
      <c r="BG249" s="260">
        <v>5</v>
      </c>
      <c r="BH249" s="271">
        <v>5</v>
      </c>
      <c r="BI249" s="276"/>
      <c r="BJ249" s="276"/>
      <c r="BK249" s="276"/>
      <c r="BL249" s="275"/>
      <c r="BM249" s="323">
        <v>409</v>
      </c>
      <c r="BN249" s="272">
        <v>10</v>
      </c>
      <c r="BO249" s="270">
        <v>80</v>
      </c>
      <c r="BP249" s="272"/>
      <c r="BQ249" s="260"/>
      <c r="BR249" s="260"/>
      <c r="BS249" s="260"/>
      <c r="BT249" s="260"/>
      <c r="BU249" s="260"/>
      <c r="BV249" s="260">
        <v>5</v>
      </c>
      <c r="BW249" s="260">
        <v>5</v>
      </c>
      <c r="BX249" s="260"/>
      <c r="BY249" s="260"/>
      <c r="BZ249" s="260"/>
      <c r="CA249" s="260"/>
      <c r="CB249" s="260"/>
      <c r="CC249" s="260"/>
      <c r="CD249" s="260">
        <v>5</v>
      </c>
      <c r="CE249" s="260">
        <v>40</v>
      </c>
      <c r="CF249" s="272"/>
      <c r="CG249" s="260"/>
      <c r="CH249" s="260"/>
      <c r="CI249" s="260"/>
      <c r="CJ249" s="260"/>
      <c r="CK249" s="260"/>
      <c r="CL249" s="260"/>
      <c r="CM249" s="260"/>
      <c r="CN249" s="260">
        <v>10</v>
      </c>
      <c r="CO249" s="260">
        <v>160</v>
      </c>
      <c r="CP249" s="260">
        <v>40</v>
      </c>
      <c r="CQ249" s="260">
        <v>320</v>
      </c>
      <c r="CR249" s="260">
        <v>20</v>
      </c>
      <c r="CS249" s="270">
        <v>640</v>
      </c>
      <c r="CT249" s="322">
        <v>409</v>
      </c>
      <c r="CU249" s="249">
        <f>Table2821115[[#This Row],[D28 - BR/18]]/Table2821115[[#This Row],[D0 - BR/18]]</f>
        <v>32</v>
      </c>
      <c r="CV249" s="248">
        <f>Table2821115[[#This Row],[D28 - KS/17]]/Table2821115[[#This Row],[D0 - KS/17]]</f>
        <v>2</v>
      </c>
      <c r="CW249" s="248">
        <f>Table2821115[[#This Row],[D28 - Phu/13]]/Table2821115[[#This Row],[D0 - Phu/13]]</f>
        <v>8</v>
      </c>
      <c r="CX249" s="248">
        <f>Table2821115[[#This Row],[D28 - CO/17]]/Table2821115[[#This Row],[D0 - CO/17]]</f>
        <v>8</v>
      </c>
      <c r="CY249" s="248">
        <f>LOG(Table2821115[[#This Row],[BR/18 Fold]],2)</f>
        <v>5</v>
      </c>
      <c r="CZ249" s="248">
        <f>LOG(Table2821115[[#This Row],[KS/17 Fold]],2)</f>
        <v>1</v>
      </c>
      <c r="DA249" s="248">
        <f>LOG(Table2821115[[#This Row],[Phu/13 Fold]],2)</f>
        <v>3</v>
      </c>
      <c r="DB249" s="248">
        <f>LOG(Table2821115[[#This Row],[CO/17 Fold]],2)</f>
        <v>3</v>
      </c>
      <c r="DC249" s="248">
        <f>SUM(Table2821115[[#This Row],[BR/18 Log2]:[CO/17 Log2]])</f>
        <v>12</v>
      </c>
    </row>
    <row r="250" spans="1:107" ht="24" customHeight="1">
      <c r="A250" s="324">
        <v>410</v>
      </c>
      <c r="B250" s="190">
        <v>28249</v>
      </c>
      <c r="C250" s="190">
        <v>43802</v>
      </c>
      <c r="D250" s="189">
        <v>42</v>
      </c>
      <c r="E250" s="3" t="s">
        <v>61</v>
      </c>
      <c r="F250" s="143" t="s">
        <v>116</v>
      </c>
      <c r="G250" s="142">
        <v>21.141868512110729</v>
      </c>
      <c r="H250" s="11" t="s">
        <v>59</v>
      </c>
      <c r="I250" s="277" t="s">
        <v>60</v>
      </c>
      <c r="J250" s="260">
        <v>5</v>
      </c>
      <c r="K250" s="260">
        <v>5</v>
      </c>
      <c r="L250" s="260"/>
      <c r="M250" s="260"/>
      <c r="N250" s="260"/>
      <c r="O250" s="260"/>
      <c r="P250" s="260"/>
      <c r="Q250" s="260"/>
      <c r="R250" s="260"/>
      <c r="S250" s="260"/>
      <c r="T250" s="260"/>
      <c r="U250" s="260"/>
      <c r="V250" s="260">
        <v>5</v>
      </c>
      <c r="W250" s="260">
        <v>5</v>
      </c>
      <c r="X250" s="260">
        <v>80</v>
      </c>
      <c r="Y250" s="260">
        <v>5</v>
      </c>
      <c r="Z250" s="260">
        <v>20</v>
      </c>
      <c r="AA250" s="260">
        <v>5</v>
      </c>
      <c r="AB250" s="260">
        <v>20</v>
      </c>
      <c r="AC250" s="260">
        <v>20</v>
      </c>
      <c r="AD250" s="260"/>
      <c r="AE250" s="260"/>
      <c r="AF250" s="260"/>
      <c r="AG250" s="260"/>
      <c r="AH250" s="198">
        <v>410</v>
      </c>
      <c r="AI250" s="272">
        <v>5</v>
      </c>
      <c r="AJ250" s="271">
        <v>5</v>
      </c>
      <c r="AK250" s="260"/>
      <c r="AL250" s="260"/>
      <c r="AM250" s="260"/>
      <c r="AN250" s="260"/>
      <c r="AO250" s="260"/>
      <c r="AP250" s="260"/>
      <c r="AQ250" s="260"/>
      <c r="AR250" s="260"/>
      <c r="AS250" s="260"/>
      <c r="AT250" s="260"/>
      <c r="AU250" s="260">
        <v>5</v>
      </c>
      <c r="AV250" s="271">
        <v>10</v>
      </c>
      <c r="AW250" s="260">
        <v>10</v>
      </c>
      <c r="AX250" s="271">
        <v>10</v>
      </c>
      <c r="AY250" s="260">
        <v>5</v>
      </c>
      <c r="AZ250" s="271">
        <v>5</v>
      </c>
      <c r="BA250" s="276">
        <v>10</v>
      </c>
      <c r="BB250" s="276">
        <v>10</v>
      </c>
      <c r="BC250" s="276"/>
      <c r="BD250" s="276"/>
      <c r="BE250" s="276">
        <v>5</v>
      </c>
      <c r="BF250" s="276">
        <v>10</v>
      </c>
      <c r="BG250" s="260">
        <v>40</v>
      </c>
      <c r="BH250" s="271">
        <v>10</v>
      </c>
      <c r="BI250" s="276"/>
      <c r="BJ250" s="276"/>
      <c r="BK250" s="276"/>
      <c r="BL250" s="275"/>
      <c r="BM250" s="323">
        <v>410</v>
      </c>
      <c r="BN250" s="272">
        <v>20</v>
      </c>
      <c r="BO250" s="270">
        <v>40</v>
      </c>
      <c r="BP250" s="272"/>
      <c r="BQ250" s="260"/>
      <c r="BR250" s="260"/>
      <c r="BS250" s="260"/>
      <c r="BT250" s="260"/>
      <c r="BU250" s="260"/>
      <c r="BV250" s="260">
        <v>5</v>
      </c>
      <c r="BW250" s="260">
        <v>5</v>
      </c>
      <c r="BX250" s="260"/>
      <c r="BY250" s="260"/>
      <c r="BZ250" s="260"/>
      <c r="CA250" s="260"/>
      <c r="CB250" s="260"/>
      <c r="CC250" s="260"/>
      <c r="CD250" s="260">
        <v>20</v>
      </c>
      <c r="CE250" s="260">
        <v>40</v>
      </c>
      <c r="CF250" s="272"/>
      <c r="CG250" s="260"/>
      <c r="CH250" s="260"/>
      <c r="CI250" s="260"/>
      <c r="CJ250" s="260"/>
      <c r="CK250" s="260"/>
      <c r="CL250" s="260"/>
      <c r="CM250" s="260"/>
      <c r="CN250" s="260">
        <v>40</v>
      </c>
      <c r="CO250" s="260">
        <v>40</v>
      </c>
      <c r="CP250" s="260">
        <v>160</v>
      </c>
      <c r="CQ250" s="260">
        <v>80</v>
      </c>
      <c r="CR250" s="260">
        <v>80</v>
      </c>
      <c r="CS250" s="270">
        <v>80</v>
      </c>
      <c r="CT250" s="322">
        <v>410</v>
      </c>
      <c r="CU250" s="249">
        <f>Table2821115[[#This Row],[D28 - BR/18]]/Table2821115[[#This Row],[D0 - BR/18]]</f>
        <v>1</v>
      </c>
      <c r="CV250" s="248">
        <f>Table2821115[[#This Row],[D28 - KS/17]]/Table2821115[[#This Row],[D0 - KS/17]]</f>
        <v>2</v>
      </c>
      <c r="CW250" s="248">
        <f>Table2821115[[#This Row],[D28 - Phu/13]]/Table2821115[[#This Row],[D0 - Phu/13]]</f>
        <v>2</v>
      </c>
      <c r="CX250" s="248">
        <f>Table2821115[[#This Row],[D28 - CO/17]]/Table2821115[[#This Row],[D0 - CO/17]]</f>
        <v>0.5</v>
      </c>
      <c r="CY250" s="248">
        <f>LOG(Table2821115[[#This Row],[BR/18 Fold]],2)</f>
        <v>0</v>
      </c>
      <c r="CZ250" s="248">
        <f>LOG(Table2821115[[#This Row],[KS/17 Fold]],2)</f>
        <v>1</v>
      </c>
      <c r="DA250" s="248">
        <f>LOG(Table2821115[[#This Row],[Phu/13 Fold]],2)</f>
        <v>1</v>
      </c>
      <c r="DB250" s="248">
        <f>LOG(Table2821115[[#This Row],[CO/17 Fold]],2)</f>
        <v>-1</v>
      </c>
      <c r="DC250" s="248">
        <f>SUM(Table2821115[[#This Row],[BR/18 Log2]:[CO/17 Log2]])</f>
        <v>1</v>
      </c>
    </row>
    <row r="251" spans="1:107" ht="24" customHeight="1">
      <c r="A251" s="324">
        <v>411</v>
      </c>
      <c r="B251" s="190">
        <v>29545</v>
      </c>
      <c r="C251" s="190">
        <v>43780</v>
      </c>
      <c r="D251" s="189">
        <v>38</v>
      </c>
      <c r="E251" s="4" t="s">
        <v>58</v>
      </c>
      <c r="F251" s="143" t="s">
        <v>116</v>
      </c>
      <c r="G251" s="142">
        <v>32.590310077102941</v>
      </c>
      <c r="H251" s="11" t="s">
        <v>59</v>
      </c>
      <c r="I251" s="277" t="s">
        <v>62</v>
      </c>
      <c r="J251" s="260">
        <v>5</v>
      </c>
      <c r="K251" s="260">
        <v>5</v>
      </c>
      <c r="L251" s="260"/>
      <c r="M251" s="260"/>
      <c r="N251" s="260"/>
      <c r="O251" s="260"/>
      <c r="P251" s="260"/>
      <c r="Q251" s="260"/>
      <c r="R251" s="260"/>
      <c r="S251" s="260"/>
      <c r="T251" s="260"/>
      <c r="U251" s="260"/>
      <c r="V251" s="260">
        <v>5</v>
      </c>
      <c r="W251" s="260">
        <v>5</v>
      </c>
      <c r="X251" s="260">
        <v>5</v>
      </c>
      <c r="Y251" s="260">
        <v>40</v>
      </c>
      <c r="Z251" s="260">
        <v>5</v>
      </c>
      <c r="AA251" s="260">
        <v>80</v>
      </c>
      <c r="AB251" s="260">
        <v>10</v>
      </c>
      <c r="AC251" s="260">
        <v>40</v>
      </c>
      <c r="AD251" s="260"/>
      <c r="AE251" s="260"/>
      <c r="AF251" s="260"/>
      <c r="AG251" s="260"/>
      <c r="AH251" s="198">
        <v>411</v>
      </c>
      <c r="AI251" s="272">
        <v>10</v>
      </c>
      <c r="AJ251" s="271">
        <v>10</v>
      </c>
      <c r="AK251" s="260"/>
      <c r="AL251" s="260"/>
      <c r="AM251" s="260"/>
      <c r="AN251" s="260"/>
      <c r="AO251" s="260"/>
      <c r="AP251" s="260"/>
      <c r="AQ251" s="260"/>
      <c r="AR251" s="260"/>
      <c r="AS251" s="260"/>
      <c r="AT251" s="260"/>
      <c r="AU251" s="260">
        <v>20</v>
      </c>
      <c r="AV251" s="271">
        <v>40</v>
      </c>
      <c r="AW251" s="260">
        <v>10</v>
      </c>
      <c r="AX251" s="271">
        <v>40</v>
      </c>
      <c r="AY251" s="260">
        <v>5</v>
      </c>
      <c r="AZ251" s="271">
        <v>40</v>
      </c>
      <c r="BA251" s="276">
        <v>10</v>
      </c>
      <c r="BB251" s="276">
        <v>40</v>
      </c>
      <c r="BC251" s="276"/>
      <c r="BD251" s="276"/>
      <c r="BE251" s="276">
        <v>5</v>
      </c>
      <c r="BF251" s="276">
        <v>40</v>
      </c>
      <c r="BG251" s="260">
        <v>40</v>
      </c>
      <c r="BH251" s="271">
        <v>80</v>
      </c>
      <c r="BI251" s="276"/>
      <c r="BJ251" s="276"/>
      <c r="BK251" s="276"/>
      <c r="BL251" s="275"/>
      <c r="BM251" s="323">
        <v>411</v>
      </c>
      <c r="BN251" s="272">
        <v>40</v>
      </c>
      <c r="BO251" s="270">
        <v>160</v>
      </c>
      <c r="BP251" s="272"/>
      <c r="BQ251" s="260"/>
      <c r="BR251" s="260"/>
      <c r="BS251" s="260"/>
      <c r="BT251" s="260"/>
      <c r="BU251" s="260"/>
      <c r="BV251" s="260">
        <v>5</v>
      </c>
      <c r="BW251" s="260">
        <v>5</v>
      </c>
      <c r="BX251" s="260"/>
      <c r="BY251" s="260"/>
      <c r="BZ251" s="260"/>
      <c r="CA251" s="260"/>
      <c r="CB251" s="260"/>
      <c r="CC251" s="260"/>
      <c r="CD251" s="260">
        <v>5</v>
      </c>
      <c r="CE251" s="260">
        <v>80</v>
      </c>
      <c r="CF251" s="272"/>
      <c r="CG251" s="260"/>
      <c r="CH251" s="260"/>
      <c r="CI251" s="260"/>
      <c r="CJ251" s="260"/>
      <c r="CK251" s="260"/>
      <c r="CL251" s="260"/>
      <c r="CM251" s="260"/>
      <c r="CN251" s="260">
        <v>10</v>
      </c>
      <c r="CO251" s="260">
        <v>80</v>
      </c>
      <c r="CP251" s="260">
        <v>20</v>
      </c>
      <c r="CQ251" s="260">
        <v>80</v>
      </c>
      <c r="CR251" s="260">
        <v>10</v>
      </c>
      <c r="CS251" s="270">
        <v>80</v>
      </c>
      <c r="CT251" s="322">
        <v>411</v>
      </c>
      <c r="CU251" s="249">
        <f>Table2821115[[#This Row],[D28 - BR/18]]/Table2821115[[#This Row],[D0 - BR/18]]</f>
        <v>4</v>
      </c>
      <c r="CV251" s="248">
        <f>Table2821115[[#This Row],[D28 - KS/17]]/Table2821115[[#This Row],[D0 - KS/17]]</f>
        <v>8</v>
      </c>
      <c r="CW251" s="248">
        <f>Table2821115[[#This Row],[D28 - Phu/13]]/Table2821115[[#This Row],[D0 - Phu/13]]</f>
        <v>16</v>
      </c>
      <c r="CX251" s="248">
        <f>Table2821115[[#This Row],[D28 - CO/17]]/Table2821115[[#This Row],[D0 - CO/17]]</f>
        <v>4</v>
      </c>
      <c r="CY251" s="248">
        <f>LOG(Table2821115[[#This Row],[BR/18 Fold]],2)</f>
        <v>2</v>
      </c>
      <c r="CZ251" s="248">
        <f>LOG(Table2821115[[#This Row],[KS/17 Fold]],2)</f>
        <v>3</v>
      </c>
      <c r="DA251" s="248">
        <f>LOG(Table2821115[[#This Row],[Phu/13 Fold]],2)</f>
        <v>4</v>
      </c>
      <c r="DB251" s="248">
        <f>LOG(Table2821115[[#This Row],[CO/17 Fold]],2)</f>
        <v>2</v>
      </c>
      <c r="DC251" s="248">
        <f>SUM(Table2821115[[#This Row],[BR/18 Log2]:[CO/17 Log2]])</f>
        <v>11</v>
      </c>
    </row>
    <row r="252" spans="1:107" ht="24" customHeight="1">
      <c r="A252" s="318">
        <v>412</v>
      </c>
      <c r="B252" s="180">
        <v>25262</v>
      </c>
      <c r="C252" s="180">
        <v>43802</v>
      </c>
      <c r="D252" s="179">
        <v>50</v>
      </c>
      <c r="E252" s="3" t="s">
        <v>61</v>
      </c>
      <c r="F252" s="143" t="s">
        <v>116</v>
      </c>
      <c r="G252" s="142">
        <v>22.296059758759299</v>
      </c>
      <c r="H252" s="11" t="s">
        <v>59</v>
      </c>
      <c r="I252" s="277" t="s">
        <v>60</v>
      </c>
      <c r="J252" s="260">
        <v>5</v>
      </c>
      <c r="K252" s="260">
        <v>5</v>
      </c>
      <c r="L252" s="260"/>
      <c r="M252" s="260"/>
      <c r="N252" s="260"/>
      <c r="O252" s="260"/>
      <c r="P252" s="260"/>
      <c r="Q252" s="260"/>
      <c r="R252" s="260"/>
      <c r="S252" s="260"/>
      <c r="T252" s="260"/>
      <c r="U252" s="260"/>
      <c r="V252" s="260">
        <v>5</v>
      </c>
      <c r="W252" s="260">
        <v>5</v>
      </c>
      <c r="X252" s="260">
        <v>5</v>
      </c>
      <c r="Y252" s="260">
        <v>40</v>
      </c>
      <c r="Z252" s="260">
        <v>20</v>
      </c>
      <c r="AA252" s="260">
        <v>40</v>
      </c>
      <c r="AB252" s="260">
        <v>20</v>
      </c>
      <c r="AC252" s="260">
        <v>40</v>
      </c>
      <c r="AD252" s="260"/>
      <c r="AE252" s="260"/>
      <c r="AF252" s="260"/>
      <c r="AG252" s="260"/>
      <c r="AH252" s="195">
        <v>412</v>
      </c>
      <c r="AI252" s="272">
        <v>20</v>
      </c>
      <c r="AJ252" s="271">
        <v>20</v>
      </c>
      <c r="AK252" s="260"/>
      <c r="AL252" s="260"/>
      <c r="AM252" s="260"/>
      <c r="AN252" s="260"/>
      <c r="AO252" s="260"/>
      <c r="AP252" s="260"/>
      <c r="AQ252" s="260"/>
      <c r="AR252" s="260"/>
      <c r="AS252" s="260"/>
      <c r="AT252" s="260"/>
      <c r="AU252" s="260">
        <v>160</v>
      </c>
      <c r="AV252" s="271">
        <v>160</v>
      </c>
      <c r="AW252" s="260">
        <v>160</v>
      </c>
      <c r="AX252" s="271">
        <v>160</v>
      </c>
      <c r="AY252" s="260">
        <v>80</v>
      </c>
      <c r="AZ252" s="271">
        <v>40</v>
      </c>
      <c r="BA252" s="276">
        <v>160</v>
      </c>
      <c r="BB252" s="276">
        <v>80</v>
      </c>
      <c r="BC252" s="276"/>
      <c r="BD252" s="276"/>
      <c r="BE252" s="276">
        <v>20</v>
      </c>
      <c r="BF252" s="276">
        <v>20</v>
      </c>
      <c r="BG252" s="260">
        <v>320</v>
      </c>
      <c r="BH252" s="271">
        <v>160</v>
      </c>
      <c r="BI252" s="276"/>
      <c r="BJ252" s="276"/>
      <c r="BK252" s="276"/>
      <c r="BL252" s="275"/>
      <c r="BM252" s="316">
        <v>412</v>
      </c>
      <c r="BN252" s="272">
        <v>20</v>
      </c>
      <c r="BO252" s="270">
        <v>20</v>
      </c>
      <c r="BP252" s="272"/>
      <c r="BQ252" s="260"/>
      <c r="BR252" s="260"/>
      <c r="BS252" s="260"/>
      <c r="BT252" s="260"/>
      <c r="BU252" s="260"/>
      <c r="BV252" s="260">
        <v>5</v>
      </c>
      <c r="BW252" s="260">
        <v>5</v>
      </c>
      <c r="BX252" s="260"/>
      <c r="BY252" s="260"/>
      <c r="BZ252" s="260"/>
      <c r="CA252" s="260"/>
      <c r="CB252" s="260"/>
      <c r="CC252" s="260"/>
      <c r="CD252" s="260">
        <v>10</v>
      </c>
      <c r="CE252" s="260">
        <v>20</v>
      </c>
      <c r="CF252" s="272"/>
      <c r="CG252" s="260"/>
      <c r="CH252" s="260"/>
      <c r="CI252" s="260"/>
      <c r="CJ252" s="260"/>
      <c r="CK252" s="260"/>
      <c r="CL252" s="260"/>
      <c r="CM252" s="260"/>
      <c r="CN252" s="260">
        <v>20</v>
      </c>
      <c r="CO252" s="260">
        <v>20</v>
      </c>
      <c r="CP252" s="260">
        <v>80</v>
      </c>
      <c r="CQ252" s="260">
        <v>40</v>
      </c>
      <c r="CR252" s="260">
        <v>40</v>
      </c>
      <c r="CS252" s="270">
        <v>40</v>
      </c>
      <c r="CT252" s="315">
        <v>412</v>
      </c>
      <c r="CU252" s="249">
        <f>Table2821115[[#This Row],[D28 - BR/18]]/Table2821115[[#This Row],[D0 - BR/18]]</f>
        <v>2</v>
      </c>
      <c r="CV252" s="248">
        <f>Table2821115[[#This Row],[D28 - KS/17]]/Table2821115[[#This Row],[D0 - KS/17]]</f>
        <v>1</v>
      </c>
      <c r="CW252" s="248">
        <f>Table2821115[[#This Row],[D28 - Phu/13]]/Table2821115[[#This Row],[D0 - Phu/13]]</f>
        <v>2</v>
      </c>
      <c r="CX252" s="248">
        <f>Table2821115[[#This Row],[D28 - CO/17]]/Table2821115[[#This Row],[D0 - CO/17]]</f>
        <v>0.5</v>
      </c>
      <c r="CY252" s="248">
        <f>LOG(Table2821115[[#This Row],[BR/18 Fold]],2)</f>
        <v>1</v>
      </c>
      <c r="CZ252" s="248">
        <f>LOG(Table2821115[[#This Row],[KS/17 Fold]],2)</f>
        <v>0</v>
      </c>
      <c r="DA252" s="248">
        <f>LOG(Table2821115[[#This Row],[Phu/13 Fold]],2)</f>
        <v>1</v>
      </c>
      <c r="DB252" s="248">
        <f>LOG(Table2821115[[#This Row],[CO/17 Fold]],2)</f>
        <v>-1</v>
      </c>
      <c r="DC252" s="248">
        <f>SUM(Table2821115[[#This Row],[BR/18 Log2]:[CO/17 Log2]])</f>
        <v>1</v>
      </c>
    </row>
    <row r="253" spans="1:107" ht="24" customHeight="1">
      <c r="A253" s="324">
        <v>413</v>
      </c>
      <c r="B253" s="190">
        <v>28277</v>
      </c>
      <c r="C253" s="190">
        <v>43809</v>
      </c>
      <c r="D253" s="189">
        <v>42</v>
      </c>
      <c r="E253" s="4" t="s">
        <v>58</v>
      </c>
      <c r="F253" s="143" t="s">
        <v>116</v>
      </c>
      <c r="G253" s="142">
        <v>25.393857721553818</v>
      </c>
      <c r="H253" s="11" t="s">
        <v>59</v>
      </c>
      <c r="I253" s="277" t="s">
        <v>60</v>
      </c>
      <c r="J253" s="260">
        <v>5</v>
      </c>
      <c r="K253" s="260">
        <v>5</v>
      </c>
      <c r="L253" s="260"/>
      <c r="M253" s="260"/>
      <c r="N253" s="260"/>
      <c r="O253" s="260"/>
      <c r="P253" s="260"/>
      <c r="Q253" s="260"/>
      <c r="R253" s="260"/>
      <c r="S253" s="260"/>
      <c r="T253" s="260"/>
      <c r="U253" s="260"/>
      <c r="V253" s="260">
        <v>5</v>
      </c>
      <c r="W253" s="260">
        <v>5</v>
      </c>
      <c r="X253" s="260">
        <v>5</v>
      </c>
      <c r="Y253" s="260">
        <v>40</v>
      </c>
      <c r="Z253" s="260">
        <v>5</v>
      </c>
      <c r="AA253" s="260">
        <v>80</v>
      </c>
      <c r="AB253" s="260">
        <v>40</v>
      </c>
      <c r="AC253" s="260">
        <v>80</v>
      </c>
      <c r="AD253" s="260"/>
      <c r="AE253" s="260"/>
      <c r="AF253" s="260"/>
      <c r="AG253" s="260"/>
      <c r="AH253" s="198">
        <v>413</v>
      </c>
      <c r="AI253" s="272">
        <v>5</v>
      </c>
      <c r="AJ253" s="271">
        <v>5</v>
      </c>
      <c r="AK253" s="260"/>
      <c r="AL253" s="260"/>
      <c r="AM253" s="260"/>
      <c r="AN253" s="260"/>
      <c r="AO253" s="260"/>
      <c r="AP253" s="260"/>
      <c r="AQ253" s="260"/>
      <c r="AR253" s="260"/>
      <c r="AS253" s="260"/>
      <c r="AT253" s="260"/>
      <c r="AU253" s="260">
        <v>5</v>
      </c>
      <c r="AV253" s="271">
        <v>10</v>
      </c>
      <c r="AW253" s="260">
        <v>5</v>
      </c>
      <c r="AX253" s="271">
        <v>20</v>
      </c>
      <c r="AY253" s="260">
        <v>5</v>
      </c>
      <c r="AZ253" s="271">
        <v>5</v>
      </c>
      <c r="BA253" s="276">
        <v>5</v>
      </c>
      <c r="BB253" s="276">
        <v>20</v>
      </c>
      <c r="BC253" s="276"/>
      <c r="BD253" s="276"/>
      <c r="BE253" s="276">
        <v>5</v>
      </c>
      <c r="BF253" s="276">
        <v>5</v>
      </c>
      <c r="BG253" s="260">
        <v>20</v>
      </c>
      <c r="BH253" s="271">
        <v>20</v>
      </c>
      <c r="BI253" s="276"/>
      <c r="BJ253" s="276"/>
      <c r="BK253" s="276"/>
      <c r="BL253" s="275"/>
      <c r="BM253" s="323">
        <v>413</v>
      </c>
      <c r="BN253" s="272">
        <v>5</v>
      </c>
      <c r="BO253" s="270">
        <v>5</v>
      </c>
      <c r="BP253" s="272"/>
      <c r="BQ253" s="260"/>
      <c r="BR253" s="260"/>
      <c r="BS253" s="260"/>
      <c r="BT253" s="260"/>
      <c r="BU253" s="260"/>
      <c r="BV253" s="260">
        <v>5</v>
      </c>
      <c r="BW253" s="260">
        <v>5</v>
      </c>
      <c r="BX253" s="260"/>
      <c r="BY253" s="260"/>
      <c r="BZ253" s="260"/>
      <c r="CA253" s="260"/>
      <c r="CB253" s="260"/>
      <c r="CC253" s="260"/>
      <c r="CD253" s="260">
        <v>5</v>
      </c>
      <c r="CE253" s="260">
        <v>10</v>
      </c>
      <c r="CF253" s="272"/>
      <c r="CG253" s="260"/>
      <c r="CH253" s="260"/>
      <c r="CI253" s="260"/>
      <c r="CJ253" s="260"/>
      <c r="CK253" s="260"/>
      <c r="CL253" s="260"/>
      <c r="CM253" s="260"/>
      <c r="CN253" s="260">
        <v>5</v>
      </c>
      <c r="CO253" s="260">
        <v>20</v>
      </c>
      <c r="CP253" s="260">
        <v>10</v>
      </c>
      <c r="CQ253" s="260">
        <v>20</v>
      </c>
      <c r="CR253" s="260">
        <v>10</v>
      </c>
      <c r="CS253" s="270">
        <v>40</v>
      </c>
      <c r="CT253" s="322">
        <v>413</v>
      </c>
      <c r="CU253" s="249">
        <f>Table2821115[[#This Row],[D28 - BR/18]]/Table2821115[[#This Row],[D0 - BR/18]]</f>
        <v>2</v>
      </c>
      <c r="CV253" s="248">
        <f>Table2821115[[#This Row],[D28 - KS/17]]/Table2821115[[#This Row],[D0 - KS/17]]</f>
        <v>1</v>
      </c>
      <c r="CW253" s="248">
        <f>Table2821115[[#This Row],[D28 - Phu/13]]/Table2821115[[#This Row],[D0 - Phu/13]]</f>
        <v>2</v>
      </c>
      <c r="CX253" s="248">
        <f>Table2821115[[#This Row],[D28 - CO/17]]/Table2821115[[#This Row],[D0 - CO/17]]</f>
        <v>2</v>
      </c>
      <c r="CY253" s="248">
        <f>LOG(Table2821115[[#This Row],[BR/18 Fold]],2)</f>
        <v>1</v>
      </c>
      <c r="CZ253" s="248">
        <f>LOG(Table2821115[[#This Row],[KS/17 Fold]],2)</f>
        <v>0</v>
      </c>
      <c r="DA253" s="248">
        <f>LOG(Table2821115[[#This Row],[Phu/13 Fold]],2)</f>
        <v>1</v>
      </c>
      <c r="DB253" s="248">
        <f>LOG(Table2821115[[#This Row],[CO/17 Fold]],2)</f>
        <v>1</v>
      </c>
      <c r="DC253" s="248">
        <f>SUM(Table2821115[[#This Row],[BR/18 Log2]:[CO/17 Log2]])</f>
        <v>3</v>
      </c>
    </row>
    <row r="254" spans="1:107" ht="24" customHeight="1">
      <c r="A254" s="318">
        <v>414</v>
      </c>
      <c r="B254" s="180">
        <v>22687</v>
      </c>
      <c r="C254" s="180">
        <v>43788</v>
      </c>
      <c r="D254" s="179">
        <v>57</v>
      </c>
      <c r="E254" s="3" t="s">
        <v>61</v>
      </c>
      <c r="F254" s="143" t="s">
        <v>116</v>
      </c>
      <c r="G254" s="142">
        <v>40.150558765181799</v>
      </c>
      <c r="H254" s="11" t="s">
        <v>59</v>
      </c>
      <c r="I254" s="277" t="s">
        <v>60</v>
      </c>
      <c r="J254" s="260">
        <v>5</v>
      </c>
      <c r="K254" s="260">
        <v>5</v>
      </c>
      <c r="L254" s="260"/>
      <c r="M254" s="260"/>
      <c r="N254" s="260"/>
      <c r="O254" s="260"/>
      <c r="P254" s="260"/>
      <c r="Q254" s="260"/>
      <c r="R254" s="260"/>
      <c r="S254" s="260"/>
      <c r="T254" s="260"/>
      <c r="U254" s="260"/>
      <c r="V254" s="260">
        <v>5</v>
      </c>
      <c r="W254" s="260">
        <v>40</v>
      </c>
      <c r="X254" s="260">
        <v>5</v>
      </c>
      <c r="Y254" s="260">
        <v>20</v>
      </c>
      <c r="Z254" s="260">
        <v>5</v>
      </c>
      <c r="AA254" s="260">
        <v>40</v>
      </c>
      <c r="AB254" s="260">
        <v>10</v>
      </c>
      <c r="AC254" s="260">
        <v>20</v>
      </c>
      <c r="AD254" s="260"/>
      <c r="AE254" s="260"/>
      <c r="AF254" s="260"/>
      <c r="AG254" s="260"/>
      <c r="AH254" s="195">
        <v>414</v>
      </c>
      <c r="AI254" s="272">
        <v>40</v>
      </c>
      <c r="AJ254" s="271">
        <v>80</v>
      </c>
      <c r="AK254" s="260"/>
      <c r="AL254" s="260"/>
      <c r="AM254" s="260"/>
      <c r="AN254" s="260"/>
      <c r="AO254" s="260"/>
      <c r="AP254" s="260"/>
      <c r="AQ254" s="260"/>
      <c r="AR254" s="260"/>
      <c r="AS254" s="260"/>
      <c r="AT254" s="260"/>
      <c r="AU254" s="260">
        <v>20</v>
      </c>
      <c r="AV254" s="271">
        <v>80</v>
      </c>
      <c r="AW254" s="260">
        <v>10</v>
      </c>
      <c r="AX254" s="271">
        <v>40</v>
      </c>
      <c r="AY254" s="260">
        <v>5</v>
      </c>
      <c r="AZ254" s="271">
        <v>40</v>
      </c>
      <c r="BA254" s="276">
        <v>5</v>
      </c>
      <c r="BB254" s="276">
        <v>40</v>
      </c>
      <c r="BC254" s="276"/>
      <c r="BD254" s="276"/>
      <c r="BE254" s="276">
        <v>5</v>
      </c>
      <c r="BF254" s="276">
        <v>160</v>
      </c>
      <c r="BG254" s="260">
        <v>20</v>
      </c>
      <c r="BH254" s="271">
        <v>40</v>
      </c>
      <c r="BI254" s="276"/>
      <c r="BJ254" s="276"/>
      <c r="BK254" s="276"/>
      <c r="BL254" s="275"/>
      <c r="BM254" s="316">
        <v>414</v>
      </c>
      <c r="BN254" s="272">
        <v>20</v>
      </c>
      <c r="BO254" s="270">
        <v>80</v>
      </c>
      <c r="BP254" s="272"/>
      <c r="BQ254" s="260"/>
      <c r="BR254" s="260"/>
      <c r="BS254" s="260"/>
      <c r="BT254" s="260"/>
      <c r="BU254" s="260"/>
      <c r="BV254" s="260">
        <v>5</v>
      </c>
      <c r="BW254" s="260">
        <v>5</v>
      </c>
      <c r="BX254" s="260"/>
      <c r="BY254" s="260"/>
      <c r="BZ254" s="260"/>
      <c r="CA254" s="260"/>
      <c r="CB254" s="260"/>
      <c r="CC254" s="260"/>
      <c r="CD254" s="260">
        <v>5</v>
      </c>
      <c r="CE254" s="260">
        <v>20</v>
      </c>
      <c r="CF254" s="272"/>
      <c r="CG254" s="260"/>
      <c r="CH254" s="260"/>
      <c r="CI254" s="260"/>
      <c r="CJ254" s="260"/>
      <c r="CK254" s="260"/>
      <c r="CL254" s="260"/>
      <c r="CM254" s="260"/>
      <c r="CN254" s="260">
        <v>10</v>
      </c>
      <c r="CO254" s="260">
        <v>40</v>
      </c>
      <c r="CP254" s="260">
        <v>20</v>
      </c>
      <c r="CQ254" s="260">
        <v>40</v>
      </c>
      <c r="CR254" s="260">
        <v>20</v>
      </c>
      <c r="CS254" s="270">
        <v>40</v>
      </c>
      <c r="CT254" s="315">
        <v>414</v>
      </c>
      <c r="CU254" s="249">
        <f>Table2821115[[#This Row],[D28 - BR/18]]/Table2821115[[#This Row],[D0 - BR/18]]</f>
        <v>2</v>
      </c>
      <c r="CV254" s="248">
        <f>Table2821115[[#This Row],[D28 - KS/17]]/Table2821115[[#This Row],[D0 - KS/17]]</f>
        <v>32</v>
      </c>
      <c r="CW254" s="248">
        <f>Table2821115[[#This Row],[D28 - Phu/13]]/Table2821115[[#This Row],[D0 - Phu/13]]</f>
        <v>4</v>
      </c>
      <c r="CX254" s="248">
        <f>Table2821115[[#This Row],[D28 - CO/17]]/Table2821115[[#This Row],[D0 - CO/17]]</f>
        <v>2</v>
      </c>
      <c r="CY254" s="248">
        <f>LOG(Table2821115[[#This Row],[BR/18 Fold]],2)</f>
        <v>1</v>
      </c>
      <c r="CZ254" s="248">
        <f>LOG(Table2821115[[#This Row],[KS/17 Fold]],2)</f>
        <v>5</v>
      </c>
      <c r="DA254" s="248">
        <f>LOG(Table2821115[[#This Row],[Phu/13 Fold]],2)</f>
        <v>2</v>
      </c>
      <c r="DB254" s="248">
        <f>LOG(Table2821115[[#This Row],[CO/17 Fold]],2)</f>
        <v>1</v>
      </c>
      <c r="DC254" s="248">
        <f>SUM(Table2821115[[#This Row],[BR/18 Log2]:[CO/17 Log2]])</f>
        <v>9</v>
      </c>
    </row>
    <row r="255" spans="1:107" ht="24" customHeight="1">
      <c r="A255" s="318">
        <v>415</v>
      </c>
      <c r="B255" s="180">
        <v>20213</v>
      </c>
      <c r="C255" s="180">
        <v>43781</v>
      </c>
      <c r="D255" s="179">
        <v>64</v>
      </c>
      <c r="E255" s="4" t="s">
        <v>58</v>
      </c>
      <c r="F255" s="143" t="s">
        <v>116</v>
      </c>
      <c r="G255" s="142">
        <v>32.085333333333331</v>
      </c>
      <c r="H255" s="11" t="s">
        <v>59</v>
      </c>
      <c r="I255" s="277" t="s">
        <v>62</v>
      </c>
      <c r="J255" s="260">
        <v>5</v>
      </c>
      <c r="K255" s="260">
        <v>5</v>
      </c>
      <c r="L255" s="260"/>
      <c r="M255" s="260"/>
      <c r="N255" s="260"/>
      <c r="O255" s="260"/>
      <c r="P255" s="260"/>
      <c r="Q255" s="260"/>
      <c r="R255" s="260"/>
      <c r="S255" s="260"/>
      <c r="T255" s="260"/>
      <c r="U255" s="260"/>
      <c r="V255" s="260">
        <v>5</v>
      </c>
      <c r="W255" s="260">
        <v>5</v>
      </c>
      <c r="X255" s="260">
        <v>5</v>
      </c>
      <c r="Y255" s="260">
        <v>5</v>
      </c>
      <c r="Z255" s="260">
        <v>10</v>
      </c>
      <c r="AA255" s="260">
        <v>5</v>
      </c>
      <c r="AB255" s="260">
        <v>10</v>
      </c>
      <c r="AC255" s="260">
        <v>40</v>
      </c>
      <c r="AD255" s="260"/>
      <c r="AE255" s="260"/>
      <c r="AF255" s="260"/>
      <c r="AG255" s="260"/>
      <c r="AH255" s="195">
        <v>415</v>
      </c>
      <c r="AI255" s="272">
        <v>5</v>
      </c>
      <c r="AJ255" s="271">
        <v>5</v>
      </c>
      <c r="AK255" s="260"/>
      <c r="AL255" s="260"/>
      <c r="AM255" s="260"/>
      <c r="AN255" s="260"/>
      <c r="AO255" s="260"/>
      <c r="AP255" s="260"/>
      <c r="AQ255" s="260"/>
      <c r="AR255" s="260"/>
      <c r="AS255" s="260"/>
      <c r="AT255" s="260"/>
      <c r="AU255" s="260">
        <v>5</v>
      </c>
      <c r="AV255" s="271">
        <v>40</v>
      </c>
      <c r="AW255" s="260">
        <v>5</v>
      </c>
      <c r="AX255" s="271">
        <v>40</v>
      </c>
      <c r="AY255" s="260">
        <v>5</v>
      </c>
      <c r="AZ255" s="271">
        <v>5</v>
      </c>
      <c r="BA255" s="276">
        <v>5</v>
      </c>
      <c r="BB255" s="276">
        <v>10</v>
      </c>
      <c r="BC255" s="276"/>
      <c r="BD255" s="276"/>
      <c r="BE255" s="276">
        <v>5</v>
      </c>
      <c r="BF255" s="276">
        <v>10</v>
      </c>
      <c r="BG255" s="260">
        <v>20</v>
      </c>
      <c r="BH255" s="271">
        <v>20</v>
      </c>
      <c r="BI255" s="276"/>
      <c r="BJ255" s="276"/>
      <c r="BK255" s="276"/>
      <c r="BL255" s="275"/>
      <c r="BM255" s="316">
        <v>415</v>
      </c>
      <c r="BN255" s="272">
        <v>20</v>
      </c>
      <c r="BO255" s="270">
        <v>40</v>
      </c>
      <c r="BP255" s="272"/>
      <c r="BQ255" s="260"/>
      <c r="BR255" s="260"/>
      <c r="BS255" s="260"/>
      <c r="BT255" s="260"/>
      <c r="BU255" s="260"/>
      <c r="BV255" s="260">
        <v>5</v>
      </c>
      <c r="BW255" s="260">
        <v>5</v>
      </c>
      <c r="BX255" s="260"/>
      <c r="BY255" s="260"/>
      <c r="BZ255" s="260"/>
      <c r="CA255" s="260"/>
      <c r="CB255" s="260"/>
      <c r="CC255" s="260"/>
      <c r="CD255" s="260">
        <v>5</v>
      </c>
      <c r="CE255" s="260">
        <v>80</v>
      </c>
      <c r="CF255" s="272"/>
      <c r="CG255" s="260"/>
      <c r="CH255" s="260"/>
      <c r="CI255" s="260"/>
      <c r="CJ255" s="260"/>
      <c r="CK255" s="260"/>
      <c r="CL255" s="260"/>
      <c r="CM255" s="260"/>
      <c r="CN255" s="260">
        <v>20</v>
      </c>
      <c r="CO255" s="260">
        <v>40</v>
      </c>
      <c r="CP255" s="260">
        <v>10</v>
      </c>
      <c r="CQ255" s="260">
        <v>20</v>
      </c>
      <c r="CR255" s="260">
        <v>5</v>
      </c>
      <c r="CS255" s="270">
        <v>40</v>
      </c>
      <c r="CT255" s="315">
        <v>415</v>
      </c>
      <c r="CU255" s="249">
        <f>Table2821115[[#This Row],[D28 - BR/18]]/Table2821115[[#This Row],[D0 - BR/18]]</f>
        <v>4</v>
      </c>
      <c r="CV255" s="248">
        <f>Table2821115[[#This Row],[D28 - KS/17]]/Table2821115[[#This Row],[D0 - KS/17]]</f>
        <v>2</v>
      </c>
      <c r="CW255" s="248">
        <f>Table2821115[[#This Row],[D28 - Phu/13]]/Table2821115[[#This Row],[D0 - Phu/13]]</f>
        <v>16</v>
      </c>
      <c r="CX255" s="248">
        <f>Table2821115[[#This Row],[D28 - CO/17]]/Table2821115[[#This Row],[D0 - CO/17]]</f>
        <v>2</v>
      </c>
      <c r="CY255" s="248">
        <f>LOG(Table2821115[[#This Row],[BR/18 Fold]],2)</f>
        <v>2</v>
      </c>
      <c r="CZ255" s="248">
        <f>LOG(Table2821115[[#This Row],[KS/17 Fold]],2)</f>
        <v>1</v>
      </c>
      <c r="DA255" s="248">
        <f>LOG(Table2821115[[#This Row],[Phu/13 Fold]],2)</f>
        <v>4</v>
      </c>
      <c r="DB255" s="248">
        <f>LOG(Table2821115[[#This Row],[CO/17 Fold]],2)</f>
        <v>1</v>
      </c>
      <c r="DC255" s="248">
        <f>SUM(Table2821115[[#This Row],[BR/18 Log2]:[CO/17 Log2]])</f>
        <v>8</v>
      </c>
    </row>
    <row r="256" spans="1:107" ht="24" customHeight="1">
      <c r="A256" s="318">
        <v>416</v>
      </c>
      <c r="B256" s="180">
        <v>23295</v>
      </c>
      <c r="C256" s="180">
        <v>43802</v>
      </c>
      <c r="D256" s="179">
        <v>56</v>
      </c>
      <c r="E256" s="3" t="s">
        <v>61</v>
      </c>
      <c r="F256" s="143" t="s">
        <v>116</v>
      </c>
      <c r="G256" s="142">
        <v>21.338365510233707</v>
      </c>
      <c r="H256" s="11" t="s">
        <v>59</v>
      </c>
      <c r="I256" s="277" t="s">
        <v>60</v>
      </c>
      <c r="J256" s="260">
        <v>5</v>
      </c>
      <c r="K256" s="260">
        <v>5</v>
      </c>
      <c r="L256" s="260"/>
      <c r="M256" s="260"/>
      <c r="N256" s="260"/>
      <c r="O256" s="260"/>
      <c r="P256" s="260"/>
      <c r="Q256" s="260"/>
      <c r="R256" s="260"/>
      <c r="S256" s="260"/>
      <c r="T256" s="260"/>
      <c r="U256" s="260"/>
      <c r="V256" s="260">
        <v>5</v>
      </c>
      <c r="W256" s="260">
        <v>5</v>
      </c>
      <c r="X256" s="260">
        <v>5</v>
      </c>
      <c r="Y256" s="260">
        <v>5</v>
      </c>
      <c r="Z256" s="260">
        <v>10</v>
      </c>
      <c r="AA256" s="260">
        <v>10</v>
      </c>
      <c r="AB256" s="260">
        <v>10</v>
      </c>
      <c r="AC256" s="260">
        <v>10</v>
      </c>
      <c r="AD256" s="260"/>
      <c r="AE256" s="260"/>
      <c r="AF256" s="260"/>
      <c r="AG256" s="260"/>
      <c r="AH256" s="195">
        <v>416</v>
      </c>
      <c r="AI256" s="272">
        <v>5</v>
      </c>
      <c r="AJ256" s="271">
        <v>10</v>
      </c>
      <c r="AK256" s="260"/>
      <c r="AL256" s="260"/>
      <c r="AM256" s="260"/>
      <c r="AN256" s="260"/>
      <c r="AO256" s="260"/>
      <c r="AP256" s="260"/>
      <c r="AQ256" s="260"/>
      <c r="AR256" s="260"/>
      <c r="AS256" s="260"/>
      <c r="AT256" s="260"/>
      <c r="AU256" s="260">
        <v>20</v>
      </c>
      <c r="AV256" s="271">
        <v>40</v>
      </c>
      <c r="AW256" s="260">
        <v>20</v>
      </c>
      <c r="AX256" s="271">
        <v>40</v>
      </c>
      <c r="AY256" s="260">
        <v>5</v>
      </c>
      <c r="AZ256" s="271">
        <v>5</v>
      </c>
      <c r="BA256" s="276">
        <v>10</v>
      </c>
      <c r="BB256" s="276">
        <v>20</v>
      </c>
      <c r="BC256" s="276"/>
      <c r="BD256" s="276"/>
      <c r="BE256" s="276">
        <v>5</v>
      </c>
      <c r="BF256" s="276">
        <v>20</v>
      </c>
      <c r="BG256" s="260">
        <v>20</v>
      </c>
      <c r="BH256" s="271">
        <v>40</v>
      </c>
      <c r="BI256" s="276"/>
      <c r="BJ256" s="276"/>
      <c r="BK256" s="276"/>
      <c r="BL256" s="275"/>
      <c r="BM256" s="316">
        <v>416</v>
      </c>
      <c r="BN256" s="272">
        <v>80</v>
      </c>
      <c r="BO256" s="270">
        <v>80</v>
      </c>
      <c r="BP256" s="272"/>
      <c r="BQ256" s="260"/>
      <c r="BR256" s="260"/>
      <c r="BS256" s="260"/>
      <c r="BT256" s="260"/>
      <c r="BU256" s="260"/>
      <c r="BV256" s="260">
        <v>5</v>
      </c>
      <c r="BW256" s="260">
        <v>5</v>
      </c>
      <c r="BX256" s="260"/>
      <c r="BY256" s="260"/>
      <c r="BZ256" s="260"/>
      <c r="CA256" s="260"/>
      <c r="CB256" s="260"/>
      <c r="CC256" s="260"/>
      <c r="CD256" s="260">
        <v>40</v>
      </c>
      <c r="CE256" s="260">
        <v>40</v>
      </c>
      <c r="CF256" s="272"/>
      <c r="CG256" s="260"/>
      <c r="CH256" s="260"/>
      <c r="CI256" s="260"/>
      <c r="CJ256" s="260"/>
      <c r="CK256" s="260"/>
      <c r="CL256" s="260"/>
      <c r="CM256" s="260"/>
      <c r="CN256" s="260">
        <v>40</v>
      </c>
      <c r="CO256" s="260">
        <v>40</v>
      </c>
      <c r="CP256" s="260">
        <v>80</v>
      </c>
      <c r="CQ256" s="260">
        <v>40</v>
      </c>
      <c r="CR256" s="260">
        <v>40</v>
      </c>
      <c r="CS256" s="270">
        <v>40</v>
      </c>
      <c r="CT256" s="315">
        <v>416</v>
      </c>
      <c r="CU256" s="249">
        <f>Table2821115[[#This Row],[D28 - BR/18]]/Table2821115[[#This Row],[D0 - BR/18]]</f>
        <v>1</v>
      </c>
      <c r="CV256" s="248">
        <f>Table2821115[[#This Row],[D28 - KS/17]]/Table2821115[[#This Row],[D0 - KS/17]]</f>
        <v>4</v>
      </c>
      <c r="CW256" s="248">
        <f>Table2821115[[#This Row],[D28 - Phu/13]]/Table2821115[[#This Row],[D0 - Phu/13]]</f>
        <v>1</v>
      </c>
      <c r="CX256" s="248">
        <f>Table2821115[[#This Row],[D28 - CO/17]]/Table2821115[[#This Row],[D0 - CO/17]]</f>
        <v>0.5</v>
      </c>
      <c r="CY256" s="248">
        <f>LOG(Table2821115[[#This Row],[BR/18 Fold]],2)</f>
        <v>0</v>
      </c>
      <c r="CZ256" s="248">
        <f>LOG(Table2821115[[#This Row],[KS/17 Fold]],2)</f>
        <v>2</v>
      </c>
      <c r="DA256" s="248">
        <f>LOG(Table2821115[[#This Row],[Phu/13 Fold]],2)</f>
        <v>0</v>
      </c>
      <c r="DB256" s="248">
        <f>LOG(Table2821115[[#This Row],[CO/17 Fold]],2)</f>
        <v>-1</v>
      </c>
      <c r="DC256" s="248">
        <f>SUM(Table2821115[[#This Row],[BR/18 Log2]:[CO/17 Log2]])</f>
        <v>1</v>
      </c>
    </row>
    <row r="257" spans="1:107" ht="24" customHeight="1">
      <c r="A257" s="318">
        <v>417</v>
      </c>
      <c r="B257" s="180">
        <v>24717</v>
      </c>
      <c r="C257" s="180">
        <v>43788</v>
      </c>
      <c r="D257" s="179">
        <v>52</v>
      </c>
      <c r="E257" s="4" t="s">
        <v>58</v>
      </c>
      <c r="F257" s="143" t="s">
        <v>116</v>
      </c>
      <c r="G257" s="142">
        <v>27.49083172363596</v>
      </c>
      <c r="H257" s="11" t="s">
        <v>59</v>
      </c>
      <c r="I257" s="277" t="s">
        <v>60</v>
      </c>
      <c r="J257" s="260">
        <v>5</v>
      </c>
      <c r="K257" s="260">
        <v>5</v>
      </c>
      <c r="L257" s="260"/>
      <c r="M257" s="260"/>
      <c r="N257" s="260"/>
      <c r="O257" s="260"/>
      <c r="P257" s="260"/>
      <c r="Q257" s="260"/>
      <c r="R257" s="260"/>
      <c r="S257" s="260"/>
      <c r="T257" s="260"/>
      <c r="U257" s="260"/>
      <c r="V257" s="260">
        <v>5</v>
      </c>
      <c r="W257" s="260">
        <v>5</v>
      </c>
      <c r="X257" s="260">
        <v>20</v>
      </c>
      <c r="Y257" s="260">
        <v>20</v>
      </c>
      <c r="Z257" s="260">
        <v>20</v>
      </c>
      <c r="AA257" s="260">
        <v>5</v>
      </c>
      <c r="AB257" s="260">
        <v>10</v>
      </c>
      <c r="AC257" s="260">
        <v>10</v>
      </c>
      <c r="AD257" s="260"/>
      <c r="AE257" s="260"/>
      <c r="AF257" s="260"/>
      <c r="AG257" s="260"/>
      <c r="AH257" s="195">
        <v>417</v>
      </c>
      <c r="AI257" s="272">
        <v>5</v>
      </c>
      <c r="AJ257" s="271">
        <v>5</v>
      </c>
      <c r="AK257" s="260"/>
      <c r="AL257" s="260"/>
      <c r="AM257" s="260"/>
      <c r="AN257" s="260"/>
      <c r="AO257" s="260"/>
      <c r="AP257" s="260"/>
      <c r="AQ257" s="260"/>
      <c r="AR257" s="260"/>
      <c r="AS257" s="260"/>
      <c r="AT257" s="260"/>
      <c r="AU257" s="260">
        <v>40</v>
      </c>
      <c r="AV257" s="271">
        <v>40</v>
      </c>
      <c r="AW257" s="260">
        <v>20</v>
      </c>
      <c r="AX257" s="271">
        <v>40</v>
      </c>
      <c r="AY257" s="260">
        <v>20</v>
      </c>
      <c r="AZ257" s="271">
        <v>20</v>
      </c>
      <c r="BA257" s="276">
        <v>20</v>
      </c>
      <c r="BB257" s="276">
        <v>20</v>
      </c>
      <c r="BC257" s="276"/>
      <c r="BD257" s="276"/>
      <c r="BE257" s="276">
        <v>10</v>
      </c>
      <c r="BF257" s="276">
        <v>10</v>
      </c>
      <c r="BG257" s="260">
        <v>40</v>
      </c>
      <c r="BH257" s="271">
        <v>40</v>
      </c>
      <c r="BI257" s="276"/>
      <c r="BJ257" s="276"/>
      <c r="BK257" s="276"/>
      <c r="BL257" s="275"/>
      <c r="BM257" s="316">
        <v>417</v>
      </c>
      <c r="BN257" s="272">
        <v>20</v>
      </c>
      <c r="BO257" s="270">
        <v>20</v>
      </c>
      <c r="BP257" s="272"/>
      <c r="BQ257" s="260"/>
      <c r="BR257" s="260"/>
      <c r="BS257" s="260"/>
      <c r="BT257" s="260"/>
      <c r="BU257" s="260"/>
      <c r="BV257" s="260">
        <v>5</v>
      </c>
      <c r="BW257" s="260">
        <v>5</v>
      </c>
      <c r="BX257" s="260"/>
      <c r="BY257" s="260"/>
      <c r="BZ257" s="260"/>
      <c r="CA257" s="260"/>
      <c r="CB257" s="260"/>
      <c r="CC257" s="260"/>
      <c r="CD257" s="260">
        <v>20</v>
      </c>
      <c r="CE257" s="260">
        <v>20</v>
      </c>
      <c r="CF257" s="272"/>
      <c r="CG257" s="260"/>
      <c r="CH257" s="260"/>
      <c r="CI257" s="260"/>
      <c r="CJ257" s="260"/>
      <c r="CK257" s="260"/>
      <c r="CL257" s="260"/>
      <c r="CM257" s="260"/>
      <c r="CN257" s="260">
        <v>80</v>
      </c>
      <c r="CO257" s="260">
        <v>80</v>
      </c>
      <c r="CP257" s="260">
        <v>320</v>
      </c>
      <c r="CQ257" s="260">
        <v>160</v>
      </c>
      <c r="CR257" s="260">
        <v>160</v>
      </c>
      <c r="CS257" s="270">
        <v>160</v>
      </c>
      <c r="CT257" s="315">
        <v>417</v>
      </c>
      <c r="CU257" s="249">
        <f>Table2821115[[#This Row],[D28 - BR/18]]/Table2821115[[#This Row],[D0 - BR/18]]</f>
        <v>1</v>
      </c>
      <c r="CV257" s="248">
        <f>Table2821115[[#This Row],[D28 - KS/17]]/Table2821115[[#This Row],[D0 - KS/17]]</f>
        <v>1</v>
      </c>
      <c r="CW257" s="248">
        <f>Table2821115[[#This Row],[D28 - Phu/13]]/Table2821115[[#This Row],[D0 - Phu/13]]</f>
        <v>1</v>
      </c>
      <c r="CX257" s="248">
        <f>Table2821115[[#This Row],[D28 - CO/17]]/Table2821115[[#This Row],[D0 - CO/17]]</f>
        <v>0.5</v>
      </c>
      <c r="CY257" s="248">
        <f>LOG(Table2821115[[#This Row],[BR/18 Fold]],2)</f>
        <v>0</v>
      </c>
      <c r="CZ257" s="248">
        <f>LOG(Table2821115[[#This Row],[KS/17 Fold]],2)</f>
        <v>0</v>
      </c>
      <c r="DA257" s="248">
        <f>LOG(Table2821115[[#This Row],[Phu/13 Fold]],2)</f>
        <v>0</v>
      </c>
      <c r="DB257" s="248">
        <f>LOG(Table2821115[[#This Row],[CO/17 Fold]],2)</f>
        <v>-1</v>
      </c>
      <c r="DC257" s="248">
        <f>SUM(Table2821115[[#This Row],[BR/18 Log2]:[CO/17 Log2]])</f>
        <v>-1</v>
      </c>
    </row>
    <row r="258" spans="1:107" ht="24" customHeight="1">
      <c r="A258" s="321">
        <v>418</v>
      </c>
      <c r="B258" s="183">
        <v>37116</v>
      </c>
      <c r="C258" s="183">
        <v>43802</v>
      </c>
      <c r="D258" s="182">
        <v>18</v>
      </c>
      <c r="E258" s="4" t="s">
        <v>58</v>
      </c>
      <c r="F258" s="143" t="s">
        <v>116</v>
      </c>
      <c r="G258" s="142">
        <v>17.4269199462166</v>
      </c>
      <c r="H258" s="11" t="s">
        <v>59</v>
      </c>
      <c r="I258" s="277" t="s">
        <v>60</v>
      </c>
      <c r="J258" s="260">
        <v>5</v>
      </c>
      <c r="K258" s="260">
        <v>5</v>
      </c>
      <c r="L258" s="260"/>
      <c r="M258" s="260"/>
      <c r="N258" s="260"/>
      <c r="O258" s="260"/>
      <c r="P258" s="260"/>
      <c r="Q258" s="260"/>
      <c r="R258" s="260"/>
      <c r="S258" s="260"/>
      <c r="T258" s="260"/>
      <c r="U258" s="260"/>
      <c r="V258" s="260">
        <v>5</v>
      </c>
      <c r="W258" s="260">
        <v>40</v>
      </c>
      <c r="X258" s="260">
        <v>160</v>
      </c>
      <c r="Y258" s="260">
        <v>160</v>
      </c>
      <c r="Z258" s="260">
        <v>320</v>
      </c>
      <c r="AA258" s="260">
        <v>320</v>
      </c>
      <c r="AB258" s="260">
        <v>160</v>
      </c>
      <c r="AC258" s="260">
        <v>160</v>
      </c>
      <c r="AD258" s="260"/>
      <c r="AE258" s="260"/>
      <c r="AF258" s="260"/>
      <c r="AG258" s="260"/>
      <c r="AH258" s="32">
        <v>418</v>
      </c>
      <c r="AI258" s="272">
        <v>5</v>
      </c>
      <c r="AJ258" s="271">
        <v>80</v>
      </c>
      <c r="AK258" s="260"/>
      <c r="AL258" s="260"/>
      <c r="AM258" s="260"/>
      <c r="AN258" s="260"/>
      <c r="AO258" s="260"/>
      <c r="AP258" s="260"/>
      <c r="AQ258" s="260"/>
      <c r="AR258" s="260"/>
      <c r="AS258" s="260"/>
      <c r="AT258" s="260"/>
      <c r="AU258" s="260">
        <v>320</v>
      </c>
      <c r="AV258" s="271">
        <v>1280</v>
      </c>
      <c r="AW258" s="260">
        <v>320</v>
      </c>
      <c r="AX258" s="271">
        <v>1280</v>
      </c>
      <c r="AY258" s="260">
        <v>160</v>
      </c>
      <c r="AZ258" s="271">
        <v>640</v>
      </c>
      <c r="BA258" s="276">
        <v>320</v>
      </c>
      <c r="BB258" s="276">
        <v>640</v>
      </c>
      <c r="BC258" s="276"/>
      <c r="BD258" s="276"/>
      <c r="BE258" s="276">
        <v>80</v>
      </c>
      <c r="BF258" s="276">
        <v>640</v>
      </c>
      <c r="BG258" s="260">
        <v>320</v>
      </c>
      <c r="BH258" s="271">
        <v>640</v>
      </c>
      <c r="BI258" s="276"/>
      <c r="BJ258" s="276"/>
      <c r="BK258" s="276"/>
      <c r="BL258" s="275"/>
      <c r="BM258" s="320">
        <v>418</v>
      </c>
      <c r="BN258" s="272">
        <v>160</v>
      </c>
      <c r="BO258" s="270">
        <v>160</v>
      </c>
      <c r="BP258" s="272"/>
      <c r="BQ258" s="260"/>
      <c r="BR258" s="260"/>
      <c r="BS258" s="260"/>
      <c r="BT258" s="260"/>
      <c r="BU258" s="260"/>
      <c r="BV258" s="260">
        <v>320</v>
      </c>
      <c r="BW258" s="260">
        <v>320</v>
      </c>
      <c r="BX258" s="260"/>
      <c r="BY258" s="260"/>
      <c r="BZ258" s="260"/>
      <c r="CA258" s="260"/>
      <c r="CB258" s="260"/>
      <c r="CC258" s="260"/>
      <c r="CD258" s="260">
        <v>160</v>
      </c>
      <c r="CE258" s="260">
        <v>160</v>
      </c>
      <c r="CF258" s="272"/>
      <c r="CG258" s="260"/>
      <c r="CH258" s="260"/>
      <c r="CI258" s="260"/>
      <c r="CJ258" s="260"/>
      <c r="CK258" s="260"/>
      <c r="CL258" s="260"/>
      <c r="CM258" s="260"/>
      <c r="CN258" s="260">
        <v>80</v>
      </c>
      <c r="CO258" s="260">
        <v>80</v>
      </c>
      <c r="CP258" s="260">
        <v>160</v>
      </c>
      <c r="CQ258" s="260">
        <v>80</v>
      </c>
      <c r="CR258" s="260">
        <v>80</v>
      </c>
      <c r="CS258" s="270">
        <v>80</v>
      </c>
      <c r="CT258" s="319">
        <v>418</v>
      </c>
      <c r="CU258" s="249">
        <f>Table2821115[[#This Row],[D28 - BR/18]]/Table2821115[[#This Row],[D0 - BR/18]]</f>
        <v>1</v>
      </c>
      <c r="CV258" s="248">
        <f>Table2821115[[#This Row],[D28 - KS/17]]/Table2821115[[#This Row],[D0 - KS/17]]</f>
        <v>8</v>
      </c>
      <c r="CW258" s="248">
        <f>Table2821115[[#This Row],[D28 - Phu/13]]/Table2821115[[#This Row],[D0 - Phu/13]]</f>
        <v>1</v>
      </c>
      <c r="CX258" s="248">
        <f>Table2821115[[#This Row],[D28 - CO/17]]/Table2821115[[#This Row],[D0 - CO/17]]</f>
        <v>0.5</v>
      </c>
      <c r="CY258" s="248">
        <f>LOG(Table2821115[[#This Row],[BR/18 Fold]],2)</f>
        <v>0</v>
      </c>
      <c r="CZ258" s="248">
        <f>LOG(Table2821115[[#This Row],[KS/17 Fold]],2)</f>
        <v>3</v>
      </c>
      <c r="DA258" s="248">
        <f>LOG(Table2821115[[#This Row],[Phu/13 Fold]],2)</f>
        <v>0</v>
      </c>
      <c r="DB258" s="248">
        <f>LOG(Table2821115[[#This Row],[CO/17 Fold]],2)</f>
        <v>-1</v>
      </c>
      <c r="DC258" s="248">
        <f>SUM(Table2821115[[#This Row],[BR/18 Log2]:[CO/17 Log2]])</f>
        <v>2</v>
      </c>
    </row>
    <row r="259" spans="1:107" ht="24" customHeight="1">
      <c r="A259" s="321">
        <v>419</v>
      </c>
      <c r="B259" s="183">
        <v>36357</v>
      </c>
      <c r="C259" s="183">
        <v>43782</v>
      </c>
      <c r="D259" s="182">
        <v>20</v>
      </c>
      <c r="E259" s="3" t="s">
        <v>61</v>
      </c>
      <c r="F259" s="143" t="s">
        <v>116</v>
      </c>
      <c r="G259" s="142">
        <v>23.087974873868152</v>
      </c>
      <c r="H259" s="11" t="s">
        <v>59</v>
      </c>
      <c r="I259" s="277" t="s">
        <v>60</v>
      </c>
      <c r="J259" s="260">
        <v>5</v>
      </c>
      <c r="K259" s="260">
        <v>5</v>
      </c>
      <c r="L259" s="260"/>
      <c r="M259" s="260"/>
      <c r="N259" s="260"/>
      <c r="O259" s="260"/>
      <c r="P259" s="260"/>
      <c r="Q259" s="260"/>
      <c r="R259" s="260"/>
      <c r="S259" s="260"/>
      <c r="T259" s="260"/>
      <c r="U259" s="260"/>
      <c r="V259" s="260">
        <v>10</v>
      </c>
      <c r="W259" s="260">
        <v>10</v>
      </c>
      <c r="X259" s="260">
        <v>10</v>
      </c>
      <c r="Y259" s="260">
        <v>320</v>
      </c>
      <c r="Z259" s="260">
        <v>20</v>
      </c>
      <c r="AA259" s="260">
        <v>640</v>
      </c>
      <c r="AB259" s="260">
        <v>10</v>
      </c>
      <c r="AC259" s="260">
        <v>320</v>
      </c>
      <c r="AD259" s="260"/>
      <c r="AE259" s="260"/>
      <c r="AF259" s="260"/>
      <c r="AG259" s="260"/>
      <c r="AH259" s="32">
        <v>419</v>
      </c>
      <c r="AI259" s="272">
        <v>40</v>
      </c>
      <c r="AJ259" s="271">
        <v>40</v>
      </c>
      <c r="AK259" s="260"/>
      <c r="AL259" s="260"/>
      <c r="AM259" s="260"/>
      <c r="AN259" s="260"/>
      <c r="AO259" s="260"/>
      <c r="AP259" s="260"/>
      <c r="AQ259" s="260"/>
      <c r="AR259" s="260"/>
      <c r="AS259" s="260"/>
      <c r="AT259" s="260"/>
      <c r="AU259" s="260">
        <v>40</v>
      </c>
      <c r="AV259" s="271">
        <v>160</v>
      </c>
      <c r="AW259" s="260">
        <v>40</v>
      </c>
      <c r="AX259" s="271">
        <v>320</v>
      </c>
      <c r="AY259" s="260">
        <v>40</v>
      </c>
      <c r="AZ259" s="271">
        <v>160</v>
      </c>
      <c r="BA259" s="276">
        <v>40</v>
      </c>
      <c r="BB259" s="276">
        <v>160</v>
      </c>
      <c r="BC259" s="276"/>
      <c r="BD259" s="276"/>
      <c r="BE259" s="276">
        <v>10</v>
      </c>
      <c r="BF259" s="276">
        <v>160</v>
      </c>
      <c r="BG259" s="260">
        <v>80</v>
      </c>
      <c r="BH259" s="271">
        <v>320</v>
      </c>
      <c r="BI259" s="276"/>
      <c r="BJ259" s="276"/>
      <c r="BK259" s="276"/>
      <c r="BL259" s="275"/>
      <c r="BM259" s="320">
        <v>419</v>
      </c>
      <c r="BN259" s="272">
        <v>20</v>
      </c>
      <c r="BO259" s="270">
        <v>80</v>
      </c>
      <c r="BP259" s="272"/>
      <c r="BQ259" s="260"/>
      <c r="BR259" s="260"/>
      <c r="BS259" s="260"/>
      <c r="BT259" s="260"/>
      <c r="BU259" s="260"/>
      <c r="BV259" s="260">
        <v>5</v>
      </c>
      <c r="BW259" s="260">
        <v>160</v>
      </c>
      <c r="BX259" s="260"/>
      <c r="BY259" s="260"/>
      <c r="BZ259" s="260"/>
      <c r="CA259" s="260"/>
      <c r="CB259" s="260"/>
      <c r="CC259" s="260"/>
      <c r="CD259" s="260">
        <v>40</v>
      </c>
      <c r="CE259" s="260">
        <v>160</v>
      </c>
      <c r="CF259" s="272"/>
      <c r="CG259" s="260"/>
      <c r="CH259" s="260"/>
      <c r="CI259" s="260"/>
      <c r="CJ259" s="260"/>
      <c r="CK259" s="260"/>
      <c r="CL259" s="260"/>
      <c r="CM259" s="260"/>
      <c r="CN259" s="260">
        <v>10</v>
      </c>
      <c r="CO259" s="260">
        <v>80</v>
      </c>
      <c r="CP259" s="260">
        <v>10</v>
      </c>
      <c r="CQ259" s="260">
        <v>80</v>
      </c>
      <c r="CR259" s="260">
        <v>10</v>
      </c>
      <c r="CS259" s="270">
        <v>160</v>
      </c>
      <c r="CT259" s="319">
        <v>419</v>
      </c>
      <c r="CU259" s="249">
        <f>Table2821115[[#This Row],[D28 - BR/18]]/Table2821115[[#This Row],[D0 - BR/18]]</f>
        <v>32</v>
      </c>
      <c r="CV259" s="248">
        <f>Table2821115[[#This Row],[D28 - KS/17]]/Table2821115[[#This Row],[D0 - KS/17]]</f>
        <v>16</v>
      </c>
      <c r="CW259" s="248">
        <f>Table2821115[[#This Row],[D28 - Phu/13]]/Table2821115[[#This Row],[D0 - Phu/13]]</f>
        <v>4</v>
      </c>
      <c r="CX259" s="248">
        <f>Table2821115[[#This Row],[D28 - CO/17]]/Table2821115[[#This Row],[D0 - CO/17]]</f>
        <v>8</v>
      </c>
      <c r="CY259" s="248">
        <f>LOG(Table2821115[[#This Row],[BR/18 Fold]],2)</f>
        <v>5</v>
      </c>
      <c r="CZ259" s="248">
        <f>LOG(Table2821115[[#This Row],[KS/17 Fold]],2)</f>
        <v>4</v>
      </c>
      <c r="DA259" s="248">
        <f>LOG(Table2821115[[#This Row],[Phu/13 Fold]],2)</f>
        <v>2</v>
      </c>
      <c r="DB259" s="248">
        <f>LOG(Table2821115[[#This Row],[CO/17 Fold]],2)</f>
        <v>3</v>
      </c>
      <c r="DC259" s="248">
        <f>SUM(Table2821115[[#This Row],[BR/18 Log2]:[CO/17 Log2]])</f>
        <v>14</v>
      </c>
    </row>
    <row r="260" spans="1:107" ht="24" customHeight="1">
      <c r="A260" s="324">
        <v>420</v>
      </c>
      <c r="B260" s="190">
        <v>27631</v>
      </c>
      <c r="C260" s="190">
        <v>43789</v>
      </c>
      <c r="D260" s="189">
        <v>44</v>
      </c>
      <c r="E260" s="3" t="s">
        <v>61</v>
      </c>
      <c r="F260" s="143" t="s">
        <v>117</v>
      </c>
      <c r="G260" s="142">
        <v>24.414302982203594</v>
      </c>
      <c r="H260" s="11" t="s">
        <v>59</v>
      </c>
      <c r="I260" s="281" t="s">
        <v>60</v>
      </c>
      <c r="J260" s="260">
        <v>5</v>
      </c>
      <c r="K260" s="260">
        <v>5</v>
      </c>
      <c r="L260" s="260"/>
      <c r="M260" s="260"/>
      <c r="N260" s="260"/>
      <c r="O260" s="260"/>
      <c r="P260" s="260"/>
      <c r="Q260" s="260"/>
      <c r="R260" s="260"/>
      <c r="S260" s="260"/>
      <c r="T260" s="260"/>
      <c r="U260" s="260"/>
      <c r="V260" s="260">
        <v>5</v>
      </c>
      <c r="W260" s="260">
        <v>5</v>
      </c>
      <c r="X260" s="260">
        <v>10</v>
      </c>
      <c r="Y260" s="260">
        <v>40</v>
      </c>
      <c r="Z260" s="260">
        <v>10</v>
      </c>
      <c r="AA260" s="260">
        <v>80</v>
      </c>
      <c r="AB260" s="260">
        <v>10</v>
      </c>
      <c r="AC260" s="260">
        <v>40</v>
      </c>
      <c r="AD260" s="260"/>
      <c r="AE260" s="260"/>
      <c r="AF260" s="260"/>
      <c r="AG260" s="260"/>
      <c r="AH260" s="198">
        <v>420</v>
      </c>
      <c r="AI260" s="272">
        <v>20</v>
      </c>
      <c r="AJ260" s="271">
        <v>40</v>
      </c>
      <c r="AK260" s="260"/>
      <c r="AL260" s="260"/>
      <c r="AM260" s="260"/>
      <c r="AN260" s="260"/>
      <c r="AO260" s="260"/>
      <c r="AP260" s="260"/>
      <c r="AQ260" s="260"/>
      <c r="AR260" s="260"/>
      <c r="AS260" s="260"/>
      <c r="AT260" s="260"/>
      <c r="AU260" s="260">
        <v>160</v>
      </c>
      <c r="AV260" s="271">
        <v>320</v>
      </c>
      <c r="AW260" s="260">
        <v>80</v>
      </c>
      <c r="AX260" s="271">
        <v>160</v>
      </c>
      <c r="AY260" s="260">
        <v>80</v>
      </c>
      <c r="AZ260" s="271">
        <v>80</v>
      </c>
      <c r="BA260" s="276">
        <v>80</v>
      </c>
      <c r="BB260" s="276">
        <v>160</v>
      </c>
      <c r="BC260" s="276"/>
      <c r="BD260" s="276"/>
      <c r="BE260" s="276">
        <v>20</v>
      </c>
      <c r="BF260" s="276">
        <v>80</v>
      </c>
      <c r="BG260" s="260">
        <v>160</v>
      </c>
      <c r="BH260" s="271">
        <v>320</v>
      </c>
      <c r="BI260" s="276"/>
      <c r="BJ260" s="276"/>
      <c r="BK260" s="276"/>
      <c r="BL260" s="275"/>
      <c r="BM260" s="323">
        <v>420</v>
      </c>
      <c r="BN260" s="272">
        <v>320</v>
      </c>
      <c r="BO260" s="270">
        <v>640</v>
      </c>
      <c r="BP260" s="272"/>
      <c r="BQ260" s="260"/>
      <c r="BR260" s="260"/>
      <c r="BS260" s="260"/>
      <c r="BT260" s="260"/>
      <c r="BU260" s="260"/>
      <c r="BV260" s="260">
        <v>320</v>
      </c>
      <c r="BW260" s="260">
        <v>640</v>
      </c>
      <c r="BX260" s="260"/>
      <c r="BY260" s="260"/>
      <c r="BZ260" s="260"/>
      <c r="CA260" s="260"/>
      <c r="CB260" s="260"/>
      <c r="CC260" s="260"/>
      <c r="CD260" s="260">
        <v>320</v>
      </c>
      <c r="CE260" s="260">
        <v>640</v>
      </c>
      <c r="CF260" s="272"/>
      <c r="CG260" s="260"/>
      <c r="CH260" s="260"/>
      <c r="CI260" s="260"/>
      <c r="CJ260" s="260"/>
      <c r="CK260" s="260"/>
      <c r="CL260" s="260"/>
      <c r="CM260" s="260"/>
      <c r="CN260" s="260">
        <v>320</v>
      </c>
      <c r="CO260" s="260">
        <v>640</v>
      </c>
      <c r="CP260" s="260">
        <v>640</v>
      </c>
      <c r="CQ260" s="260">
        <v>640</v>
      </c>
      <c r="CR260" s="260">
        <v>320</v>
      </c>
      <c r="CS260" s="270">
        <v>640</v>
      </c>
      <c r="CT260" s="322">
        <v>420</v>
      </c>
      <c r="CU260" s="249">
        <f>Table2821115[[#This Row],[D28 - BR/18]]/Table2821115[[#This Row],[D0 - BR/18]]</f>
        <v>4</v>
      </c>
      <c r="CV260" s="248">
        <f>Table2821115[[#This Row],[D28 - KS/17]]/Table2821115[[#This Row],[D0 - KS/17]]</f>
        <v>4</v>
      </c>
      <c r="CW260" s="248">
        <f>Table2821115[[#This Row],[D28 - Phu/13]]/Table2821115[[#This Row],[D0 - Phu/13]]</f>
        <v>2</v>
      </c>
      <c r="CX260" s="248">
        <f>Table2821115[[#This Row],[D28 - CO/17]]/Table2821115[[#This Row],[D0 - CO/17]]</f>
        <v>1</v>
      </c>
      <c r="CY260" s="248">
        <f>LOG(Table2821115[[#This Row],[BR/18 Fold]],2)</f>
        <v>2</v>
      </c>
      <c r="CZ260" s="248">
        <f>LOG(Table2821115[[#This Row],[KS/17 Fold]],2)</f>
        <v>2</v>
      </c>
      <c r="DA260" s="248">
        <f>LOG(Table2821115[[#This Row],[Phu/13 Fold]],2)</f>
        <v>1</v>
      </c>
      <c r="DB260" s="248">
        <f>LOG(Table2821115[[#This Row],[CO/17 Fold]],2)</f>
        <v>0</v>
      </c>
      <c r="DC260" s="248">
        <f>SUM(Table2821115[[#This Row],[BR/18 Log2]:[CO/17 Log2]])</f>
        <v>5</v>
      </c>
    </row>
    <row r="261" spans="1:107" ht="24" customHeight="1">
      <c r="A261" s="321">
        <v>421</v>
      </c>
      <c r="B261" s="183">
        <v>32820</v>
      </c>
      <c r="C261" s="183">
        <v>43789</v>
      </c>
      <c r="D261" s="182">
        <v>30</v>
      </c>
      <c r="E261" s="4" t="s">
        <v>58</v>
      </c>
      <c r="F261" s="143" t="s">
        <v>118</v>
      </c>
      <c r="G261" s="142">
        <v>23.796352908065721</v>
      </c>
      <c r="H261" s="11" t="s">
        <v>59</v>
      </c>
      <c r="I261" s="281" t="s">
        <v>60</v>
      </c>
      <c r="J261" s="260">
        <v>5</v>
      </c>
      <c r="K261" s="260">
        <v>5</v>
      </c>
      <c r="L261" s="260"/>
      <c r="M261" s="260"/>
      <c r="N261" s="260"/>
      <c r="O261" s="260"/>
      <c r="P261" s="260"/>
      <c r="Q261" s="260"/>
      <c r="R261" s="260"/>
      <c r="S261" s="260"/>
      <c r="T261" s="260"/>
      <c r="U261" s="260"/>
      <c r="V261" s="260">
        <v>5</v>
      </c>
      <c r="W261" s="260">
        <v>5</v>
      </c>
      <c r="X261" s="260">
        <v>5</v>
      </c>
      <c r="Y261" s="260">
        <v>80</v>
      </c>
      <c r="Z261" s="260">
        <v>5</v>
      </c>
      <c r="AA261" s="260">
        <v>160</v>
      </c>
      <c r="AB261" s="260">
        <v>10</v>
      </c>
      <c r="AC261" s="260">
        <v>80</v>
      </c>
      <c r="AD261" s="260"/>
      <c r="AE261" s="260"/>
      <c r="AF261" s="260"/>
      <c r="AG261" s="260"/>
      <c r="AH261" s="32">
        <v>421</v>
      </c>
      <c r="AI261" s="272">
        <v>40</v>
      </c>
      <c r="AJ261" s="271">
        <v>80</v>
      </c>
      <c r="AK261" s="260"/>
      <c r="AL261" s="260"/>
      <c r="AM261" s="260"/>
      <c r="AN261" s="260"/>
      <c r="AO261" s="260"/>
      <c r="AP261" s="260"/>
      <c r="AQ261" s="260"/>
      <c r="AR261" s="260"/>
      <c r="AS261" s="260"/>
      <c r="AT261" s="260"/>
      <c r="AU261" s="260">
        <v>10</v>
      </c>
      <c r="AV261" s="271">
        <v>40</v>
      </c>
      <c r="AW261" s="260">
        <v>5</v>
      </c>
      <c r="AX261" s="271">
        <v>20</v>
      </c>
      <c r="AY261" s="260">
        <v>5</v>
      </c>
      <c r="AZ261" s="271">
        <v>5</v>
      </c>
      <c r="BA261" s="276">
        <v>5</v>
      </c>
      <c r="BB261" s="276">
        <v>5</v>
      </c>
      <c r="BC261" s="276"/>
      <c r="BD261" s="276"/>
      <c r="BE261" s="276">
        <v>5</v>
      </c>
      <c r="BF261" s="276">
        <v>20</v>
      </c>
      <c r="BG261" s="260">
        <v>10</v>
      </c>
      <c r="BH261" s="271">
        <v>10</v>
      </c>
      <c r="BI261" s="276"/>
      <c r="BJ261" s="276"/>
      <c r="BK261" s="276"/>
      <c r="BL261" s="275"/>
      <c r="BM261" s="320">
        <v>421</v>
      </c>
      <c r="BN261" s="272">
        <v>80</v>
      </c>
      <c r="BO261" s="270">
        <v>320</v>
      </c>
      <c r="BP261" s="272"/>
      <c r="BQ261" s="260"/>
      <c r="BR261" s="260"/>
      <c r="BS261" s="260"/>
      <c r="BT261" s="260"/>
      <c r="BU261" s="260"/>
      <c r="BV261" s="260">
        <v>5</v>
      </c>
      <c r="BW261" s="260">
        <v>5</v>
      </c>
      <c r="BX261" s="260"/>
      <c r="BY261" s="260"/>
      <c r="BZ261" s="260"/>
      <c r="CA261" s="260"/>
      <c r="CB261" s="260"/>
      <c r="CC261" s="260"/>
      <c r="CD261" s="260">
        <v>80</v>
      </c>
      <c r="CE261" s="260">
        <v>160</v>
      </c>
      <c r="CF261" s="272"/>
      <c r="CG261" s="260"/>
      <c r="CH261" s="260"/>
      <c r="CI261" s="260"/>
      <c r="CJ261" s="260"/>
      <c r="CK261" s="260"/>
      <c r="CL261" s="260"/>
      <c r="CM261" s="260"/>
      <c r="CN261" s="260">
        <v>10</v>
      </c>
      <c r="CO261" s="260">
        <v>40</v>
      </c>
      <c r="CP261" s="260">
        <v>20</v>
      </c>
      <c r="CQ261" s="260">
        <v>40</v>
      </c>
      <c r="CR261" s="260">
        <v>10</v>
      </c>
      <c r="CS261" s="270">
        <v>40</v>
      </c>
      <c r="CT261" s="319">
        <v>421</v>
      </c>
      <c r="CU261" s="249">
        <f>Table2821115[[#This Row],[D28 - BR/18]]/Table2821115[[#This Row],[D0 - BR/18]]</f>
        <v>8</v>
      </c>
      <c r="CV261" s="248">
        <f>Table2821115[[#This Row],[D28 - KS/17]]/Table2821115[[#This Row],[D0 - KS/17]]</f>
        <v>4</v>
      </c>
      <c r="CW261" s="248">
        <f>Table2821115[[#This Row],[D28 - Phu/13]]/Table2821115[[#This Row],[D0 - Phu/13]]</f>
        <v>2</v>
      </c>
      <c r="CX261" s="248">
        <f>Table2821115[[#This Row],[D28 - CO/17]]/Table2821115[[#This Row],[D0 - CO/17]]</f>
        <v>2</v>
      </c>
      <c r="CY261" s="248">
        <f>LOG(Table2821115[[#This Row],[BR/18 Fold]],2)</f>
        <v>3</v>
      </c>
      <c r="CZ261" s="248">
        <f>LOG(Table2821115[[#This Row],[KS/17 Fold]],2)</f>
        <v>2</v>
      </c>
      <c r="DA261" s="248">
        <f>LOG(Table2821115[[#This Row],[Phu/13 Fold]],2)</f>
        <v>1</v>
      </c>
      <c r="DB261" s="248">
        <f>LOG(Table2821115[[#This Row],[CO/17 Fold]],2)</f>
        <v>1</v>
      </c>
      <c r="DC261" s="248">
        <f>SUM(Table2821115[[#This Row],[BR/18 Log2]:[CO/17 Log2]])</f>
        <v>7</v>
      </c>
    </row>
    <row r="262" spans="1:107" ht="24" customHeight="1">
      <c r="A262" s="324">
        <v>422</v>
      </c>
      <c r="B262" s="190">
        <v>27603</v>
      </c>
      <c r="C262" s="190">
        <v>43787</v>
      </c>
      <c r="D262" s="189">
        <v>44</v>
      </c>
      <c r="E262" s="3" t="s">
        <v>61</v>
      </c>
      <c r="F262" s="143" t="s">
        <v>116</v>
      </c>
      <c r="G262" s="142">
        <v>22.68201920517598</v>
      </c>
      <c r="H262" s="11" t="s">
        <v>59</v>
      </c>
      <c r="I262" s="277" t="s">
        <v>62</v>
      </c>
      <c r="J262" s="260">
        <v>5</v>
      </c>
      <c r="K262" s="260">
        <v>5</v>
      </c>
      <c r="L262" s="260"/>
      <c r="M262" s="260"/>
      <c r="N262" s="260"/>
      <c r="O262" s="260"/>
      <c r="P262" s="260"/>
      <c r="Q262" s="260"/>
      <c r="R262" s="260"/>
      <c r="S262" s="260"/>
      <c r="T262" s="260"/>
      <c r="U262" s="260"/>
      <c r="V262" s="260">
        <v>5</v>
      </c>
      <c r="W262" s="260">
        <v>5</v>
      </c>
      <c r="X262" s="260">
        <v>10</v>
      </c>
      <c r="Y262" s="260">
        <v>80</v>
      </c>
      <c r="Z262" s="260">
        <v>5</v>
      </c>
      <c r="AA262" s="260">
        <v>160</v>
      </c>
      <c r="AB262" s="260">
        <v>5</v>
      </c>
      <c r="AC262" s="260">
        <v>80</v>
      </c>
      <c r="AD262" s="260"/>
      <c r="AE262" s="260"/>
      <c r="AF262" s="260"/>
      <c r="AG262" s="260"/>
      <c r="AH262" s="198">
        <v>422</v>
      </c>
      <c r="AI262" s="272">
        <v>5</v>
      </c>
      <c r="AJ262" s="271">
        <v>5</v>
      </c>
      <c r="AK262" s="260"/>
      <c r="AL262" s="260"/>
      <c r="AM262" s="260"/>
      <c r="AN262" s="260"/>
      <c r="AO262" s="260"/>
      <c r="AP262" s="260"/>
      <c r="AQ262" s="260"/>
      <c r="AR262" s="260"/>
      <c r="AS262" s="260"/>
      <c r="AT262" s="260"/>
      <c r="AU262" s="260">
        <v>5</v>
      </c>
      <c r="AV262" s="271">
        <v>5</v>
      </c>
      <c r="AW262" s="260">
        <v>5</v>
      </c>
      <c r="AX262" s="271">
        <v>5</v>
      </c>
      <c r="AY262" s="260">
        <v>5</v>
      </c>
      <c r="AZ262" s="271">
        <v>5</v>
      </c>
      <c r="BA262" s="276">
        <v>20</v>
      </c>
      <c r="BB262" s="276">
        <v>5</v>
      </c>
      <c r="BC262" s="276"/>
      <c r="BD262" s="276"/>
      <c r="BE262" s="276">
        <v>5</v>
      </c>
      <c r="BF262" s="276">
        <v>20</v>
      </c>
      <c r="BG262" s="260">
        <v>80</v>
      </c>
      <c r="BH262" s="271">
        <v>10</v>
      </c>
      <c r="BI262" s="276"/>
      <c r="BJ262" s="276"/>
      <c r="BK262" s="276"/>
      <c r="BL262" s="275"/>
      <c r="BM262" s="323">
        <v>422</v>
      </c>
      <c r="BN262" s="272">
        <v>5</v>
      </c>
      <c r="BO262" s="270">
        <v>80</v>
      </c>
      <c r="BP262" s="272"/>
      <c r="BQ262" s="260"/>
      <c r="BR262" s="260"/>
      <c r="BS262" s="260"/>
      <c r="BT262" s="260"/>
      <c r="BU262" s="260"/>
      <c r="BV262" s="260">
        <v>5</v>
      </c>
      <c r="BW262" s="260">
        <v>5</v>
      </c>
      <c r="BX262" s="260"/>
      <c r="BY262" s="260"/>
      <c r="BZ262" s="260"/>
      <c r="CA262" s="260"/>
      <c r="CB262" s="260"/>
      <c r="CC262" s="260"/>
      <c r="CD262" s="260">
        <v>5</v>
      </c>
      <c r="CE262" s="260">
        <v>80</v>
      </c>
      <c r="CF262" s="272"/>
      <c r="CG262" s="260"/>
      <c r="CH262" s="260"/>
      <c r="CI262" s="260"/>
      <c r="CJ262" s="260"/>
      <c r="CK262" s="260"/>
      <c r="CL262" s="260"/>
      <c r="CM262" s="260"/>
      <c r="CN262" s="260">
        <v>10</v>
      </c>
      <c r="CO262" s="260">
        <v>640</v>
      </c>
      <c r="CP262" s="260">
        <v>40</v>
      </c>
      <c r="CQ262" s="260">
        <v>640</v>
      </c>
      <c r="CR262" s="260">
        <v>20</v>
      </c>
      <c r="CS262" s="270">
        <v>640</v>
      </c>
      <c r="CT262" s="322">
        <v>422</v>
      </c>
      <c r="CU262" s="249">
        <f>Table2821115[[#This Row],[D28 - BR/18]]/Table2821115[[#This Row],[D0 - BR/18]]</f>
        <v>16</v>
      </c>
      <c r="CV262" s="248">
        <f>Table2821115[[#This Row],[D28 - KS/17]]/Table2821115[[#This Row],[D0 - KS/17]]</f>
        <v>4</v>
      </c>
      <c r="CW262" s="248">
        <f>Table2821115[[#This Row],[D28 - Phu/13]]/Table2821115[[#This Row],[D0 - Phu/13]]</f>
        <v>16</v>
      </c>
      <c r="CX262" s="248">
        <f>Table2821115[[#This Row],[D28 - CO/17]]/Table2821115[[#This Row],[D0 - CO/17]]</f>
        <v>16</v>
      </c>
      <c r="CY262" s="248">
        <f>LOG(Table2821115[[#This Row],[BR/18 Fold]],2)</f>
        <v>4</v>
      </c>
      <c r="CZ262" s="248">
        <f>LOG(Table2821115[[#This Row],[KS/17 Fold]],2)</f>
        <v>2</v>
      </c>
      <c r="DA262" s="248">
        <f>LOG(Table2821115[[#This Row],[Phu/13 Fold]],2)</f>
        <v>4</v>
      </c>
      <c r="DB262" s="248">
        <f>LOG(Table2821115[[#This Row],[CO/17 Fold]],2)</f>
        <v>4</v>
      </c>
      <c r="DC262" s="248">
        <f>SUM(Table2821115[[#This Row],[BR/18 Log2]:[CO/17 Log2]])</f>
        <v>14</v>
      </c>
    </row>
    <row r="263" spans="1:107" ht="24" customHeight="1">
      <c r="A263" s="318">
        <v>423</v>
      </c>
      <c r="B263" s="180">
        <v>24062</v>
      </c>
      <c r="C263" s="180">
        <v>43783</v>
      </c>
      <c r="D263" s="179">
        <v>53</v>
      </c>
      <c r="E263" s="3" t="s">
        <v>61</v>
      </c>
      <c r="F263" s="143" t="s">
        <v>116</v>
      </c>
      <c r="G263" s="142">
        <v>33.094955433697024</v>
      </c>
      <c r="H263" s="11" t="s">
        <v>59</v>
      </c>
      <c r="I263" s="277" t="s">
        <v>62</v>
      </c>
      <c r="J263" s="260">
        <v>5</v>
      </c>
      <c r="K263" s="260">
        <v>5</v>
      </c>
      <c r="L263" s="260"/>
      <c r="M263" s="260"/>
      <c r="N263" s="260"/>
      <c r="O263" s="260"/>
      <c r="P263" s="260"/>
      <c r="Q263" s="260"/>
      <c r="R263" s="260"/>
      <c r="S263" s="260"/>
      <c r="T263" s="260"/>
      <c r="U263" s="260"/>
      <c r="V263" s="260">
        <v>5</v>
      </c>
      <c r="W263" s="260">
        <v>10</v>
      </c>
      <c r="X263" s="260">
        <v>20</v>
      </c>
      <c r="Y263" s="260">
        <v>20</v>
      </c>
      <c r="Z263" s="260">
        <v>20</v>
      </c>
      <c r="AA263" s="260">
        <v>20</v>
      </c>
      <c r="AB263" s="260">
        <v>20</v>
      </c>
      <c r="AC263" s="260">
        <v>20</v>
      </c>
      <c r="AD263" s="260"/>
      <c r="AE263" s="260"/>
      <c r="AF263" s="260"/>
      <c r="AG263" s="260"/>
      <c r="AH263" s="195">
        <v>423</v>
      </c>
      <c r="AI263" s="272">
        <v>20</v>
      </c>
      <c r="AJ263" s="271">
        <v>20</v>
      </c>
      <c r="AK263" s="260"/>
      <c r="AL263" s="260"/>
      <c r="AM263" s="260"/>
      <c r="AN263" s="260"/>
      <c r="AO263" s="260"/>
      <c r="AP263" s="260"/>
      <c r="AQ263" s="260"/>
      <c r="AR263" s="260"/>
      <c r="AS263" s="260"/>
      <c r="AT263" s="260"/>
      <c r="AU263" s="260">
        <v>160</v>
      </c>
      <c r="AV263" s="271">
        <v>320</v>
      </c>
      <c r="AW263" s="260">
        <v>160</v>
      </c>
      <c r="AX263" s="271">
        <v>320</v>
      </c>
      <c r="AY263" s="260">
        <v>160</v>
      </c>
      <c r="AZ263" s="271">
        <v>160</v>
      </c>
      <c r="BA263" s="276">
        <v>160</v>
      </c>
      <c r="BB263" s="276">
        <v>320</v>
      </c>
      <c r="BC263" s="276"/>
      <c r="BD263" s="276"/>
      <c r="BE263" s="276">
        <v>20</v>
      </c>
      <c r="BF263" s="276">
        <v>40</v>
      </c>
      <c r="BG263" s="260">
        <v>160</v>
      </c>
      <c r="BH263" s="271">
        <v>160</v>
      </c>
      <c r="BI263" s="276"/>
      <c r="BJ263" s="276"/>
      <c r="BK263" s="276"/>
      <c r="BL263" s="275"/>
      <c r="BM263" s="316">
        <v>423</v>
      </c>
      <c r="BN263" s="272">
        <v>40</v>
      </c>
      <c r="BO263" s="270">
        <v>80</v>
      </c>
      <c r="BP263" s="272"/>
      <c r="BQ263" s="260"/>
      <c r="BR263" s="260"/>
      <c r="BS263" s="260"/>
      <c r="BT263" s="260"/>
      <c r="BU263" s="260"/>
      <c r="BV263" s="260">
        <v>5</v>
      </c>
      <c r="BW263" s="260">
        <v>5</v>
      </c>
      <c r="BX263" s="260"/>
      <c r="BY263" s="260"/>
      <c r="BZ263" s="260"/>
      <c r="CA263" s="260"/>
      <c r="CB263" s="260"/>
      <c r="CC263" s="260"/>
      <c r="CD263" s="260">
        <v>20</v>
      </c>
      <c r="CE263" s="260">
        <v>40</v>
      </c>
      <c r="CF263" s="272"/>
      <c r="CG263" s="260"/>
      <c r="CH263" s="260"/>
      <c r="CI263" s="260"/>
      <c r="CJ263" s="260"/>
      <c r="CK263" s="260"/>
      <c r="CL263" s="260"/>
      <c r="CM263" s="260"/>
      <c r="CN263" s="260">
        <v>40</v>
      </c>
      <c r="CO263" s="260">
        <v>40</v>
      </c>
      <c r="CP263" s="260">
        <v>160</v>
      </c>
      <c r="CQ263" s="260">
        <v>160</v>
      </c>
      <c r="CR263" s="260">
        <v>80</v>
      </c>
      <c r="CS263" s="270">
        <v>160</v>
      </c>
      <c r="CT263" s="315">
        <v>423</v>
      </c>
      <c r="CU263" s="249">
        <f>Table2821115[[#This Row],[D28 - BR/18]]/Table2821115[[#This Row],[D0 - BR/18]]</f>
        <v>1</v>
      </c>
      <c r="CV263" s="248">
        <f>Table2821115[[#This Row],[D28 - KS/17]]/Table2821115[[#This Row],[D0 - KS/17]]</f>
        <v>2</v>
      </c>
      <c r="CW263" s="248">
        <f>Table2821115[[#This Row],[D28 - Phu/13]]/Table2821115[[#This Row],[D0 - Phu/13]]</f>
        <v>2</v>
      </c>
      <c r="CX263" s="248">
        <f>Table2821115[[#This Row],[D28 - CO/17]]/Table2821115[[#This Row],[D0 - CO/17]]</f>
        <v>1</v>
      </c>
      <c r="CY263" s="248">
        <f>LOG(Table2821115[[#This Row],[BR/18 Fold]],2)</f>
        <v>0</v>
      </c>
      <c r="CZ263" s="248">
        <f>LOG(Table2821115[[#This Row],[KS/17 Fold]],2)</f>
        <v>1</v>
      </c>
      <c r="DA263" s="248">
        <f>LOG(Table2821115[[#This Row],[Phu/13 Fold]],2)</f>
        <v>1</v>
      </c>
      <c r="DB263" s="248">
        <f>LOG(Table2821115[[#This Row],[CO/17 Fold]],2)</f>
        <v>0</v>
      </c>
      <c r="DC263" s="248">
        <f>SUM(Table2821115[[#This Row],[BR/18 Log2]:[CO/17 Log2]])</f>
        <v>2</v>
      </c>
    </row>
    <row r="264" spans="1:107" ht="24" customHeight="1">
      <c r="A264" s="324">
        <v>424</v>
      </c>
      <c r="B264" s="190">
        <v>30657</v>
      </c>
      <c r="C264" s="190">
        <v>43810</v>
      </c>
      <c r="D264" s="189">
        <v>36</v>
      </c>
      <c r="E264" s="4" t="s">
        <v>58</v>
      </c>
      <c r="F264" s="143" t="s">
        <v>116</v>
      </c>
      <c r="G264" s="142">
        <v>38.047465915038458</v>
      </c>
      <c r="H264" s="11" t="s">
        <v>59</v>
      </c>
      <c r="I264" s="277" t="s">
        <v>62</v>
      </c>
      <c r="J264" s="260">
        <v>5</v>
      </c>
      <c r="K264" s="260">
        <v>5</v>
      </c>
      <c r="L264" s="260"/>
      <c r="M264" s="260"/>
      <c r="N264" s="260"/>
      <c r="O264" s="260"/>
      <c r="P264" s="260"/>
      <c r="Q264" s="260"/>
      <c r="R264" s="260"/>
      <c r="S264" s="260"/>
      <c r="T264" s="260"/>
      <c r="U264" s="260"/>
      <c r="V264" s="260">
        <v>5</v>
      </c>
      <c r="W264" s="260">
        <v>5</v>
      </c>
      <c r="X264" s="260">
        <v>5</v>
      </c>
      <c r="Y264" s="260">
        <v>40</v>
      </c>
      <c r="Z264" s="260">
        <v>5</v>
      </c>
      <c r="AA264" s="260">
        <v>80</v>
      </c>
      <c r="AB264" s="260">
        <v>10</v>
      </c>
      <c r="AC264" s="260">
        <v>40</v>
      </c>
      <c r="AD264" s="260"/>
      <c r="AE264" s="260"/>
      <c r="AF264" s="260"/>
      <c r="AG264" s="260"/>
      <c r="AH264" s="198">
        <v>424</v>
      </c>
      <c r="AI264" s="272">
        <v>10</v>
      </c>
      <c r="AJ264" s="271">
        <v>20</v>
      </c>
      <c r="AK264" s="260"/>
      <c r="AL264" s="260"/>
      <c r="AM264" s="260"/>
      <c r="AN264" s="260"/>
      <c r="AO264" s="260"/>
      <c r="AP264" s="260"/>
      <c r="AQ264" s="260"/>
      <c r="AR264" s="260"/>
      <c r="AS264" s="260"/>
      <c r="AT264" s="260"/>
      <c r="AU264" s="260">
        <v>5</v>
      </c>
      <c r="AV264" s="271">
        <v>5</v>
      </c>
      <c r="AW264" s="260">
        <v>5</v>
      </c>
      <c r="AX264" s="271">
        <v>5</v>
      </c>
      <c r="AY264" s="260">
        <v>5</v>
      </c>
      <c r="AZ264" s="271">
        <v>5</v>
      </c>
      <c r="BA264" s="276">
        <v>5</v>
      </c>
      <c r="BB264" s="276">
        <v>10</v>
      </c>
      <c r="BC264" s="276"/>
      <c r="BD264" s="276"/>
      <c r="BE264" s="276">
        <v>5</v>
      </c>
      <c r="BF264" s="276">
        <v>5</v>
      </c>
      <c r="BG264" s="260">
        <v>20</v>
      </c>
      <c r="BH264" s="271">
        <v>20</v>
      </c>
      <c r="BI264" s="276"/>
      <c r="BJ264" s="276"/>
      <c r="BK264" s="276"/>
      <c r="BL264" s="275"/>
      <c r="BM264" s="323">
        <v>424</v>
      </c>
      <c r="BN264" s="272">
        <v>5</v>
      </c>
      <c r="BO264" s="270">
        <v>80</v>
      </c>
      <c r="BP264" s="272"/>
      <c r="BQ264" s="260"/>
      <c r="BR264" s="260"/>
      <c r="BS264" s="260"/>
      <c r="BT264" s="260"/>
      <c r="BU264" s="260"/>
      <c r="BV264" s="260">
        <v>5</v>
      </c>
      <c r="BW264" s="260">
        <v>5</v>
      </c>
      <c r="BX264" s="260"/>
      <c r="BY264" s="260"/>
      <c r="BZ264" s="260"/>
      <c r="CA264" s="260"/>
      <c r="CB264" s="260"/>
      <c r="CC264" s="260"/>
      <c r="CD264" s="260">
        <v>5</v>
      </c>
      <c r="CE264" s="260">
        <v>40</v>
      </c>
      <c r="CF264" s="272"/>
      <c r="CG264" s="260"/>
      <c r="CH264" s="260"/>
      <c r="CI264" s="260"/>
      <c r="CJ264" s="260"/>
      <c r="CK264" s="260"/>
      <c r="CL264" s="260"/>
      <c r="CM264" s="260"/>
      <c r="CN264" s="260">
        <v>10</v>
      </c>
      <c r="CO264" s="260">
        <v>80</v>
      </c>
      <c r="CP264" s="260">
        <v>10</v>
      </c>
      <c r="CQ264" s="260">
        <v>80</v>
      </c>
      <c r="CR264" s="260">
        <v>10</v>
      </c>
      <c r="CS264" s="270">
        <v>80</v>
      </c>
      <c r="CT264" s="322">
        <v>424</v>
      </c>
      <c r="CU264" s="249">
        <f>Table2821115[[#This Row],[D28 - BR/18]]/Table2821115[[#This Row],[D0 - BR/18]]</f>
        <v>4</v>
      </c>
      <c r="CV264" s="248">
        <f>Table2821115[[#This Row],[D28 - KS/17]]/Table2821115[[#This Row],[D0 - KS/17]]</f>
        <v>1</v>
      </c>
      <c r="CW264" s="248">
        <f>Table2821115[[#This Row],[D28 - Phu/13]]/Table2821115[[#This Row],[D0 - Phu/13]]</f>
        <v>8</v>
      </c>
      <c r="CX264" s="248">
        <f>Table2821115[[#This Row],[D28 - CO/17]]/Table2821115[[#This Row],[D0 - CO/17]]</f>
        <v>8</v>
      </c>
      <c r="CY264" s="248">
        <f>LOG(Table2821115[[#This Row],[BR/18 Fold]],2)</f>
        <v>2</v>
      </c>
      <c r="CZ264" s="248">
        <f>LOG(Table2821115[[#This Row],[KS/17 Fold]],2)</f>
        <v>0</v>
      </c>
      <c r="DA264" s="248">
        <f>LOG(Table2821115[[#This Row],[Phu/13 Fold]],2)</f>
        <v>3</v>
      </c>
      <c r="DB264" s="248">
        <f>LOG(Table2821115[[#This Row],[CO/17 Fold]],2)</f>
        <v>3</v>
      </c>
      <c r="DC264" s="248">
        <f>SUM(Table2821115[[#This Row],[BR/18 Log2]:[CO/17 Log2]])</f>
        <v>8</v>
      </c>
    </row>
    <row r="265" spans="1:107" ht="24" customHeight="1">
      <c r="A265" s="318">
        <v>425</v>
      </c>
      <c r="B265" s="180">
        <v>22270</v>
      </c>
      <c r="C265" s="180">
        <v>43801</v>
      </c>
      <c r="D265" s="179">
        <v>58</v>
      </c>
      <c r="E265" s="3" t="s">
        <v>61</v>
      </c>
      <c r="F265" s="143" t="s">
        <v>116</v>
      </c>
      <c r="G265" s="142">
        <v>42.715929938573026</v>
      </c>
      <c r="H265" s="11" t="s">
        <v>59</v>
      </c>
      <c r="I265" s="277" t="s">
        <v>62</v>
      </c>
      <c r="J265" s="260">
        <v>5</v>
      </c>
      <c r="K265" s="260">
        <v>5</v>
      </c>
      <c r="L265" s="260"/>
      <c r="M265" s="260"/>
      <c r="N265" s="260"/>
      <c r="O265" s="260"/>
      <c r="P265" s="260"/>
      <c r="Q265" s="260"/>
      <c r="R265" s="260"/>
      <c r="S265" s="260"/>
      <c r="T265" s="260"/>
      <c r="U265" s="260"/>
      <c r="V265" s="260">
        <v>5</v>
      </c>
      <c r="W265" s="260">
        <v>5</v>
      </c>
      <c r="X265" s="260">
        <v>40</v>
      </c>
      <c r="Y265" s="260">
        <v>80</v>
      </c>
      <c r="Z265" s="260">
        <v>40</v>
      </c>
      <c r="AA265" s="260">
        <v>80</v>
      </c>
      <c r="AB265" s="260">
        <v>20</v>
      </c>
      <c r="AC265" s="260">
        <v>40</v>
      </c>
      <c r="AD265" s="260"/>
      <c r="AE265" s="260"/>
      <c r="AF265" s="260"/>
      <c r="AG265" s="260"/>
      <c r="AH265" s="195">
        <v>425</v>
      </c>
      <c r="AI265" s="272">
        <v>20</v>
      </c>
      <c r="AJ265" s="271">
        <v>80</v>
      </c>
      <c r="AK265" s="260"/>
      <c r="AL265" s="260"/>
      <c r="AM265" s="260"/>
      <c r="AN265" s="260"/>
      <c r="AO265" s="260"/>
      <c r="AP265" s="260"/>
      <c r="AQ265" s="260"/>
      <c r="AR265" s="260"/>
      <c r="AS265" s="260"/>
      <c r="AT265" s="260"/>
      <c r="AU265" s="260">
        <v>40</v>
      </c>
      <c r="AV265" s="271">
        <v>160</v>
      </c>
      <c r="AW265" s="260">
        <v>20</v>
      </c>
      <c r="AX265" s="271">
        <v>160</v>
      </c>
      <c r="AY265" s="260">
        <v>5</v>
      </c>
      <c r="AZ265" s="271">
        <v>5</v>
      </c>
      <c r="BA265" s="276">
        <v>20</v>
      </c>
      <c r="BB265" s="276">
        <v>80</v>
      </c>
      <c r="BC265" s="276"/>
      <c r="BD265" s="276"/>
      <c r="BE265" s="276">
        <v>20</v>
      </c>
      <c r="BF265" s="276">
        <v>80</v>
      </c>
      <c r="BG265" s="260">
        <v>80</v>
      </c>
      <c r="BH265" s="271">
        <v>320</v>
      </c>
      <c r="BI265" s="276"/>
      <c r="BJ265" s="276"/>
      <c r="BK265" s="276"/>
      <c r="BL265" s="275"/>
      <c r="BM265" s="316">
        <v>425</v>
      </c>
      <c r="BN265" s="272">
        <v>40</v>
      </c>
      <c r="BO265" s="270">
        <v>320</v>
      </c>
      <c r="BP265" s="272"/>
      <c r="BQ265" s="260"/>
      <c r="BR265" s="260"/>
      <c r="BS265" s="260"/>
      <c r="BT265" s="260"/>
      <c r="BU265" s="260"/>
      <c r="BV265" s="260">
        <v>5</v>
      </c>
      <c r="BW265" s="260">
        <v>5</v>
      </c>
      <c r="BX265" s="260"/>
      <c r="BY265" s="260"/>
      <c r="BZ265" s="260"/>
      <c r="CA265" s="260"/>
      <c r="CB265" s="260"/>
      <c r="CC265" s="260"/>
      <c r="CD265" s="260">
        <v>20</v>
      </c>
      <c r="CE265" s="260">
        <v>640</v>
      </c>
      <c r="CF265" s="272"/>
      <c r="CG265" s="260"/>
      <c r="CH265" s="260"/>
      <c r="CI265" s="260"/>
      <c r="CJ265" s="260"/>
      <c r="CK265" s="260"/>
      <c r="CL265" s="260"/>
      <c r="CM265" s="260"/>
      <c r="CN265" s="260">
        <v>80</v>
      </c>
      <c r="CO265" s="260">
        <v>160</v>
      </c>
      <c r="CP265" s="260">
        <v>320</v>
      </c>
      <c r="CQ265" s="260">
        <v>320</v>
      </c>
      <c r="CR265" s="260">
        <v>160</v>
      </c>
      <c r="CS265" s="270">
        <v>320</v>
      </c>
      <c r="CT265" s="315">
        <v>425</v>
      </c>
      <c r="CU265" s="249">
        <f>Table2821115[[#This Row],[D28 - BR/18]]/Table2821115[[#This Row],[D0 - BR/18]]</f>
        <v>2</v>
      </c>
      <c r="CV265" s="248">
        <f>Table2821115[[#This Row],[D28 - KS/17]]/Table2821115[[#This Row],[D0 - KS/17]]</f>
        <v>4</v>
      </c>
      <c r="CW265" s="248">
        <f>Table2821115[[#This Row],[D28 - Phu/13]]/Table2821115[[#This Row],[D0 - Phu/13]]</f>
        <v>32</v>
      </c>
      <c r="CX265" s="248">
        <f>Table2821115[[#This Row],[D28 - CO/17]]/Table2821115[[#This Row],[D0 - CO/17]]</f>
        <v>1</v>
      </c>
      <c r="CY265" s="248">
        <f>LOG(Table2821115[[#This Row],[BR/18 Fold]],2)</f>
        <v>1</v>
      </c>
      <c r="CZ265" s="248">
        <f>LOG(Table2821115[[#This Row],[KS/17 Fold]],2)</f>
        <v>2</v>
      </c>
      <c r="DA265" s="248">
        <f>LOG(Table2821115[[#This Row],[Phu/13 Fold]],2)</f>
        <v>5</v>
      </c>
      <c r="DB265" s="248">
        <f>LOG(Table2821115[[#This Row],[CO/17 Fold]],2)</f>
        <v>0</v>
      </c>
      <c r="DC265" s="248">
        <f>SUM(Table2821115[[#This Row],[BR/18 Log2]:[CO/17 Log2]])</f>
        <v>8</v>
      </c>
    </row>
    <row r="266" spans="1:107" ht="24" customHeight="1">
      <c r="A266" s="321">
        <v>426</v>
      </c>
      <c r="B266" s="183">
        <v>37189</v>
      </c>
      <c r="C266" s="183">
        <v>43794</v>
      </c>
      <c r="D266" s="182">
        <v>18</v>
      </c>
      <c r="E266" s="3" t="s">
        <v>61</v>
      </c>
      <c r="F266" s="143" t="s">
        <v>116</v>
      </c>
      <c r="G266" s="142">
        <v>22.124592015547009</v>
      </c>
      <c r="H266" s="11" t="s">
        <v>59</v>
      </c>
      <c r="I266" s="277" t="s">
        <v>60</v>
      </c>
      <c r="J266" s="260">
        <v>5</v>
      </c>
      <c r="K266" s="260">
        <v>5</v>
      </c>
      <c r="L266" s="260"/>
      <c r="M266" s="260"/>
      <c r="N266" s="260"/>
      <c r="O266" s="260"/>
      <c r="P266" s="260"/>
      <c r="Q266" s="260"/>
      <c r="R266" s="260"/>
      <c r="S266" s="260"/>
      <c r="T266" s="260"/>
      <c r="U266" s="260"/>
      <c r="V266" s="260">
        <v>10</v>
      </c>
      <c r="W266" s="260">
        <v>10</v>
      </c>
      <c r="X266" s="260">
        <v>5</v>
      </c>
      <c r="Y266" s="260">
        <v>40</v>
      </c>
      <c r="Z266" s="260">
        <v>40</v>
      </c>
      <c r="AA266" s="260">
        <v>80</v>
      </c>
      <c r="AB266" s="260">
        <v>20</v>
      </c>
      <c r="AC266" s="260">
        <v>40</v>
      </c>
      <c r="AD266" s="260"/>
      <c r="AE266" s="260"/>
      <c r="AF266" s="260"/>
      <c r="AG266" s="260"/>
      <c r="AH266" s="32">
        <v>426</v>
      </c>
      <c r="AI266" s="272">
        <v>5</v>
      </c>
      <c r="AJ266" s="271">
        <v>20</v>
      </c>
      <c r="AK266" s="260"/>
      <c r="AL266" s="260"/>
      <c r="AM266" s="260"/>
      <c r="AN266" s="260"/>
      <c r="AO266" s="260"/>
      <c r="AP266" s="260"/>
      <c r="AQ266" s="260"/>
      <c r="AR266" s="260"/>
      <c r="AS266" s="260"/>
      <c r="AT266" s="260"/>
      <c r="AU266" s="260">
        <v>160</v>
      </c>
      <c r="AV266" s="271">
        <v>320</v>
      </c>
      <c r="AW266" s="260">
        <v>160</v>
      </c>
      <c r="AX266" s="271">
        <v>320</v>
      </c>
      <c r="AY266" s="260">
        <v>5</v>
      </c>
      <c r="AZ266" s="271">
        <v>320</v>
      </c>
      <c r="BA266" s="276">
        <v>160</v>
      </c>
      <c r="BB266" s="276">
        <v>320</v>
      </c>
      <c r="BC266" s="276"/>
      <c r="BD266" s="276"/>
      <c r="BE266" s="276">
        <v>80</v>
      </c>
      <c r="BF266" s="276">
        <v>160</v>
      </c>
      <c r="BG266" s="260">
        <v>320</v>
      </c>
      <c r="BH266" s="271">
        <v>320</v>
      </c>
      <c r="BI266" s="276"/>
      <c r="BJ266" s="276"/>
      <c r="BK266" s="276"/>
      <c r="BL266" s="275"/>
      <c r="BM266" s="320">
        <v>426</v>
      </c>
      <c r="BN266" s="272">
        <v>40</v>
      </c>
      <c r="BO266" s="270">
        <v>80</v>
      </c>
      <c r="BP266" s="272"/>
      <c r="BQ266" s="260"/>
      <c r="BR266" s="260"/>
      <c r="BS266" s="260"/>
      <c r="BT266" s="260"/>
      <c r="BU266" s="260"/>
      <c r="BV266" s="260">
        <v>5</v>
      </c>
      <c r="BW266" s="260">
        <v>5</v>
      </c>
      <c r="BX266" s="260"/>
      <c r="BY266" s="260"/>
      <c r="BZ266" s="260"/>
      <c r="CA266" s="260"/>
      <c r="CB266" s="260"/>
      <c r="CC266" s="260"/>
      <c r="CD266" s="260">
        <v>40</v>
      </c>
      <c r="CE266" s="260">
        <v>80</v>
      </c>
      <c r="CF266" s="272"/>
      <c r="CG266" s="260"/>
      <c r="CH266" s="260"/>
      <c r="CI266" s="260"/>
      <c r="CJ266" s="260"/>
      <c r="CK266" s="260"/>
      <c r="CL266" s="260"/>
      <c r="CM266" s="260"/>
      <c r="CN266" s="260">
        <v>80</v>
      </c>
      <c r="CO266" s="260">
        <v>80</v>
      </c>
      <c r="CP266" s="260">
        <v>80</v>
      </c>
      <c r="CQ266" s="260">
        <v>80</v>
      </c>
      <c r="CR266" s="260">
        <v>40</v>
      </c>
      <c r="CS266" s="270">
        <v>80</v>
      </c>
      <c r="CT266" s="319">
        <v>426</v>
      </c>
      <c r="CU266" s="249">
        <f>Table2821115[[#This Row],[D28 - BR/18]]/Table2821115[[#This Row],[D0 - BR/18]]</f>
        <v>2</v>
      </c>
      <c r="CV266" s="248">
        <f>Table2821115[[#This Row],[D28 - KS/17]]/Table2821115[[#This Row],[D0 - KS/17]]</f>
        <v>2</v>
      </c>
      <c r="CW266" s="248">
        <f>Table2821115[[#This Row],[D28 - Phu/13]]/Table2821115[[#This Row],[D0 - Phu/13]]</f>
        <v>2</v>
      </c>
      <c r="CX266" s="248">
        <f>Table2821115[[#This Row],[D28 - CO/17]]/Table2821115[[#This Row],[D0 - CO/17]]</f>
        <v>1</v>
      </c>
      <c r="CY266" s="248">
        <f>LOG(Table2821115[[#This Row],[BR/18 Fold]],2)</f>
        <v>1</v>
      </c>
      <c r="CZ266" s="248">
        <f>LOG(Table2821115[[#This Row],[KS/17 Fold]],2)</f>
        <v>1</v>
      </c>
      <c r="DA266" s="248">
        <f>LOG(Table2821115[[#This Row],[Phu/13 Fold]],2)</f>
        <v>1</v>
      </c>
      <c r="DB266" s="248">
        <f>LOG(Table2821115[[#This Row],[CO/17 Fold]],2)</f>
        <v>0</v>
      </c>
      <c r="DC266" s="248">
        <f>SUM(Table2821115[[#This Row],[BR/18 Log2]:[CO/17 Log2]])</f>
        <v>3</v>
      </c>
    </row>
    <row r="267" spans="1:107" ht="24" customHeight="1">
      <c r="A267" s="324">
        <v>427</v>
      </c>
      <c r="B267" s="190">
        <v>27464</v>
      </c>
      <c r="C267" s="190">
        <v>43803</v>
      </c>
      <c r="D267" s="189">
        <v>44</v>
      </c>
      <c r="E267" s="3" t="s">
        <v>61</v>
      </c>
      <c r="F267" s="143" t="s">
        <v>116</v>
      </c>
      <c r="G267" s="142">
        <v>21.768574930898094</v>
      </c>
      <c r="H267" s="11" t="s">
        <v>59</v>
      </c>
      <c r="I267" s="277" t="s">
        <v>60</v>
      </c>
      <c r="J267" s="260">
        <v>5</v>
      </c>
      <c r="K267" s="260">
        <v>5</v>
      </c>
      <c r="L267" s="260"/>
      <c r="M267" s="260"/>
      <c r="N267" s="260"/>
      <c r="O267" s="260"/>
      <c r="P267" s="260"/>
      <c r="Q267" s="260"/>
      <c r="R267" s="260"/>
      <c r="S267" s="260"/>
      <c r="T267" s="260"/>
      <c r="U267" s="260"/>
      <c r="V267" s="260">
        <v>5</v>
      </c>
      <c r="W267" s="260">
        <v>10</v>
      </c>
      <c r="X267" s="260">
        <v>40</v>
      </c>
      <c r="Y267" s="260">
        <v>40</v>
      </c>
      <c r="Z267" s="260">
        <v>20</v>
      </c>
      <c r="AA267" s="260">
        <v>20</v>
      </c>
      <c r="AB267" s="260">
        <v>20</v>
      </c>
      <c r="AC267" s="260">
        <v>10</v>
      </c>
      <c r="AD267" s="260"/>
      <c r="AE267" s="260"/>
      <c r="AF267" s="260"/>
      <c r="AG267" s="260"/>
      <c r="AH267" s="198">
        <v>427</v>
      </c>
      <c r="AI267" s="272">
        <v>20</v>
      </c>
      <c r="AJ267" s="271">
        <v>20</v>
      </c>
      <c r="AK267" s="260"/>
      <c r="AL267" s="260"/>
      <c r="AM267" s="260"/>
      <c r="AN267" s="260"/>
      <c r="AO267" s="260"/>
      <c r="AP267" s="260"/>
      <c r="AQ267" s="260"/>
      <c r="AR267" s="260"/>
      <c r="AS267" s="260"/>
      <c r="AT267" s="260"/>
      <c r="AU267" s="260">
        <v>40</v>
      </c>
      <c r="AV267" s="271">
        <v>40</v>
      </c>
      <c r="AW267" s="260">
        <v>40</v>
      </c>
      <c r="AX267" s="271">
        <v>40</v>
      </c>
      <c r="AY267" s="260">
        <v>5</v>
      </c>
      <c r="AZ267" s="271">
        <v>5</v>
      </c>
      <c r="BA267" s="276">
        <v>20</v>
      </c>
      <c r="BB267" s="276">
        <v>40</v>
      </c>
      <c r="BC267" s="276"/>
      <c r="BD267" s="276"/>
      <c r="BE267" s="276">
        <v>20</v>
      </c>
      <c r="BF267" s="276">
        <v>40</v>
      </c>
      <c r="BG267" s="260">
        <v>80</v>
      </c>
      <c r="BH267" s="271">
        <v>40</v>
      </c>
      <c r="BI267" s="276"/>
      <c r="BJ267" s="276"/>
      <c r="BK267" s="276"/>
      <c r="BL267" s="275"/>
      <c r="BM267" s="323">
        <v>427</v>
      </c>
      <c r="BN267" s="272">
        <v>10</v>
      </c>
      <c r="BO267" s="270">
        <v>20</v>
      </c>
      <c r="BP267" s="272"/>
      <c r="BQ267" s="260"/>
      <c r="BR267" s="260"/>
      <c r="BS267" s="260"/>
      <c r="BT267" s="260"/>
      <c r="BU267" s="260"/>
      <c r="BV267" s="260">
        <v>5</v>
      </c>
      <c r="BW267" s="260">
        <v>160</v>
      </c>
      <c r="BX267" s="260"/>
      <c r="BY267" s="260"/>
      <c r="BZ267" s="260"/>
      <c r="CA267" s="260"/>
      <c r="CB267" s="260"/>
      <c r="CC267" s="260"/>
      <c r="CD267" s="260">
        <v>10</v>
      </c>
      <c r="CE267" s="260">
        <v>40</v>
      </c>
      <c r="CF267" s="272"/>
      <c r="CG267" s="260"/>
      <c r="CH267" s="260"/>
      <c r="CI267" s="260"/>
      <c r="CJ267" s="260"/>
      <c r="CK267" s="260"/>
      <c r="CL267" s="260"/>
      <c r="CM267" s="260"/>
      <c r="CN267" s="260">
        <v>20</v>
      </c>
      <c r="CO267" s="260">
        <v>40</v>
      </c>
      <c r="CP267" s="260">
        <v>40</v>
      </c>
      <c r="CQ267" s="260">
        <v>40</v>
      </c>
      <c r="CR267" s="260">
        <v>40</v>
      </c>
      <c r="CS267" s="270">
        <v>40</v>
      </c>
      <c r="CT267" s="322">
        <v>427</v>
      </c>
      <c r="CU267" s="249">
        <f>Table2821115[[#This Row],[D28 - BR/18]]/Table2821115[[#This Row],[D0 - BR/18]]</f>
        <v>0.5</v>
      </c>
      <c r="CV267" s="248">
        <f>Table2821115[[#This Row],[D28 - KS/17]]/Table2821115[[#This Row],[D0 - KS/17]]</f>
        <v>2</v>
      </c>
      <c r="CW267" s="248">
        <f>Table2821115[[#This Row],[D28 - Phu/13]]/Table2821115[[#This Row],[D0 - Phu/13]]</f>
        <v>4</v>
      </c>
      <c r="CX267" s="248">
        <f>Table2821115[[#This Row],[D28 - CO/17]]/Table2821115[[#This Row],[D0 - CO/17]]</f>
        <v>1</v>
      </c>
      <c r="CY267" s="248">
        <f>LOG(Table2821115[[#This Row],[BR/18 Fold]],2)</f>
        <v>-1</v>
      </c>
      <c r="CZ267" s="248">
        <f>LOG(Table2821115[[#This Row],[KS/17 Fold]],2)</f>
        <v>1</v>
      </c>
      <c r="DA267" s="248">
        <f>LOG(Table2821115[[#This Row],[Phu/13 Fold]],2)</f>
        <v>2</v>
      </c>
      <c r="DB267" s="248">
        <f>LOG(Table2821115[[#This Row],[CO/17 Fold]],2)</f>
        <v>0</v>
      </c>
      <c r="DC267" s="248">
        <f>SUM(Table2821115[[#This Row],[BR/18 Log2]:[CO/17 Log2]])</f>
        <v>2</v>
      </c>
    </row>
    <row r="268" spans="1:107" ht="24" customHeight="1">
      <c r="A268" s="321">
        <v>428</v>
      </c>
      <c r="B268" s="183">
        <v>31589</v>
      </c>
      <c r="C268" s="183">
        <v>43787</v>
      </c>
      <c r="D268" s="182">
        <v>33</v>
      </c>
      <c r="E268" s="3" t="s">
        <v>61</v>
      </c>
      <c r="F268" s="143" t="s">
        <v>116</v>
      </c>
      <c r="G268" s="142">
        <v>45.812074829931987</v>
      </c>
      <c r="H268" s="11" t="s">
        <v>59</v>
      </c>
      <c r="I268" s="277" t="s">
        <v>60</v>
      </c>
      <c r="J268" s="260">
        <v>5</v>
      </c>
      <c r="K268" s="260">
        <v>5</v>
      </c>
      <c r="L268" s="260"/>
      <c r="M268" s="260"/>
      <c r="N268" s="260"/>
      <c r="O268" s="260"/>
      <c r="P268" s="260"/>
      <c r="Q268" s="260"/>
      <c r="R268" s="260"/>
      <c r="S268" s="260"/>
      <c r="T268" s="260"/>
      <c r="U268" s="260"/>
      <c r="V268" s="260">
        <v>5</v>
      </c>
      <c r="W268" s="260">
        <v>5</v>
      </c>
      <c r="X268" s="260">
        <v>5</v>
      </c>
      <c r="Y268" s="260">
        <v>40</v>
      </c>
      <c r="Z268" s="260">
        <v>40</v>
      </c>
      <c r="AA268" s="260">
        <v>160</v>
      </c>
      <c r="AB268" s="260">
        <v>20</v>
      </c>
      <c r="AC268" s="260">
        <v>80</v>
      </c>
      <c r="AD268" s="260"/>
      <c r="AE268" s="260"/>
      <c r="AF268" s="260"/>
      <c r="AG268" s="260"/>
      <c r="AH268" s="32">
        <v>428</v>
      </c>
      <c r="AI268" s="272">
        <v>20</v>
      </c>
      <c r="AJ268" s="271">
        <v>40</v>
      </c>
      <c r="AK268" s="260"/>
      <c r="AL268" s="260"/>
      <c r="AM268" s="260"/>
      <c r="AN268" s="260"/>
      <c r="AO268" s="260"/>
      <c r="AP268" s="260"/>
      <c r="AQ268" s="260"/>
      <c r="AR268" s="260"/>
      <c r="AS268" s="260"/>
      <c r="AT268" s="260"/>
      <c r="AU268" s="260">
        <v>10</v>
      </c>
      <c r="AV268" s="271">
        <v>20</v>
      </c>
      <c r="AW268" s="260">
        <v>5</v>
      </c>
      <c r="AX268" s="271">
        <v>20</v>
      </c>
      <c r="AY268" s="260">
        <v>5</v>
      </c>
      <c r="AZ268" s="271">
        <v>5</v>
      </c>
      <c r="BA268" s="276">
        <v>5</v>
      </c>
      <c r="BB268" s="276">
        <v>10</v>
      </c>
      <c r="BC268" s="276"/>
      <c r="BD268" s="276"/>
      <c r="BE268" s="276">
        <v>10</v>
      </c>
      <c r="BF268" s="276">
        <v>20</v>
      </c>
      <c r="BG268" s="260">
        <v>20</v>
      </c>
      <c r="BH268" s="271">
        <v>20</v>
      </c>
      <c r="BI268" s="276"/>
      <c r="BJ268" s="276"/>
      <c r="BK268" s="276"/>
      <c r="BL268" s="275"/>
      <c r="BM268" s="320">
        <v>428</v>
      </c>
      <c r="BN268" s="272">
        <v>20</v>
      </c>
      <c r="BO268" s="270">
        <v>320</v>
      </c>
      <c r="BP268" s="272"/>
      <c r="BQ268" s="260"/>
      <c r="BR268" s="260"/>
      <c r="BS268" s="260"/>
      <c r="BT268" s="260"/>
      <c r="BU268" s="260"/>
      <c r="BV268" s="260">
        <v>5</v>
      </c>
      <c r="BW268" s="260">
        <v>5</v>
      </c>
      <c r="BX268" s="260"/>
      <c r="BY268" s="260"/>
      <c r="BZ268" s="260"/>
      <c r="CA268" s="260"/>
      <c r="CB268" s="260"/>
      <c r="CC268" s="260"/>
      <c r="CD268" s="260">
        <v>40</v>
      </c>
      <c r="CE268" s="260">
        <v>320</v>
      </c>
      <c r="CF268" s="272"/>
      <c r="CG268" s="260"/>
      <c r="CH268" s="260"/>
      <c r="CI268" s="260"/>
      <c r="CJ268" s="260"/>
      <c r="CK268" s="260"/>
      <c r="CL268" s="260"/>
      <c r="CM268" s="260"/>
      <c r="CN268" s="260">
        <v>5</v>
      </c>
      <c r="CO268" s="260">
        <v>80</v>
      </c>
      <c r="CP268" s="260">
        <v>5</v>
      </c>
      <c r="CQ268" s="260">
        <v>80</v>
      </c>
      <c r="CR268" s="260">
        <v>5</v>
      </c>
      <c r="CS268" s="270">
        <v>160</v>
      </c>
      <c r="CT268" s="319">
        <v>428</v>
      </c>
      <c r="CU268" s="249">
        <f>Table2821115[[#This Row],[D28 - BR/18]]/Table2821115[[#This Row],[D0 - BR/18]]</f>
        <v>4</v>
      </c>
      <c r="CV268" s="248">
        <f>Table2821115[[#This Row],[D28 - KS/17]]/Table2821115[[#This Row],[D0 - KS/17]]</f>
        <v>2</v>
      </c>
      <c r="CW268" s="248">
        <f>Table2821115[[#This Row],[D28 - Phu/13]]/Table2821115[[#This Row],[D0 - Phu/13]]</f>
        <v>8</v>
      </c>
      <c r="CX268" s="248">
        <f>Table2821115[[#This Row],[D28 - CO/17]]/Table2821115[[#This Row],[D0 - CO/17]]</f>
        <v>16</v>
      </c>
      <c r="CY268" s="248">
        <f>LOG(Table2821115[[#This Row],[BR/18 Fold]],2)</f>
        <v>2</v>
      </c>
      <c r="CZ268" s="248">
        <f>LOG(Table2821115[[#This Row],[KS/17 Fold]],2)</f>
        <v>1</v>
      </c>
      <c r="DA268" s="248">
        <f>LOG(Table2821115[[#This Row],[Phu/13 Fold]],2)</f>
        <v>3</v>
      </c>
      <c r="DB268" s="248">
        <f>LOG(Table2821115[[#This Row],[CO/17 Fold]],2)</f>
        <v>4</v>
      </c>
      <c r="DC268" s="248">
        <f>SUM(Table2821115[[#This Row],[BR/18 Log2]:[CO/17 Log2]])</f>
        <v>10</v>
      </c>
    </row>
    <row r="269" spans="1:107" ht="24" customHeight="1">
      <c r="A269" s="324">
        <v>429</v>
      </c>
      <c r="B269" s="190">
        <v>30667</v>
      </c>
      <c r="C269" s="190">
        <v>43836</v>
      </c>
      <c r="D269" s="189">
        <v>36</v>
      </c>
      <c r="E269" s="3" t="s">
        <v>61</v>
      </c>
      <c r="F269" s="143" t="s">
        <v>116</v>
      </c>
      <c r="G269" s="142">
        <v>30.599651675218155</v>
      </c>
      <c r="H269" s="11" t="s">
        <v>59</v>
      </c>
      <c r="I269" s="277" t="s">
        <v>60</v>
      </c>
      <c r="J269" s="260">
        <v>5</v>
      </c>
      <c r="K269" s="260">
        <v>5</v>
      </c>
      <c r="L269" s="260"/>
      <c r="M269" s="260"/>
      <c r="N269" s="260"/>
      <c r="O269" s="260"/>
      <c r="P269" s="260"/>
      <c r="Q269" s="260"/>
      <c r="R269" s="260"/>
      <c r="S269" s="260"/>
      <c r="T269" s="260"/>
      <c r="U269" s="260"/>
      <c r="V269" s="260">
        <v>5</v>
      </c>
      <c r="W269" s="260">
        <v>10</v>
      </c>
      <c r="X269" s="260">
        <v>20</v>
      </c>
      <c r="Y269" s="260">
        <v>40</v>
      </c>
      <c r="Z269" s="260">
        <v>20</v>
      </c>
      <c r="AA269" s="260">
        <v>40</v>
      </c>
      <c r="AB269" s="260">
        <v>20</v>
      </c>
      <c r="AC269" s="260">
        <v>20</v>
      </c>
      <c r="AD269" s="260"/>
      <c r="AE269" s="260"/>
      <c r="AF269" s="260"/>
      <c r="AG269" s="260"/>
      <c r="AH269" s="198">
        <v>429</v>
      </c>
      <c r="AI269" s="272">
        <v>20</v>
      </c>
      <c r="AJ269" s="271">
        <v>40</v>
      </c>
      <c r="AK269" s="260"/>
      <c r="AL269" s="260"/>
      <c r="AM269" s="260"/>
      <c r="AN269" s="260"/>
      <c r="AO269" s="260"/>
      <c r="AP269" s="260"/>
      <c r="AQ269" s="260"/>
      <c r="AR269" s="260"/>
      <c r="AS269" s="260"/>
      <c r="AT269" s="260"/>
      <c r="AU269" s="260">
        <v>10</v>
      </c>
      <c r="AV269" s="271">
        <v>40</v>
      </c>
      <c r="AW269" s="260">
        <v>5</v>
      </c>
      <c r="AX269" s="271">
        <v>40</v>
      </c>
      <c r="AY269" s="260">
        <v>5</v>
      </c>
      <c r="AZ269" s="271">
        <v>20</v>
      </c>
      <c r="BA269" s="276">
        <v>5</v>
      </c>
      <c r="BB269" s="276">
        <v>20</v>
      </c>
      <c r="BC269" s="276"/>
      <c r="BD269" s="276"/>
      <c r="BE269" s="276">
        <v>5</v>
      </c>
      <c r="BF269" s="276">
        <v>20</v>
      </c>
      <c r="BG269" s="260">
        <v>20</v>
      </c>
      <c r="BH269" s="271">
        <v>80</v>
      </c>
      <c r="BI269" s="276"/>
      <c r="BJ269" s="276"/>
      <c r="BK269" s="276"/>
      <c r="BL269" s="275"/>
      <c r="BM269" s="323">
        <v>429</v>
      </c>
      <c r="BN269" s="272">
        <v>40</v>
      </c>
      <c r="BO269" s="270">
        <v>40</v>
      </c>
      <c r="BP269" s="272"/>
      <c r="BQ269" s="260"/>
      <c r="BR269" s="260"/>
      <c r="BS269" s="260"/>
      <c r="BT269" s="260"/>
      <c r="BU269" s="260"/>
      <c r="BV269" s="260">
        <v>5</v>
      </c>
      <c r="BW269" s="260">
        <v>5</v>
      </c>
      <c r="BX269" s="260"/>
      <c r="BY269" s="260"/>
      <c r="BZ269" s="260"/>
      <c r="CA269" s="260"/>
      <c r="CB269" s="260"/>
      <c r="CC269" s="260"/>
      <c r="CD269" s="260">
        <v>10</v>
      </c>
      <c r="CE269" s="260">
        <v>20</v>
      </c>
      <c r="CF269" s="272"/>
      <c r="CG269" s="260"/>
      <c r="CH269" s="260"/>
      <c r="CI269" s="260"/>
      <c r="CJ269" s="260"/>
      <c r="CK269" s="260"/>
      <c r="CL269" s="260"/>
      <c r="CM269" s="260"/>
      <c r="CN269" s="260">
        <v>20</v>
      </c>
      <c r="CO269" s="260">
        <v>40</v>
      </c>
      <c r="CP269" s="260">
        <v>40</v>
      </c>
      <c r="CQ269" s="260">
        <v>40</v>
      </c>
      <c r="CR269" s="260">
        <v>20</v>
      </c>
      <c r="CS269" s="270">
        <v>40</v>
      </c>
      <c r="CT269" s="322">
        <v>429</v>
      </c>
      <c r="CU269" s="249">
        <f>Table2821115[[#This Row],[D28 - BR/18]]/Table2821115[[#This Row],[D0 - BR/18]]</f>
        <v>1</v>
      </c>
      <c r="CV269" s="248">
        <f>Table2821115[[#This Row],[D28 - KS/17]]/Table2821115[[#This Row],[D0 - KS/17]]</f>
        <v>4</v>
      </c>
      <c r="CW269" s="248">
        <f>Table2821115[[#This Row],[D28 - Phu/13]]/Table2821115[[#This Row],[D0 - Phu/13]]</f>
        <v>2</v>
      </c>
      <c r="CX269" s="248">
        <f>Table2821115[[#This Row],[D28 - CO/17]]/Table2821115[[#This Row],[D0 - CO/17]]</f>
        <v>1</v>
      </c>
      <c r="CY269" s="248">
        <f>LOG(Table2821115[[#This Row],[BR/18 Fold]],2)</f>
        <v>0</v>
      </c>
      <c r="CZ269" s="248">
        <f>LOG(Table2821115[[#This Row],[KS/17 Fold]],2)</f>
        <v>2</v>
      </c>
      <c r="DA269" s="248">
        <f>LOG(Table2821115[[#This Row],[Phu/13 Fold]],2)</f>
        <v>1</v>
      </c>
      <c r="DB269" s="248">
        <f>LOG(Table2821115[[#This Row],[CO/17 Fold]],2)</f>
        <v>0</v>
      </c>
      <c r="DC269" s="248">
        <f>SUM(Table2821115[[#This Row],[BR/18 Log2]:[CO/17 Log2]])</f>
        <v>3</v>
      </c>
    </row>
    <row r="270" spans="1:107" ht="24" customHeight="1">
      <c r="A270" s="321">
        <v>430</v>
      </c>
      <c r="B270" s="183">
        <v>36620</v>
      </c>
      <c r="C270" s="183">
        <v>43804</v>
      </c>
      <c r="D270" s="182">
        <v>19</v>
      </c>
      <c r="E270" s="3" t="s">
        <v>61</v>
      </c>
      <c r="F270" s="143" t="s">
        <v>117</v>
      </c>
      <c r="G270" s="142">
        <v>31.408609534546134</v>
      </c>
      <c r="H270" s="11" t="s">
        <v>59</v>
      </c>
      <c r="I270" s="277" t="s">
        <v>62</v>
      </c>
      <c r="J270" s="260">
        <v>5</v>
      </c>
      <c r="K270" s="260">
        <v>5</v>
      </c>
      <c r="L270" s="260"/>
      <c r="M270" s="260"/>
      <c r="N270" s="260"/>
      <c r="O270" s="260"/>
      <c r="P270" s="260"/>
      <c r="Q270" s="260"/>
      <c r="R270" s="260"/>
      <c r="S270" s="260"/>
      <c r="T270" s="260"/>
      <c r="U270" s="260"/>
      <c r="V270" s="260">
        <v>5</v>
      </c>
      <c r="W270" s="260">
        <v>5</v>
      </c>
      <c r="X270" s="260">
        <v>5</v>
      </c>
      <c r="Y270" s="260">
        <v>80</v>
      </c>
      <c r="Z270" s="260">
        <v>5</v>
      </c>
      <c r="AA270" s="260">
        <v>160</v>
      </c>
      <c r="AB270" s="260">
        <v>5</v>
      </c>
      <c r="AC270" s="260">
        <v>80</v>
      </c>
      <c r="AD270" s="260"/>
      <c r="AE270" s="260"/>
      <c r="AF270" s="260"/>
      <c r="AG270" s="260"/>
      <c r="AH270" s="32">
        <v>430</v>
      </c>
      <c r="AI270" s="272">
        <v>10</v>
      </c>
      <c r="AJ270" s="271">
        <v>20</v>
      </c>
      <c r="AK270" s="260"/>
      <c r="AL270" s="260"/>
      <c r="AM270" s="260"/>
      <c r="AN270" s="260"/>
      <c r="AO270" s="260"/>
      <c r="AP270" s="260"/>
      <c r="AQ270" s="260"/>
      <c r="AR270" s="260"/>
      <c r="AS270" s="260"/>
      <c r="AT270" s="260"/>
      <c r="AU270" s="260">
        <v>40</v>
      </c>
      <c r="AV270" s="271">
        <v>40</v>
      </c>
      <c r="AW270" s="260">
        <v>20</v>
      </c>
      <c r="AX270" s="271">
        <v>40</v>
      </c>
      <c r="AY270" s="260">
        <v>5</v>
      </c>
      <c r="AZ270" s="271">
        <v>40</v>
      </c>
      <c r="BA270" s="276">
        <v>20</v>
      </c>
      <c r="BB270" s="276">
        <v>40</v>
      </c>
      <c r="BC270" s="276"/>
      <c r="BD270" s="276"/>
      <c r="BE270" s="276">
        <v>20</v>
      </c>
      <c r="BF270" s="276">
        <v>40</v>
      </c>
      <c r="BG270" s="260">
        <v>40</v>
      </c>
      <c r="BH270" s="271">
        <v>80</v>
      </c>
      <c r="BI270" s="276"/>
      <c r="BJ270" s="276"/>
      <c r="BK270" s="276"/>
      <c r="BL270" s="275"/>
      <c r="BM270" s="320">
        <v>430</v>
      </c>
      <c r="BN270" s="272">
        <v>20</v>
      </c>
      <c r="BO270" s="270">
        <v>160</v>
      </c>
      <c r="BP270" s="272"/>
      <c r="BQ270" s="260"/>
      <c r="BR270" s="260"/>
      <c r="BS270" s="260"/>
      <c r="BT270" s="260"/>
      <c r="BU270" s="260"/>
      <c r="BV270" s="260">
        <v>5</v>
      </c>
      <c r="BW270" s="260">
        <v>20</v>
      </c>
      <c r="BX270" s="260"/>
      <c r="BY270" s="260"/>
      <c r="BZ270" s="260"/>
      <c r="CA270" s="260"/>
      <c r="CB270" s="260"/>
      <c r="CC270" s="260"/>
      <c r="CD270" s="260">
        <v>5</v>
      </c>
      <c r="CE270" s="260">
        <v>80</v>
      </c>
      <c r="CF270" s="272"/>
      <c r="CG270" s="260"/>
      <c r="CH270" s="260"/>
      <c r="CI270" s="260"/>
      <c r="CJ270" s="260"/>
      <c r="CK270" s="260"/>
      <c r="CL270" s="260"/>
      <c r="CM270" s="260"/>
      <c r="CN270" s="260">
        <v>5</v>
      </c>
      <c r="CO270" s="260">
        <v>80</v>
      </c>
      <c r="CP270" s="260">
        <v>10</v>
      </c>
      <c r="CQ270" s="260">
        <v>40</v>
      </c>
      <c r="CR270" s="260">
        <v>5</v>
      </c>
      <c r="CS270" s="270">
        <v>40</v>
      </c>
      <c r="CT270" s="319">
        <v>430</v>
      </c>
      <c r="CU270" s="249">
        <f>Table2821115[[#This Row],[D28 - BR/18]]/Table2821115[[#This Row],[D0 - BR/18]]</f>
        <v>16</v>
      </c>
      <c r="CV270" s="248">
        <f>Table2821115[[#This Row],[D28 - KS/17]]/Table2821115[[#This Row],[D0 - KS/17]]</f>
        <v>2</v>
      </c>
      <c r="CW270" s="248">
        <f>Table2821115[[#This Row],[D28 - Phu/13]]/Table2821115[[#This Row],[D0 - Phu/13]]</f>
        <v>16</v>
      </c>
      <c r="CX270" s="248">
        <f>Table2821115[[#This Row],[D28 - CO/17]]/Table2821115[[#This Row],[D0 - CO/17]]</f>
        <v>4</v>
      </c>
      <c r="CY270" s="248">
        <f>LOG(Table2821115[[#This Row],[BR/18 Fold]],2)</f>
        <v>4</v>
      </c>
      <c r="CZ270" s="248">
        <f>LOG(Table2821115[[#This Row],[KS/17 Fold]],2)</f>
        <v>1</v>
      </c>
      <c r="DA270" s="248">
        <f>LOG(Table2821115[[#This Row],[Phu/13 Fold]],2)</f>
        <v>4</v>
      </c>
      <c r="DB270" s="248">
        <f>LOG(Table2821115[[#This Row],[CO/17 Fold]],2)</f>
        <v>2</v>
      </c>
      <c r="DC270" s="248">
        <f>SUM(Table2821115[[#This Row],[BR/18 Log2]:[CO/17 Log2]])</f>
        <v>11</v>
      </c>
    </row>
    <row r="271" spans="1:107" ht="24" customHeight="1">
      <c r="A271" s="324">
        <v>431</v>
      </c>
      <c r="B271" s="190">
        <v>26282</v>
      </c>
      <c r="C271" s="190">
        <v>43783</v>
      </c>
      <c r="D271" s="189">
        <v>47</v>
      </c>
      <c r="E271" s="3" t="s">
        <v>61</v>
      </c>
      <c r="F271" s="143" t="s">
        <v>116</v>
      </c>
      <c r="G271" s="142">
        <v>26.984735014554701</v>
      </c>
      <c r="H271" s="11" t="s">
        <v>59</v>
      </c>
      <c r="I271" s="277" t="s">
        <v>60</v>
      </c>
      <c r="J271" s="260">
        <v>5</v>
      </c>
      <c r="K271" s="260">
        <v>5</v>
      </c>
      <c r="L271" s="260"/>
      <c r="M271" s="260"/>
      <c r="N271" s="260"/>
      <c r="O271" s="260"/>
      <c r="P271" s="260"/>
      <c r="Q271" s="260"/>
      <c r="R271" s="260"/>
      <c r="S271" s="260"/>
      <c r="T271" s="260"/>
      <c r="U271" s="260"/>
      <c r="V271" s="260">
        <v>5</v>
      </c>
      <c r="W271" s="260">
        <v>5</v>
      </c>
      <c r="X271" s="260">
        <v>20</v>
      </c>
      <c r="Y271" s="260">
        <v>20</v>
      </c>
      <c r="Z271" s="260">
        <v>40</v>
      </c>
      <c r="AA271" s="260">
        <v>5</v>
      </c>
      <c r="AB271" s="260">
        <v>40</v>
      </c>
      <c r="AC271" s="260">
        <v>40</v>
      </c>
      <c r="AD271" s="260"/>
      <c r="AE271" s="260"/>
      <c r="AF271" s="260"/>
      <c r="AG271" s="260"/>
      <c r="AH271" s="198">
        <v>431</v>
      </c>
      <c r="AI271" s="272">
        <v>5</v>
      </c>
      <c r="AJ271" s="271">
        <v>10</v>
      </c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/>
      <c r="AU271" s="260">
        <v>20</v>
      </c>
      <c r="AV271" s="271">
        <v>20</v>
      </c>
      <c r="AW271" s="260">
        <v>20</v>
      </c>
      <c r="AX271" s="271">
        <v>20</v>
      </c>
      <c r="AY271" s="260">
        <v>5</v>
      </c>
      <c r="AZ271" s="271">
        <v>5</v>
      </c>
      <c r="BA271" s="276">
        <v>5</v>
      </c>
      <c r="BB271" s="276">
        <v>10</v>
      </c>
      <c r="BC271" s="276"/>
      <c r="BD271" s="276"/>
      <c r="BE271" s="276">
        <v>5</v>
      </c>
      <c r="BF271" s="276">
        <v>10</v>
      </c>
      <c r="BG271" s="260">
        <v>20</v>
      </c>
      <c r="BH271" s="271">
        <v>40</v>
      </c>
      <c r="BI271" s="276"/>
      <c r="BJ271" s="276"/>
      <c r="BK271" s="276"/>
      <c r="BL271" s="275"/>
      <c r="BM271" s="323">
        <v>431</v>
      </c>
      <c r="BN271" s="272">
        <v>10</v>
      </c>
      <c r="BO271" s="270">
        <v>20</v>
      </c>
      <c r="BP271" s="272"/>
      <c r="BQ271" s="260"/>
      <c r="BR271" s="260"/>
      <c r="BS271" s="260"/>
      <c r="BT271" s="260"/>
      <c r="BU271" s="260"/>
      <c r="BV271" s="260">
        <v>160</v>
      </c>
      <c r="BW271" s="260">
        <v>320</v>
      </c>
      <c r="BX271" s="260"/>
      <c r="BY271" s="260"/>
      <c r="BZ271" s="260"/>
      <c r="CA271" s="260"/>
      <c r="CB271" s="260"/>
      <c r="CC271" s="260"/>
      <c r="CD271" s="260">
        <v>80</v>
      </c>
      <c r="CE271" s="260">
        <v>160</v>
      </c>
      <c r="CF271" s="272"/>
      <c r="CG271" s="260"/>
      <c r="CH271" s="260"/>
      <c r="CI271" s="260"/>
      <c r="CJ271" s="260"/>
      <c r="CK271" s="260"/>
      <c r="CL271" s="260"/>
      <c r="CM271" s="260"/>
      <c r="CN271" s="260">
        <v>160</v>
      </c>
      <c r="CO271" s="260">
        <v>320</v>
      </c>
      <c r="CP271" s="260">
        <v>640</v>
      </c>
      <c r="CQ271" s="260">
        <v>640</v>
      </c>
      <c r="CR271" s="260">
        <v>640</v>
      </c>
      <c r="CS271" s="270">
        <v>640</v>
      </c>
      <c r="CT271" s="322">
        <v>431</v>
      </c>
      <c r="CU271" s="249">
        <f>Table2821115[[#This Row],[D28 - BR/18]]/Table2821115[[#This Row],[D0 - BR/18]]</f>
        <v>1</v>
      </c>
      <c r="CV271" s="248">
        <f>Table2821115[[#This Row],[D28 - KS/17]]/Table2821115[[#This Row],[D0 - KS/17]]</f>
        <v>2</v>
      </c>
      <c r="CW271" s="248">
        <f>Table2821115[[#This Row],[D28 - Phu/13]]/Table2821115[[#This Row],[D0 - Phu/13]]</f>
        <v>2</v>
      </c>
      <c r="CX271" s="248">
        <f>Table2821115[[#This Row],[D28 - CO/17]]/Table2821115[[#This Row],[D0 - CO/17]]</f>
        <v>1</v>
      </c>
      <c r="CY271" s="248">
        <f>LOG(Table2821115[[#This Row],[BR/18 Fold]],2)</f>
        <v>0</v>
      </c>
      <c r="CZ271" s="248">
        <f>LOG(Table2821115[[#This Row],[KS/17 Fold]],2)</f>
        <v>1</v>
      </c>
      <c r="DA271" s="248">
        <f>LOG(Table2821115[[#This Row],[Phu/13 Fold]],2)</f>
        <v>1</v>
      </c>
      <c r="DB271" s="248">
        <f>LOG(Table2821115[[#This Row],[CO/17 Fold]],2)</f>
        <v>0</v>
      </c>
      <c r="DC271" s="248">
        <f>SUM(Table2821115[[#This Row],[BR/18 Log2]:[CO/17 Log2]])</f>
        <v>2</v>
      </c>
    </row>
    <row r="272" spans="1:107" ht="24" customHeight="1">
      <c r="A272" s="318">
        <v>432</v>
      </c>
      <c r="B272" s="180">
        <v>23334</v>
      </c>
      <c r="C272" s="180">
        <v>43789</v>
      </c>
      <c r="D272" s="179">
        <v>56</v>
      </c>
      <c r="E272" s="4" t="s">
        <v>58</v>
      </c>
      <c r="F272" s="143" t="s">
        <v>116</v>
      </c>
      <c r="G272" s="142">
        <v>28.826723433137428</v>
      </c>
      <c r="H272" s="11" t="s">
        <v>59</v>
      </c>
      <c r="I272" s="277" t="s">
        <v>62</v>
      </c>
      <c r="J272" s="260">
        <v>5</v>
      </c>
      <c r="K272" s="260">
        <v>5</v>
      </c>
      <c r="L272" s="260"/>
      <c r="M272" s="260"/>
      <c r="N272" s="260"/>
      <c r="O272" s="260"/>
      <c r="P272" s="260"/>
      <c r="Q272" s="260"/>
      <c r="R272" s="260"/>
      <c r="S272" s="260"/>
      <c r="T272" s="260"/>
      <c r="U272" s="260"/>
      <c r="V272" s="260">
        <v>5</v>
      </c>
      <c r="W272" s="260">
        <v>5</v>
      </c>
      <c r="X272" s="260">
        <v>5</v>
      </c>
      <c r="Y272" s="260">
        <v>80</v>
      </c>
      <c r="Z272" s="260">
        <v>5</v>
      </c>
      <c r="AA272" s="260">
        <v>160</v>
      </c>
      <c r="AB272" s="260">
        <v>5</v>
      </c>
      <c r="AC272" s="260">
        <v>160</v>
      </c>
      <c r="AD272" s="260"/>
      <c r="AE272" s="260"/>
      <c r="AF272" s="260"/>
      <c r="AG272" s="260"/>
      <c r="AH272" s="195">
        <v>432</v>
      </c>
      <c r="AI272" s="272">
        <v>5</v>
      </c>
      <c r="AJ272" s="271">
        <v>10</v>
      </c>
      <c r="AK272" s="260"/>
      <c r="AL272" s="260"/>
      <c r="AM272" s="260"/>
      <c r="AN272" s="260"/>
      <c r="AO272" s="260"/>
      <c r="AP272" s="260"/>
      <c r="AQ272" s="260"/>
      <c r="AR272" s="260"/>
      <c r="AS272" s="260"/>
      <c r="AT272" s="260"/>
      <c r="AU272" s="260">
        <v>10</v>
      </c>
      <c r="AV272" s="271">
        <v>40</v>
      </c>
      <c r="AW272" s="260">
        <v>5</v>
      </c>
      <c r="AX272" s="271">
        <v>40</v>
      </c>
      <c r="AY272" s="260">
        <v>5</v>
      </c>
      <c r="AZ272" s="271">
        <v>5</v>
      </c>
      <c r="BA272" s="276">
        <v>5</v>
      </c>
      <c r="BB272" s="276">
        <v>40</v>
      </c>
      <c r="BC272" s="276"/>
      <c r="BD272" s="276"/>
      <c r="BE272" s="276">
        <v>5</v>
      </c>
      <c r="BF272" s="276">
        <v>40</v>
      </c>
      <c r="BG272" s="260">
        <v>10</v>
      </c>
      <c r="BH272" s="271">
        <v>80</v>
      </c>
      <c r="BI272" s="276"/>
      <c r="BJ272" s="276"/>
      <c r="BK272" s="276"/>
      <c r="BL272" s="275"/>
      <c r="BM272" s="316">
        <v>432</v>
      </c>
      <c r="BN272" s="272">
        <v>5</v>
      </c>
      <c r="BO272" s="270">
        <v>40</v>
      </c>
      <c r="BP272" s="272"/>
      <c r="BQ272" s="260"/>
      <c r="BR272" s="260"/>
      <c r="BS272" s="260"/>
      <c r="BT272" s="260"/>
      <c r="BU272" s="260"/>
      <c r="BV272" s="260">
        <v>5</v>
      </c>
      <c r="BW272" s="260">
        <v>5</v>
      </c>
      <c r="BX272" s="260"/>
      <c r="BY272" s="260"/>
      <c r="BZ272" s="260"/>
      <c r="CA272" s="260"/>
      <c r="CB272" s="260"/>
      <c r="CC272" s="260"/>
      <c r="CD272" s="260">
        <v>5</v>
      </c>
      <c r="CE272" s="260">
        <v>10</v>
      </c>
      <c r="CF272" s="272"/>
      <c r="CG272" s="260"/>
      <c r="CH272" s="260"/>
      <c r="CI272" s="260"/>
      <c r="CJ272" s="260"/>
      <c r="CK272" s="260"/>
      <c r="CL272" s="260"/>
      <c r="CM272" s="260"/>
      <c r="CN272" s="260">
        <v>5</v>
      </c>
      <c r="CO272" s="260">
        <v>40</v>
      </c>
      <c r="CP272" s="260">
        <v>5</v>
      </c>
      <c r="CQ272" s="260">
        <v>160</v>
      </c>
      <c r="CR272" s="260">
        <v>5</v>
      </c>
      <c r="CS272" s="270">
        <v>160</v>
      </c>
      <c r="CT272" s="315">
        <v>432</v>
      </c>
      <c r="CU272" s="249">
        <f>Table2821115[[#This Row],[D28 - BR/18]]/Table2821115[[#This Row],[D0 - BR/18]]</f>
        <v>32</v>
      </c>
      <c r="CV272" s="248">
        <f>Table2821115[[#This Row],[D28 - KS/17]]/Table2821115[[#This Row],[D0 - KS/17]]</f>
        <v>8</v>
      </c>
      <c r="CW272" s="248">
        <f>Table2821115[[#This Row],[D28 - Phu/13]]/Table2821115[[#This Row],[D0 - Phu/13]]</f>
        <v>2</v>
      </c>
      <c r="CX272" s="248">
        <f>Table2821115[[#This Row],[D28 - CO/17]]/Table2821115[[#This Row],[D0 - CO/17]]</f>
        <v>32</v>
      </c>
      <c r="CY272" s="248">
        <f>LOG(Table2821115[[#This Row],[BR/18 Fold]],2)</f>
        <v>5</v>
      </c>
      <c r="CZ272" s="248">
        <f>LOG(Table2821115[[#This Row],[KS/17 Fold]],2)</f>
        <v>3</v>
      </c>
      <c r="DA272" s="248">
        <f>LOG(Table2821115[[#This Row],[Phu/13 Fold]],2)</f>
        <v>1</v>
      </c>
      <c r="DB272" s="248">
        <f>LOG(Table2821115[[#This Row],[CO/17 Fold]],2)</f>
        <v>5</v>
      </c>
      <c r="DC272" s="248">
        <f>SUM(Table2821115[[#This Row],[BR/18 Log2]:[CO/17 Log2]])</f>
        <v>14</v>
      </c>
    </row>
    <row r="273" spans="1:107" ht="24" customHeight="1">
      <c r="A273" s="330">
        <v>433</v>
      </c>
      <c r="B273" s="210">
        <v>16983</v>
      </c>
      <c r="C273" s="210">
        <v>43789</v>
      </c>
      <c r="D273" s="209">
        <v>73</v>
      </c>
      <c r="E273" s="4" t="s">
        <v>58</v>
      </c>
      <c r="F273" s="143" t="s">
        <v>116</v>
      </c>
      <c r="G273" s="142">
        <v>32.76058709484068</v>
      </c>
      <c r="H273" s="5" t="s">
        <v>64</v>
      </c>
      <c r="I273" s="277" t="s">
        <v>60</v>
      </c>
      <c r="J273" s="260">
        <v>5</v>
      </c>
      <c r="K273" s="260">
        <v>5</v>
      </c>
      <c r="L273" s="260"/>
      <c r="M273" s="260"/>
      <c r="N273" s="260"/>
      <c r="O273" s="260"/>
      <c r="P273" s="260"/>
      <c r="Q273" s="260"/>
      <c r="R273" s="260"/>
      <c r="S273" s="260"/>
      <c r="T273" s="260"/>
      <c r="U273" s="260"/>
      <c r="V273" s="260">
        <v>5</v>
      </c>
      <c r="W273" s="260">
        <v>5</v>
      </c>
      <c r="X273" s="260">
        <v>5</v>
      </c>
      <c r="Y273" s="260">
        <v>80</v>
      </c>
      <c r="Z273" s="260">
        <v>10</v>
      </c>
      <c r="AA273" s="260">
        <v>160</v>
      </c>
      <c r="AB273" s="260">
        <v>10</v>
      </c>
      <c r="AC273" s="260">
        <v>80</v>
      </c>
      <c r="AD273" s="260"/>
      <c r="AE273" s="260"/>
      <c r="AF273" s="260"/>
      <c r="AG273" s="260"/>
      <c r="AH273" s="208">
        <v>433</v>
      </c>
      <c r="AI273" s="272">
        <v>10</v>
      </c>
      <c r="AJ273" s="271">
        <v>40</v>
      </c>
      <c r="AK273" s="260"/>
      <c r="AL273" s="260"/>
      <c r="AM273" s="260"/>
      <c r="AN273" s="260"/>
      <c r="AO273" s="260"/>
      <c r="AP273" s="260"/>
      <c r="AQ273" s="260"/>
      <c r="AR273" s="260"/>
      <c r="AS273" s="260"/>
      <c r="AT273" s="260"/>
      <c r="AU273" s="260">
        <v>40</v>
      </c>
      <c r="AV273" s="271">
        <v>640</v>
      </c>
      <c r="AW273" s="260">
        <v>80</v>
      </c>
      <c r="AX273" s="271">
        <v>1280</v>
      </c>
      <c r="AY273" s="260">
        <v>5</v>
      </c>
      <c r="AZ273" s="271">
        <v>640</v>
      </c>
      <c r="BA273" s="276">
        <v>40</v>
      </c>
      <c r="BB273" s="276">
        <v>640</v>
      </c>
      <c r="BC273" s="276"/>
      <c r="BD273" s="276"/>
      <c r="BE273" s="276">
        <v>20</v>
      </c>
      <c r="BF273" s="276">
        <v>320</v>
      </c>
      <c r="BG273" s="260">
        <v>80</v>
      </c>
      <c r="BH273" s="271">
        <v>1280</v>
      </c>
      <c r="BI273" s="276"/>
      <c r="BJ273" s="276"/>
      <c r="BK273" s="276"/>
      <c r="BL273" s="275"/>
      <c r="BM273" s="329">
        <v>433</v>
      </c>
      <c r="BN273" s="272">
        <v>20</v>
      </c>
      <c r="BO273" s="270">
        <v>160</v>
      </c>
      <c r="BP273" s="272"/>
      <c r="BQ273" s="260"/>
      <c r="BR273" s="260"/>
      <c r="BS273" s="260"/>
      <c r="BT273" s="260"/>
      <c r="BU273" s="260"/>
      <c r="BV273" s="260">
        <v>5</v>
      </c>
      <c r="BW273" s="260">
        <v>5</v>
      </c>
      <c r="BX273" s="260"/>
      <c r="BY273" s="260"/>
      <c r="BZ273" s="260"/>
      <c r="CA273" s="260"/>
      <c r="CB273" s="260"/>
      <c r="CC273" s="260"/>
      <c r="CD273" s="260">
        <v>10</v>
      </c>
      <c r="CE273" s="260">
        <v>40</v>
      </c>
      <c r="CF273" s="272"/>
      <c r="CG273" s="260"/>
      <c r="CH273" s="260"/>
      <c r="CI273" s="260"/>
      <c r="CJ273" s="260"/>
      <c r="CK273" s="260"/>
      <c r="CL273" s="260"/>
      <c r="CM273" s="260"/>
      <c r="CN273" s="260">
        <v>10</v>
      </c>
      <c r="CO273" s="260">
        <v>80</v>
      </c>
      <c r="CP273" s="260">
        <v>20</v>
      </c>
      <c r="CQ273" s="260">
        <v>80</v>
      </c>
      <c r="CR273" s="260">
        <v>40</v>
      </c>
      <c r="CS273" s="270">
        <v>160</v>
      </c>
      <c r="CT273" s="328">
        <v>433</v>
      </c>
      <c r="CU273" s="249">
        <f>Table2821115[[#This Row],[D28 - BR/18]]/Table2821115[[#This Row],[D0 - BR/18]]</f>
        <v>8</v>
      </c>
      <c r="CV273" s="248">
        <f>Table2821115[[#This Row],[D28 - KS/17]]/Table2821115[[#This Row],[D0 - KS/17]]</f>
        <v>16</v>
      </c>
      <c r="CW273" s="248">
        <f>Table2821115[[#This Row],[D28 - Phu/13]]/Table2821115[[#This Row],[D0 - Phu/13]]</f>
        <v>4</v>
      </c>
      <c r="CX273" s="248">
        <f>Table2821115[[#This Row],[D28 - CO/17]]/Table2821115[[#This Row],[D0 - CO/17]]</f>
        <v>4</v>
      </c>
      <c r="CY273" s="248">
        <f>LOG(Table2821115[[#This Row],[BR/18 Fold]],2)</f>
        <v>3</v>
      </c>
      <c r="CZ273" s="248">
        <f>LOG(Table2821115[[#This Row],[KS/17 Fold]],2)</f>
        <v>4</v>
      </c>
      <c r="DA273" s="248">
        <f>LOG(Table2821115[[#This Row],[Phu/13 Fold]],2)</f>
        <v>2</v>
      </c>
      <c r="DB273" s="248">
        <f>LOG(Table2821115[[#This Row],[CO/17 Fold]],2)</f>
        <v>2</v>
      </c>
      <c r="DC273" s="248">
        <f>SUM(Table2821115[[#This Row],[BR/18 Log2]:[CO/17 Log2]])</f>
        <v>11</v>
      </c>
    </row>
    <row r="274" spans="1:107" ht="24" customHeight="1">
      <c r="A274" s="324">
        <v>434</v>
      </c>
      <c r="B274" s="190">
        <v>28986</v>
      </c>
      <c r="C274" s="190">
        <v>43783</v>
      </c>
      <c r="D274" s="189">
        <v>40</v>
      </c>
      <c r="E274" s="3" t="s">
        <v>61</v>
      </c>
      <c r="F274" s="143" t="s">
        <v>116</v>
      </c>
      <c r="G274" s="142">
        <v>20.947258585521194</v>
      </c>
      <c r="H274" s="11" t="s">
        <v>59</v>
      </c>
      <c r="I274" s="277" t="s">
        <v>60</v>
      </c>
      <c r="J274" s="260">
        <v>5</v>
      </c>
      <c r="K274" s="260">
        <v>5</v>
      </c>
      <c r="L274" s="260"/>
      <c r="M274" s="260"/>
      <c r="N274" s="260"/>
      <c r="O274" s="260"/>
      <c r="P274" s="260"/>
      <c r="Q274" s="260"/>
      <c r="R274" s="260"/>
      <c r="S274" s="260"/>
      <c r="T274" s="260"/>
      <c r="U274" s="260"/>
      <c r="V274" s="260">
        <v>5</v>
      </c>
      <c r="W274" s="260">
        <v>5</v>
      </c>
      <c r="X274" s="260">
        <v>160</v>
      </c>
      <c r="Y274" s="260">
        <v>160</v>
      </c>
      <c r="Z274" s="260">
        <v>40</v>
      </c>
      <c r="AA274" s="260">
        <v>80</v>
      </c>
      <c r="AB274" s="260">
        <v>20</v>
      </c>
      <c r="AC274" s="260">
        <v>40</v>
      </c>
      <c r="AD274" s="260"/>
      <c r="AE274" s="260"/>
      <c r="AF274" s="260"/>
      <c r="AG274" s="260"/>
      <c r="AH274" s="198">
        <v>434</v>
      </c>
      <c r="AI274" s="272">
        <v>20</v>
      </c>
      <c r="AJ274" s="271">
        <v>20</v>
      </c>
      <c r="AK274" s="260"/>
      <c r="AL274" s="260"/>
      <c r="AM274" s="260"/>
      <c r="AN274" s="260"/>
      <c r="AO274" s="260"/>
      <c r="AP274" s="260"/>
      <c r="AQ274" s="260"/>
      <c r="AR274" s="260"/>
      <c r="AS274" s="260"/>
      <c r="AT274" s="260"/>
      <c r="AU274" s="260">
        <v>80</v>
      </c>
      <c r="AV274" s="271">
        <v>80</v>
      </c>
      <c r="AW274" s="260">
        <v>80</v>
      </c>
      <c r="AX274" s="271">
        <v>80</v>
      </c>
      <c r="AY274" s="260">
        <v>40</v>
      </c>
      <c r="AZ274" s="271">
        <v>40</v>
      </c>
      <c r="BA274" s="276">
        <v>40</v>
      </c>
      <c r="BB274" s="276">
        <v>40</v>
      </c>
      <c r="BC274" s="276"/>
      <c r="BD274" s="276"/>
      <c r="BE274" s="276">
        <v>40</v>
      </c>
      <c r="BF274" s="276">
        <v>40</v>
      </c>
      <c r="BG274" s="260">
        <v>80</v>
      </c>
      <c r="BH274" s="271">
        <v>80</v>
      </c>
      <c r="BI274" s="276"/>
      <c r="BJ274" s="276"/>
      <c r="BK274" s="276"/>
      <c r="BL274" s="275"/>
      <c r="BM274" s="323">
        <v>434</v>
      </c>
      <c r="BN274" s="272">
        <v>40</v>
      </c>
      <c r="BO274" s="270">
        <v>40</v>
      </c>
      <c r="BP274" s="272"/>
      <c r="BQ274" s="260"/>
      <c r="BR274" s="260"/>
      <c r="BS274" s="260"/>
      <c r="BT274" s="260"/>
      <c r="BU274" s="260"/>
      <c r="BV274" s="260">
        <v>80</v>
      </c>
      <c r="BW274" s="260">
        <v>80</v>
      </c>
      <c r="BX274" s="260"/>
      <c r="BY274" s="260"/>
      <c r="BZ274" s="260"/>
      <c r="CA274" s="260"/>
      <c r="CB274" s="260"/>
      <c r="CC274" s="260"/>
      <c r="CD274" s="260">
        <v>40</v>
      </c>
      <c r="CE274" s="260">
        <v>80</v>
      </c>
      <c r="CF274" s="272"/>
      <c r="CG274" s="260"/>
      <c r="CH274" s="260"/>
      <c r="CI274" s="260"/>
      <c r="CJ274" s="260"/>
      <c r="CK274" s="260"/>
      <c r="CL274" s="260"/>
      <c r="CM274" s="260"/>
      <c r="CN274" s="260">
        <v>80</v>
      </c>
      <c r="CO274" s="260">
        <v>80</v>
      </c>
      <c r="CP274" s="260">
        <v>160</v>
      </c>
      <c r="CQ274" s="260">
        <v>160</v>
      </c>
      <c r="CR274" s="260">
        <v>160</v>
      </c>
      <c r="CS274" s="270">
        <v>160</v>
      </c>
      <c r="CT274" s="322">
        <v>434</v>
      </c>
      <c r="CU274" s="249">
        <f>Table2821115[[#This Row],[D28 - BR/18]]/Table2821115[[#This Row],[D0 - BR/18]]</f>
        <v>2</v>
      </c>
      <c r="CV274" s="248">
        <f>Table2821115[[#This Row],[D28 - KS/17]]/Table2821115[[#This Row],[D0 - KS/17]]</f>
        <v>1</v>
      </c>
      <c r="CW274" s="248">
        <f>Table2821115[[#This Row],[D28 - Phu/13]]/Table2821115[[#This Row],[D0 - Phu/13]]</f>
        <v>2</v>
      </c>
      <c r="CX274" s="248">
        <f>Table2821115[[#This Row],[D28 - CO/17]]/Table2821115[[#This Row],[D0 - CO/17]]</f>
        <v>1</v>
      </c>
      <c r="CY274" s="248">
        <f>LOG(Table2821115[[#This Row],[BR/18 Fold]],2)</f>
        <v>1</v>
      </c>
      <c r="CZ274" s="248">
        <f>LOG(Table2821115[[#This Row],[KS/17 Fold]],2)</f>
        <v>0</v>
      </c>
      <c r="DA274" s="248">
        <f>LOG(Table2821115[[#This Row],[Phu/13 Fold]],2)</f>
        <v>1</v>
      </c>
      <c r="DB274" s="248">
        <f>LOG(Table2821115[[#This Row],[CO/17 Fold]],2)</f>
        <v>0</v>
      </c>
      <c r="DC274" s="248">
        <f>SUM(Table2821115[[#This Row],[BR/18 Log2]:[CO/17 Log2]])</f>
        <v>2</v>
      </c>
    </row>
    <row r="275" spans="1:107" ht="24" customHeight="1">
      <c r="A275" s="321">
        <v>436</v>
      </c>
      <c r="B275" s="183">
        <v>34882</v>
      </c>
      <c r="C275" s="183">
        <v>43803</v>
      </c>
      <c r="D275" s="182">
        <v>24</v>
      </c>
      <c r="E275" s="3" t="s">
        <v>61</v>
      </c>
      <c r="F275" s="143" t="s">
        <v>116</v>
      </c>
      <c r="G275" s="142">
        <v>22.66532865229475</v>
      </c>
      <c r="H275" s="11" t="s">
        <v>59</v>
      </c>
      <c r="I275" s="277" t="s">
        <v>60</v>
      </c>
      <c r="J275" s="260">
        <v>5</v>
      </c>
      <c r="K275" s="260">
        <v>5</v>
      </c>
      <c r="L275" s="260"/>
      <c r="M275" s="260"/>
      <c r="N275" s="260"/>
      <c r="O275" s="260"/>
      <c r="P275" s="260"/>
      <c r="Q275" s="260"/>
      <c r="R275" s="260"/>
      <c r="S275" s="260"/>
      <c r="T275" s="260"/>
      <c r="U275" s="260"/>
      <c r="V275" s="260">
        <v>5</v>
      </c>
      <c r="W275" s="260">
        <v>10</v>
      </c>
      <c r="X275" s="260">
        <v>5</v>
      </c>
      <c r="Y275" s="260">
        <v>160</v>
      </c>
      <c r="Z275" s="260">
        <v>10</v>
      </c>
      <c r="AA275" s="260">
        <v>320</v>
      </c>
      <c r="AB275" s="260">
        <v>5</v>
      </c>
      <c r="AC275" s="260">
        <v>160</v>
      </c>
      <c r="AD275" s="260"/>
      <c r="AE275" s="260"/>
      <c r="AF275" s="260"/>
      <c r="AG275" s="260"/>
      <c r="AH275" s="32">
        <v>436</v>
      </c>
      <c r="AI275" s="272">
        <v>80</v>
      </c>
      <c r="AJ275" s="271">
        <v>160</v>
      </c>
      <c r="AK275" s="260"/>
      <c r="AL275" s="260"/>
      <c r="AM275" s="260"/>
      <c r="AN275" s="260"/>
      <c r="AO275" s="260"/>
      <c r="AP275" s="260"/>
      <c r="AQ275" s="260"/>
      <c r="AR275" s="260"/>
      <c r="AS275" s="260"/>
      <c r="AT275" s="260"/>
      <c r="AU275" s="260">
        <v>40</v>
      </c>
      <c r="AV275" s="271">
        <v>320</v>
      </c>
      <c r="AW275" s="260">
        <v>40</v>
      </c>
      <c r="AX275" s="271">
        <v>320</v>
      </c>
      <c r="AY275" s="260">
        <v>40</v>
      </c>
      <c r="AZ275" s="271">
        <v>160</v>
      </c>
      <c r="BA275" s="276">
        <v>40</v>
      </c>
      <c r="BB275" s="276">
        <v>160</v>
      </c>
      <c r="BC275" s="276"/>
      <c r="BD275" s="276"/>
      <c r="BE275" s="276">
        <v>20</v>
      </c>
      <c r="BF275" s="276">
        <v>160</v>
      </c>
      <c r="BG275" s="260">
        <v>160</v>
      </c>
      <c r="BH275" s="271">
        <v>320</v>
      </c>
      <c r="BI275" s="276"/>
      <c r="BJ275" s="276"/>
      <c r="BK275" s="276"/>
      <c r="BL275" s="275"/>
      <c r="BM275" s="320">
        <v>436</v>
      </c>
      <c r="BN275" s="272">
        <v>40</v>
      </c>
      <c r="BO275" s="270">
        <v>80</v>
      </c>
      <c r="BP275" s="272"/>
      <c r="BQ275" s="260"/>
      <c r="BR275" s="260"/>
      <c r="BS275" s="260"/>
      <c r="BT275" s="260"/>
      <c r="BU275" s="260"/>
      <c r="BV275" s="260">
        <v>5</v>
      </c>
      <c r="BW275" s="260">
        <v>5</v>
      </c>
      <c r="BX275" s="260"/>
      <c r="BY275" s="260"/>
      <c r="BZ275" s="260"/>
      <c r="CA275" s="260"/>
      <c r="CB275" s="260"/>
      <c r="CC275" s="260"/>
      <c r="CD275" s="260">
        <v>40</v>
      </c>
      <c r="CE275" s="260">
        <v>80</v>
      </c>
      <c r="CF275" s="272"/>
      <c r="CG275" s="260"/>
      <c r="CH275" s="260"/>
      <c r="CI275" s="260"/>
      <c r="CJ275" s="260"/>
      <c r="CK275" s="260"/>
      <c r="CL275" s="260"/>
      <c r="CM275" s="260"/>
      <c r="CN275" s="260">
        <v>20</v>
      </c>
      <c r="CO275" s="260">
        <v>40</v>
      </c>
      <c r="CP275" s="260">
        <v>40</v>
      </c>
      <c r="CQ275" s="260">
        <v>40</v>
      </c>
      <c r="CR275" s="260">
        <v>20</v>
      </c>
      <c r="CS275" s="270">
        <v>40</v>
      </c>
      <c r="CT275" s="319">
        <v>436</v>
      </c>
      <c r="CU275" s="249">
        <f>Table2821115[[#This Row],[D28 - BR/18]]/Table2821115[[#This Row],[D0 - BR/18]]</f>
        <v>32</v>
      </c>
      <c r="CV275" s="248">
        <f>Table2821115[[#This Row],[D28 - KS/17]]/Table2821115[[#This Row],[D0 - KS/17]]</f>
        <v>8</v>
      </c>
      <c r="CW275" s="248">
        <f>Table2821115[[#This Row],[D28 - Phu/13]]/Table2821115[[#This Row],[D0 - Phu/13]]</f>
        <v>2</v>
      </c>
      <c r="CX275" s="248">
        <f>Table2821115[[#This Row],[D28 - CO/17]]/Table2821115[[#This Row],[D0 - CO/17]]</f>
        <v>1</v>
      </c>
      <c r="CY275" s="248">
        <f>LOG(Table2821115[[#This Row],[BR/18 Fold]],2)</f>
        <v>5</v>
      </c>
      <c r="CZ275" s="248">
        <f>LOG(Table2821115[[#This Row],[KS/17 Fold]],2)</f>
        <v>3</v>
      </c>
      <c r="DA275" s="248">
        <f>LOG(Table2821115[[#This Row],[Phu/13 Fold]],2)</f>
        <v>1</v>
      </c>
      <c r="DB275" s="248">
        <f>LOG(Table2821115[[#This Row],[CO/17 Fold]],2)</f>
        <v>0</v>
      </c>
      <c r="DC275" s="248">
        <f>SUM(Table2821115[[#This Row],[BR/18 Log2]:[CO/17 Log2]])</f>
        <v>9</v>
      </c>
    </row>
    <row r="276" spans="1:107" ht="24" customHeight="1">
      <c r="A276" s="330">
        <v>437</v>
      </c>
      <c r="B276" s="210">
        <v>18416</v>
      </c>
      <c r="C276" s="210">
        <v>43804</v>
      </c>
      <c r="D276" s="209">
        <v>69</v>
      </c>
      <c r="E276" s="3" t="s">
        <v>61</v>
      </c>
      <c r="F276" s="143" t="s">
        <v>116</v>
      </c>
      <c r="G276" s="142">
        <v>38.704849418296043</v>
      </c>
      <c r="H276" s="5" t="s">
        <v>64</v>
      </c>
      <c r="I276" s="277" t="s">
        <v>60</v>
      </c>
      <c r="J276" s="260">
        <v>5</v>
      </c>
      <c r="K276" s="260">
        <v>5</v>
      </c>
      <c r="L276" s="260"/>
      <c r="M276" s="260"/>
      <c r="N276" s="260"/>
      <c r="O276" s="260"/>
      <c r="P276" s="260"/>
      <c r="Q276" s="260"/>
      <c r="R276" s="260"/>
      <c r="S276" s="260"/>
      <c r="T276" s="260"/>
      <c r="U276" s="260"/>
      <c r="V276" s="260">
        <v>5</v>
      </c>
      <c r="W276" s="260">
        <v>5</v>
      </c>
      <c r="X276" s="260">
        <v>5</v>
      </c>
      <c r="Y276" s="260">
        <v>40</v>
      </c>
      <c r="Z276" s="260">
        <v>10</v>
      </c>
      <c r="AA276" s="260">
        <v>80</v>
      </c>
      <c r="AB276" s="260">
        <v>20</v>
      </c>
      <c r="AC276" s="260">
        <v>40</v>
      </c>
      <c r="AD276" s="260"/>
      <c r="AE276" s="260"/>
      <c r="AF276" s="260"/>
      <c r="AG276" s="260"/>
      <c r="AH276" s="208">
        <v>437</v>
      </c>
      <c r="AI276" s="272">
        <v>5</v>
      </c>
      <c r="AJ276" s="271">
        <v>10</v>
      </c>
      <c r="AK276" s="260"/>
      <c r="AL276" s="260"/>
      <c r="AM276" s="260"/>
      <c r="AN276" s="260"/>
      <c r="AO276" s="260"/>
      <c r="AP276" s="260"/>
      <c r="AQ276" s="260"/>
      <c r="AR276" s="260"/>
      <c r="AS276" s="260"/>
      <c r="AT276" s="260"/>
      <c r="AU276" s="260">
        <v>80</v>
      </c>
      <c r="AV276" s="271">
        <v>160</v>
      </c>
      <c r="AW276" s="260">
        <v>20</v>
      </c>
      <c r="AX276" s="271">
        <v>160</v>
      </c>
      <c r="AY276" s="260">
        <v>5</v>
      </c>
      <c r="AZ276" s="271">
        <v>80</v>
      </c>
      <c r="BA276" s="276">
        <v>20</v>
      </c>
      <c r="BB276" s="276">
        <v>80</v>
      </c>
      <c r="BC276" s="276"/>
      <c r="BD276" s="276"/>
      <c r="BE276" s="276">
        <v>5</v>
      </c>
      <c r="BF276" s="276">
        <v>40</v>
      </c>
      <c r="BG276" s="260">
        <v>80</v>
      </c>
      <c r="BH276" s="271">
        <v>160</v>
      </c>
      <c r="BI276" s="276"/>
      <c r="BJ276" s="276"/>
      <c r="BK276" s="276"/>
      <c r="BL276" s="275"/>
      <c r="BM276" s="329">
        <v>437</v>
      </c>
      <c r="BN276" s="272">
        <v>80</v>
      </c>
      <c r="BO276" s="270">
        <v>80</v>
      </c>
      <c r="BP276" s="272"/>
      <c r="BQ276" s="260"/>
      <c r="BR276" s="260"/>
      <c r="BS276" s="260"/>
      <c r="BT276" s="260"/>
      <c r="BU276" s="260"/>
      <c r="BV276" s="260">
        <v>5</v>
      </c>
      <c r="BW276" s="260">
        <v>5</v>
      </c>
      <c r="BX276" s="260"/>
      <c r="BY276" s="260"/>
      <c r="BZ276" s="260"/>
      <c r="CA276" s="260"/>
      <c r="CB276" s="260"/>
      <c r="CC276" s="260"/>
      <c r="CD276" s="260">
        <v>10</v>
      </c>
      <c r="CE276" s="260">
        <v>20</v>
      </c>
      <c r="CF276" s="272"/>
      <c r="CG276" s="260"/>
      <c r="CH276" s="260"/>
      <c r="CI276" s="260"/>
      <c r="CJ276" s="260"/>
      <c r="CK276" s="260"/>
      <c r="CL276" s="260"/>
      <c r="CM276" s="260"/>
      <c r="CN276" s="260">
        <v>20</v>
      </c>
      <c r="CO276" s="260">
        <v>20</v>
      </c>
      <c r="CP276" s="260">
        <v>40</v>
      </c>
      <c r="CQ276" s="260">
        <v>40</v>
      </c>
      <c r="CR276" s="260">
        <v>20</v>
      </c>
      <c r="CS276" s="270">
        <v>40</v>
      </c>
      <c r="CT276" s="328">
        <v>437</v>
      </c>
      <c r="CU276" s="249">
        <f>Table2821115[[#This Row],[D28 - BR/18]]/Table2821115[[#This Row],[D0 - BR/18]]</f>
        <v>2</v>
      </c>
      <c r="CV276" s="248">
        <f>Table2821115[[#This Row],[D28 - KS/17]]/Table2821115[[#This Row],[D0 - KS/17]]</f>
        <v>8</v>
      </c>
      <c r="CW276" s="248">
        <f>Table2821115[[#This Row],[D28 - Phu/13]]/Table2821115[[#This Row],[D0 - Phu/13]]</f>
        <v>2</v>
      </c>
      <c r="CX276" s="248">
        <f>Table2821115[[#This Row],[D28 - CO/17]]/Table2821115[[#This Row],[D0 - CO/17]]</f>
        <v>1</v>
      </c>
      <c r="CY276" s="248">
        <f>LOG(Table2821115[[#This Row],[BR/18 Fold]],2)</f>
        <v>1</v>
      </c>
      <c r="CZ276" s="248">
        <f>LOG(Table2821115[[#This Row],[KS/17 Fold]],2)</f>
        <v>3</v>
      </c>
      <c r="DA276" s="248">
        <f>LOG(Table2821115[[#This Row],[Phu/13 Fold]],2)</f>
        <v>1</v>
      </c>
      <c r="DB276" s="248">
        <f>LOG(Table2821115[[#This Row],[CO/17 Fold]],2)</f>
        <v>0</v>
      </c>
      <c r="DC276" s="248">
        <f>SUM(Table2821115[[#This Row],[BR/18 Log2]:[CO/17 Log2]])</f>
        <v>5</v>
      </c>
    </row>
    <row r="277" spans="1:107" ht="24" customHeight="1">
      <c r="A277" s="324">
        <v>438</v>
      </c>
      <c r="B277" s="190">
        <v>29947</v>
      </c>
      <c r="C277" s="190">
        <v>43803</v>
      </c>
      <c r="D277" s="189">
        <v>37</v>
      </c>
      <c r="E277" s="4" t="s">
        <v>58</v>
      </c>
      <c r="F277" s="143" t="s">
        <v>116</v>
      </c>
      <c r="G277" s="142">
        <v>31.324991189846219</v>
      </c>
      <c r="H277" s="11" t="s">
        <v>59</v>
      </c>
      <c r="I277" s="277" t="s">
        <v>62</v>
      </c>
      <c r="J277" s="260">
        <v>5</v>
      </c>
      <c r="K277" s="260">
        <v>10</v>
      </c>
      <c r="L277" s="260"/>
      <c r="M277" s="260"/>
      <c r="N277" s="260"/>
      <c r="O277" s="260"/>
      <c r="P277" s="260"/>
      <c r="Q277" s="260"/>
      <c r="R277" s="260"/>
      <c r="S277" s="260"/>
      <c r="T277" s="260"/>
      <c r="U277" s="260"/>
      <c r="V277" s="260">
        <v>5</v>
      </c>
      <c r="W277" s="260">
        <v>10</v>
      </c>
      <c r="X277" s="260">
        <v>5</v>
      </c>
      <c r="Y277" s="260">
        <v>20</v>
      </c>
      <c r="Z277" s="260">
        <v>5</v>
      </c>
      <c r="AA277" s="260">
        <v>40</v>
      </c>
      <c r="AB277" s="260">
        <v>5</v>
      </c>
      <c r="AC277" s="260">
        <v>5</v>
      </c>
      <c r="AD277" s="260"/>
      <c r="AE277" s="260"/>
      <c r="AF277" s="260"/>
      <c r="AG277" s="260"/>
      <c r="AH277" s="198">
        <v>438</v>
      </c>
      <c r="AI277" s="272">
        <v>5</v>
      </c>
      <c r="AJ277" s="271">
        <v>5</v>
      </c>
      <c r="AK277" s="260"/>
      <c r="AL277" s="260"/>
      <c r="AM277" s="260"/>
      <c r="AN277" s="260"/>
      <c r="AO277" s="260"/>
      <c r="AP277" s="260"/>
      <c r="AQ277" s="260"/>
      <c r="AR277" s="260"/>
      <c r="AS277" s="260"/>
      <c r="AT277" s="260"/>
      <c r="AU277" s="260">
        <v>5</v>
      </c>
      <c r="AV277" s="271">
        <v>40</v>
      </c>
      <c r="AW277" s="260">
        <v>5</v>
      </c>
      <c r="AX277" s="271">
        <v>80</v>
      </c>
      <c r="AY277" s="260">
        <v>5</v>
      </c>
      <c r="AZ277" s="271">
        <v>10</v>
      </c>
      <c r="BA277" s="276">
        <v>5</v>
      </c>
      <c r="BB277" s="276">
        <v>40</v>
      </c>
      <c r="BC277" s="276"/>
      <c r="BD277" s="276"/>
      <c r="BE277" s="276">
        <v>5</v>
      </c>
      <c r="BF277" s="276">
        <v>40</v>
      </c>
      <c r="BG277" s="260">
        <v>20</v>
      </c>
      <c r="BH277" s="271">
        <v>80</v>
      </c>
      <c r="BI277" s="276"/>
      <c r="BJ277" s="276"/>
      <c r="BK277" s="276"/>
      <c r="BL277" s="275"/>
      <c r="BM277" s="323">
        <v>438</v>
      </c>
      <c r="BN277" s="272">
        <v>5</v>
      </c>
      <c r="BO277" s="270">
        <v>160</v>
      </c>
      <c r="BP277" s="272"/>
      <c r="BQ277" s="260"/>
      <c r="BR277" s="260"/>
      <c r="BS277" s="260"/>
      <c r="BT277" s="260"/>
      <c r="BU277" s="260"/>
      <c r="BV277" s="260">
        <v>5</v>
      </c>
      <c r="BW277" s="260">
        <v>5</v>
      </c>
      <c r="BX277" s="260"/>
      <c r="BY277" s="260"/>
      <c r="BZ277" s="260"/>
      <c r="CA277" s="260"/>
      <c r="CB277" s="260"/>
      <c r="CC277" s="260"/>
      <c r="CD277" s="260">
        <v>5</v>
      </c>
      <c r="CE277" s="260">
        <v>320</v>
      </c>
      <c r="CF277" s="272"/>
      <c r="CG277" s="260"/>
      <c r="CH277" s="260"/>
      <c r="CI277" s="260"/>
      <c r="CJ277" s="260"/>
      <c r="CK277" s="260"/>
      <c r="CL277" s="260"/>
      <c r="CM277" s="260"/>
      <c r="CN277" s="260">
        <v>10</v>
      </c>
      <c r="CO277" s="260">
        <v>80</v>
      </c>
      <c r="CP277" s="260">
        <v>5</v>
      </c>
      <c r="CQ277" s="260">
        <v>20</v>
      </c>
      <c r="CR277" s="260">
        <v>20</v>
      </c>
      <c r="CS277" s="270">
        <v>80</v>
      </c>
      <c r="CT277" s="322">
        <v>438</v>
      </c>
      <c r="CU277" s="249">
        <f>Table2821115[[#This Row],[D28 - BR/18]]/Table2821115[[#This Row],[D0 - BR/18]]</f>
        <v>1</v>
      </c>
      <c r="CV277" s="248">
        <f>Table2821115[[#This Row],[D28 - KS/17]]/Table2821115[[#This Row],[D0 - KS/17]]</f>
        <v>8</v>
      </c>
      <c r="CW277" s="248">
        <f>Table2821115[[#This Row],[D28 - Phu/13]]/Table2821115[[#This Row],[D0 - Phu/13]]</f>
        <v>64</v>
      </c>
      <c r="CX277" s="248">
        <f>Table2821115[[#This Row],[D28 - CO/17]]/Table2821115[[#This Row],[D0 - CO/17]]</f>
        <v>4</v>
      </c>
      <c r="CY277" s="248">
        <f>LOG(Table2821115[[#This Row],[BR/18 Fold]],2)</f>
        <v>0</v>
      </c>
      <c r="CZ277" s="248">
        <f>LOG(Table2821115[[#This Row],[KS/17 Fold]],2)</f>
        <v>3</v>
      </c>
      <c r="DA277" s="248">
        <f>LOG(Table2821115[[#This Row],[Phu/13 Fold]],2)</f>
        <v>6</v>
      </c>
      <c r="DB277" s="248">
        <f>LOG(Table2821115[[#This Row],[CO/17 Fold]],2)</f>
        <v>2</v>
      </c>
      <c r="DC277" s="248">
        <f>SUM(Table2821115[[#This Row],[BR/18 Log2]:[CO/17 Log2]])</f>
        <v>11</v>
      </c>
    </row>
    <row r="278" spans="1:107" ht="24" customHeight="1">
      <c r="A278" s="321">
        <v>439</v>
      </c>
      <c r="B278" s="183">
        <v>35982</v>
      </c>
      <c r="C278" s="183">
        <v>43836</v>
      </c>
      <c r="D278" s="182">
        <v>21</v>
      </c>
      <c r="E278" s="3" t="s">
        <v>61</v>
      </c>
      <c r="F278" s="143" t="s">
        <v>117</v>
      </c>
      <c r="G278" s="142">
        <v>24.84591794644939</v>
      </c>
      <c r="H278" s="11" t="s">
        <v>59</v>
      </c>
      <c r="I278" s="277" t="s">
        <v>60</v>
      </c>
      <c r="J278" s="260">
        <v>5</v>
      </c>
      <c r="K278" s="260">
        <v>5</v>
      </c>
      <c r="L278" s="260"/>
      <c r="M278" s="260"/>
      <c r="N278" s="260"/>
      <c r="O278" s="260"/>
      <c r="P278" s="260"/>
      <c r="Q278" s="260"/>
      <c r="R278" s="260"/>
      <c r="S278" s="260"/>
      <c r="T278" s="260"/>
      <c r="U278" s="260"/>
      <c r="V278" s="260">
        <v>20</v>
      </c>
      <c r="W278" s="260">
        <v>10</v>
      </c>
      <c r="X278" s="260">
        <v>40</v>
      </c>
      <c r="Y278" s="260">
        <v>40</v>
      </c>
      <c r="Z278" s="260">
        <v>80</v>
      </c>
      <c r="AA278" s="260">
        <v>80</v>
      </c>
      <c r="AB278" s="260">
        <v>40</v>
      </c>
      <c r="AC278" s="260">
        <v>40</v>
      </c>
      <c r="AD278" s="260"/>
      <c r="AE278" s="260"/>
      <c r="AF278" s="260"/>
      <c r="AG278" s="260"/>
      <c r="AH278" s="32">
        <v>439</v>
      </c>
      <c r="AI278" s="272">
        <v>80</v>
      </c>
      <c r="AJ278" s="271">
        <v>80</v>
      </c>
      <c r="AK278" s="260"/>
      <c r="AL278" s="260"/>
      <c r="AM278" s="260"/>
      <c r="AN278" s="260"/>
      <c r="AO278" s="260"/>
      <c r="AP278" s="260"/>
      <c r="AQ278" s="260"/>
      <c r="AR278" s="260"/>
      <c r="AS278" s="260"/>
      <c r="AT278" s="260"/>
      <c r="AU278" s="260">
        <v>80</v>
      </c>
      <c r="AV278" s="271">
        <v>40</v>
      </c>
      <c r="AW278" s="260">
        <v>80</v>
      </c>
      <c r="AX278" s="271">
        <v>80</v>
      </c>
      <c r="AY278" s="260">
        <v>80</v>
      </c>
      <c r="AZ278" s="271">
        <v>80</v>
      </c>
      <c r="BA278" s="276">
        <v>80</v>
      </c>
      <c r="BB278" s="276">
        <v>40</v>
      </c>
      <c r="BC278" s="276"/>
      <c r="BD278" s="276"/>
      <c r="BE278" s="276">
        <v>20</v>
      </c>
      <c r="BF278" s="276">
        <v>10</v>
      </c>
      <c r="BG278" s="260">
        <v>160</v>
      </c>
      <c r="BH278" s="271">
        <v>80</v>
      </c>
      <c r="BI278" s="276"/>
      <c r="BJ278" s="276"/>
      <c r="BK278" s="276"/>
      <c r="BL278" s="275"/>
      <c r="BM278" s="320">
        <v>439</v>
      </c>
      <c r="BN278" s="272">
        <v>20</v>
      </c>
      <c r="BO278" s="270">
        <v>20</v>
      </c>
      <c r="BP278" s="272"/>
      <c r="BQ278" s="260"/>
      <c r="BR278" s="260"/>
      <c r="BS278" s="260"/>
      <c r="BT278" s="260"/>
      <c r="BU278" s="260"/>
      <c r="BV278" s="260">
        <v>5</v>
      </c>
      <c r="BW278" s="260">
        <v>5</v>
      </c>
      <c r="BX278" s="260"/>
      <c r="BY278" s="260"/>
      <c r="BZ278" s="260"/>
      <c r="CA278" s="260"/>
      <c r="CB278" s="260"/>
      <c r="CC278" s="260"/>
      <c r="CD278" s="260">
        <v>20</v>
      </c>
      <c r="CE278" s="260">
        <v>20</v>
      </c>
      <c r="CF278" s="272"/>
      <c r="CG278" s="260"/>
      <c r="CH278" s="260"/>
      <c r="CI278" s="260"/>
      <c r="CJ278" s="260"/>
      <c r="CK278" s="260"/>
      <c r="CL278" s="260"/>
      <c r="CM278" s="260"/>
      <c r="CN278" s="260">
        <v>20</v>
      </c>
      <c r="CO278" s="260">
        <v>20</v>
      </c>
      <c r="CP278" s="260">
        <v>40</v>
      </c>
      <c r="CQ278" s="260">
        <v>20</v>
      </c>
      <c r="CR278" s="260">
        <v>40</v>
      </c>
      <c r="CS278" s="270">
        <v>40</v>
      </c>
      <c r="CT278" s="319">
        <v>439</v>
      </c>
      <c r="CU278" s="249">
        <f>Table2821115[[#This Row],[D28 - BR/18]]/Table2821115[[#This Row],[D0 - BR/18]]</f>
        <v>1</v>
      </c>
      <c r="CV278" s="248">
        <f>Table2821115[[#This Row],[D28 - KS/17]]/Table2821115[[#This Row],[D0 - KS/17]]</f>
        <v>0.5</v>
      </c>
      <c r="CW278" s="248">
        <f>Table2821115[[#This Row],[D28 - Phu/13]]/Table2821115[[#This Row],[D0 - Phu/13]]</f>
        <v>1</v>
      </c>
      <c r="CX278" s="248">
        <f>Table2821115[[#This Row],[D28 - CO/17]]/Table2821115[[#This Row],[D0 - CO/17]]</f>
        <v>0.5</v>
      </c>
      <c r="CY278" s="248">
        <f>LOG(Table2821115[[#This Row],[BR/18 Fold]],2)</f>
        <v>0</v>
      </c>
      <c r="CZ278" s="248">
        <f>LOG(Table2821115[[#This Row],[KS/17 Fold]],2)</f>
        <v>-1</v>
      </c>
      <c r="DA278" s="248">
        <f>LOG(Table2821115[[#This Row],[Phu/13 Fold]],2)</f>
        <v>0</v>
      </c>
      <c r="DB278" s="248">
        <f>LOG(Table2821115[[#This Row],[CO/17 Fold]],2)</f>
        <v>-1</v>
      </c>
      <c r="DC278" s="248">
        <f>SUM(Table2821115[[#This Row],[BR/18 Log2]:[CO/17 Log2]])</f>
        <v>-2</v>
      </c>
    </row>
    <row r="279" spans="1:107" ht="24" customHeight="1">
      <c r="A279" s="321">
        <v>440</v>
      </c>
      <c r="B279" s="183">
        <v>35785</v>
      </c>
      <c r="C279" s="183">
        <v>43803</v>
      </c>
      <c r="D279" s="182">
        <v>21</v>
      </c>
      <c r="E279" s="3" t="s">
        <v>61</v>
      </c>
      <c r="F279" s="143" t="s">
        <v>117</v>
      </c>
      <c r="G279" s="142">
        <v>26.312710923935295</v>
      </c>
      <c r="H279" s="11" t="s">
        <v>59</v>
      </c>
      <c r="I279" s="277" t="s">
        <v>60</v>
      </c>
      <c r="J279" s="260">
        <v>5</v>
      </c>
      <c r="K279" s="260">
        <v>5</v>
      </c>
      <c r="L279" s="260"/>
      <c r="M279" s="260"/>
      <c r="N279" s="260"/>
      <c r="O279" s="260"/>
      <c r="P279" s="260"/>
      <c r="Q279" s="260"/>
      <c r="R279" s="260"/>
      <c r="S279" s="260"/>
      <c r="T279" s="260"/>
      <c r="U279" s="260"/>
      <c r="V279" s="260">
        <v>5</v>
      </c>
      <c r="W279" s="260">
        <v>20</v>
      </c>
      <c r="X279" s="260">
        <v>80</v>
      </c>
      <c r="Y279" s="260">
        <v>80</v>
      </c>
      <c r="Z279" s="260">
        <v>160</v>
      </c>
      <c r="AA279" s="260">
        <v>160</v>
      </c>
      <c r="AB279" s="260">
        <v>80</v>
      </c>
      <c r="AC279" s="260">
        <v>80</v>
      </c>
      <c r="AD279" s="260"/>
      <c r="AE279" s="260"/>
      <c r="AF279" s="260"/>
      <c r="AG279" s="260"/>
      <c r="AH279" s="32">
        <v>440</v>
      </c>
      <c r="AI279" s="272">
        <v>160</v>
      </c>
      <c r="AJ279" s="271">
        <v>160</v>
      </c>
      <c r="AK279" s="260"/>
      <c r="AL279" s="260"/>
      <c r="AM279" s="260"/>
      <c r="AN279" s="260"/>
      <c r="AO279" s="260"/>
      <c r="AP279" s="260"/>
      <c r="AQ279" s="260"/>
      <c r="AR279" s="260"/>
      <c r="AS279" s="260"/>
      <c r="AT279" s="260"/>
      <c r="AU279" s="260">
        <v>160</v>
      </c>
      <c r="AV279" s="271">
        <v>160</v>
      </c>
      <c r="AW279" s="260">
        <v>80</v>
      </c>
      <c r="AX279" s="271">
        <v>80</v>
      </c>
      <c r="AY279" s="260">
        <v>40</v>
      </c>
      <c r="AZ279" s="271">
        <v>40</v>
      </c>
      <c r="BA279" s="276">
        <v>80</v>
      </c>
      <c r="BB279" s="276">
        <v>80</v>
      </c>
      <c r="BC279" s="276"/>
      <c r="BD279" s="276"/>
      <c r="BE279" s="276">
        <v>10</v>
      </c>
      <c r="BF279" s="276">
        <v>20</v>
      </c>
      <c r="BG279" s="260">
        <v>160</v>
      </c>
      <c r="BH279" s="271">
        <v>160</v>
      </c>
      <c r="BI279" s="276"/>
      <c r="BJ279" s="276"/>
      <c r="BK279" s="276"/>
      <c r="BL279" s="275"/>
      <c r="BM279" s="320">
        <v>440</v>
      </c>
      <c r="BN279" s="272">
        <v>160</v>
      </c>
      <c r="BO279" s="270">
        <v>160</v>
      </c>
      <c r="BP279" s="272"/>
      <c r="BQ279" s="260"/>
      <c r="BR279" s="260"/>
      <c r="BS279" s="260"/>
      <c r="BT279" s="260"/>
      <c r="BU279" s="260"/>
      <c r="BV279" s="260">
        <v>5</v>
      </c>
      <c r="BW279" s="260">
        <v>80</v>
      </c>
      <c r="BX279" s="260"/>
      <c r="BY279" s="260"/>
      <c r="BZ279" s="260"/>
      <c r="CA279" s="260"/>
      <c r="CB279" s="260"/>
      <c r="CC279" s="260"/>
      <c r="CD279" s="260">
        <v>20</v>
      </c>
      <c r="CE279" s="260">
        <v>40</v>
      </c>
      <c r="CF279" s="272"/>
      <c r="CG279" s="260"/>
      <c r="CH279" s="260"/>
      <c r="CI279" s="260"/>
      <c r="CJ279" s="260"/>
      <c r="CK279" s="260"/>
      <c r="CL279" s="260"/>
      <c r="CM279" s="260"/>
      <c r="CN279" s="260">
        <v>40</v>
      </c>
      <c r="CO279" s="260">
        <v>40</v>
      </c>
      <c r="CP279" s="260">
        <v>80</v>
      </c>
      <c r="CQ279" s="260">
        <v>80</v>
      </c>
      <c r="CR279" s="260">
        <v>80</v>
      </c>
      <c r="CS279" s="270">
        <v>80</v>
      </c>
      <c r="CT279" s="319">
        <v>440</v>
      </c>
      <c r="CU279" s="249">
        <f>Table2821115[[#This Row],[D28 - BR/18]]/Table2821115[[#This Row],[D0 - BR/18]]</f>
        <v>1</v>
      </c>
      <c r="CV279" s="248">
        <f>Table2821115[[#This Row],[D28 - KS/17]]/Table2821115[[#This Row],[D0 - KS/17]]</f>
        <v>2</v>
      </c>
      <c r="CW279" s="248">
        <f>Table2821115[[#This Row],[D28 - Phu/13]]/Table2821115[[#This Row],[D0 - Phu/13]]</f>
        <v>2</v>
      </c>
      <c r="CX279" s="248">
        <f>Table2821115[[#This Row],[D28 - CO/17]]/Table2821115[[#This Row],[D0 - CO/17]]</f>
        <v>1</v>
      </c>
      <c r="CY279" s="248">
        <f>LOG(Table2821115[[#This Row],[BR/18 Fold]],2)</f>
        <v>0</v>
      </c>
      <c r="CZ279" s="248">
        <f>LOG(Table2821115[[#This Row],[KS/17 Fold]],2)</f>
        <v>1</v>
      </c>
      <c r="DA279" s="248">
        <f>LOG(Table2821115[[#This Row],[Phu/13 Fold]],2)</f>
        <v>1</v>
      </c>
      <c r="DB279" s="248">
        <f>LOG(Table2821115[[#This Row],[CO/17 Fold]],2)</f>
        <v>0</v>
      </c>
      <c r="DC279" s="248">
        <f>SUM(Table2821115[[#This Row],[BR/18 Log2]:[CO/17 Log2]])</f>
        <v>2</v>
      </c>
    </row>
    <row r="280" spans="1:107" ht="24" customHeight="1">
      <c r="A280" s="318">
        <v>441</v>
      </c>
      <c r="B280" s="180">
        <v>20130</v>
      </c>
      <c r="C280" s="180">
        <v>43801</v>
      </c>
      <c r="D280" s="179">
        <v>64</v>
      </c>
      <c r="E280" s="3" t="s">
        <v>61</v>
      </c>
      <c r="F280" s="143" t="s">
        <v>116</v>
      </c>
      <c r="G280" s="142">
        <v>23.958641802356791</v>
      </c>
      <c r="H280" s="11" t="s">
        <v>59</v>
      </c>
      <c r="I280" s="277" t="s">
        <v>62</v>
      </c>
      <c r="J280" s="260">
        <v>5</v>
      </c>
      <c r="K280" s="260">
        <v>5</v>
      </c>
      <c r="L280" s="260"/>
      <c r="M280" s="260"/>
      <c r="N280" s="260"/>
      <c r="O280" s="260"/>
      <c r="P280" s="260"/>
      <c r="Q280" s="260"/>
      <c r="R280" s="260"/>
      <c r="S280" s="260"/>
      <c r="T280" s="260"/>
      <c r="U280" s="260"/>
      <c r="V280" s="260">
        <v>10</v>
      </c>
      <c r="W280" s="260">
        <v>5</v>
      </c>
      <c r="X280" s="260">
        <v>5</v>
      </c>
      <c r="Y280" s="260">
        <v>20</v>
      </c>
      <c r="Z280" s="260">
        <v>5</v>
      </c>
      <c r="AA280" s="260">
        <v>40</v>
      </c>
      <c r="AB280" s="260">
        <v>5</v>
      </c>
      <c r="AC280" s="260">
        <v>80</v>
      </c>
      <c r="AD280" s="260"/>
      <c r="AE280" s="260"/>
      <c r="AF280" s="260"/>
      <c r="AG280" s="260"/>
      <c r="AH280" s="195">
        <v>441</v>
      </c>
      <c r="AI280" s="272">
        <v>5</v>
      </c>
      <c r="AJ280" s="271">
        <v>5</v>
      </c>
      <c r="AK280" s="260"/>
      <c r="AL280" s="260"/>
      <c r="AM280" s="260"/>
      <c r="AN280" s="260"/>
      <c r="AO280" s="260"/>
      <c r="AP280" s="260"/>
      <c r="AQ280" s="260"/>
      <c r="AR280" s="260"/>
      <c r="AS280" s="260"/>
      <c r="AT280" s="260"/>
      <c r="AU280" s="260">
        <v>5</v>
      </c>
      <c r="AV280" s="271">
        <v>80</v>
      </c>
      <c r="AW280" s="260">
        <v>5</v>
      </c>
      <c r="AX280" s="271">
        <v>80</v>
      </c>
      <c r="AY280" s="260">
        <v>5</v>
      </c>
      <c r="AZ280" s="271">
        <v>40</v>
      </c>
      <c r="BA280" s="276">
        <v>5</v>
      </c>
      <c r="BB280" s="276">
        <v>80</v>
      </c>
      <c r="BC280" s="276"/>
      <c r="BD280" s="276"/>
      <c r="BE280" s="276">
        <v>5</v>
      </c>
      <c r="BF280" s="276">
        <v>160</v>
      </c>
      <c r="BG280" s="260">
        <v>40</v>
      </c>
      <c r="BH280" s="271">
        <v>80</v>
      </c>
      <c r="BI280" s="276"/>
      <c r="BJ280" s="276"/>
      <c r="BK280" s="276"/>
      <c r="BL280" s="275"/>
      <c r="BM280" s="316">
        <v>441</v>
      </c>
      <c r="BN280" s="272">
        <v>40</v>
      </c>
      <c r="BO280" s="270">
        <v>160</v>
      </c>
      <c r="BP280" s="272"/>
      <c r="BQ280" s="260"/>
      <c r="BR280" s="260"/>
      <c r="BS280" s="260"/>
      <c r="BT280" s="260"/>
      <c r="BU280" s="260"/>
      <c r="BV280" s="260">
        <v>5</v>
      </c>
      <c r="BW280" s="260">
        <v>5</v>
      </c>
      <c r="BX280" s="260"/>
      <c r="BY280" s="260"/>
      <c r="BZ280" s="260"/>
      <c r="CA280" s="260"/>
      <c r="CB280" s="260"/>
      <c r="CC280" s="260"/>
      <c r="CD280" s="260">
        <v>5</v>
      </c>
      <c r="CE280" s="260">
        <v>40</v>
      </c>
      <c r="CF280" s="272"/>
      <c r="CG280" s="260"/>
      <c r="CH280" s="260"/>
      <c r="CI280" s="260"/>
      <c r="CJ280" s="260"/>
      <c r="CK280" s="260"/>
      <c r="CL280" s="260"/>
      <c r="CM280" s="260"/>
      <c r="CN280" s="260">
        <v>5</v>
      </c>
      <c r="CO280" s="260">
        <v>40</v>
      </c>
      <c r="CP280" s="260">
        <v>5</v>
      </c>
      <c r="CQ280" s="260">
        <v>40</v>
      </c>
      <c r="CR280" s="260">
        <v>5</v>
      </c>
      <c r="CS280" s="270">
        <v>80</v>
      </c>
      <c r="CT280" s="315">
        <v>441</v>
      </c>
      <c r="CU280" s="249">
        <f>Table2821115[[#This Row],[D28 - BR/18]]/Table2821115[[#This Row],[D0 - BR/18]]</f>
        <v>16</v>
      </c>
      <c r="CV280" s="248">
        <f>Table2821115[[#This Row],[D28 - KS/17]]/Table2821115[[#This Row],[D0 - KS/17]]</f>
        <v>32</v>
      </c>
      <c r="CW280" s="248">
        <f>Table2821115[[#This Row],[D28 - Phu/13]]/Table2821115[[#This Row],[D0 - Phu/13]]</f>
        <v>8</v>
      </c>
      <c r="CX280" s="248">
        <f>Table2821115[[#This Row],[D28 - CO/17]]/Table2821115[[#This Row],[D0 - CO/17]]</f>
        <v>8</v>
      </c>
      <c r="CY280" s="248">
        <f>LOG(Table2821115[[#This Row],[BR/18 Fold]],2)</f>
        <v>4</v>
      </c>
      <c r="CZ280" s="248">
        <f>LOG(Table2821115[[#This Row],[KS/17 Fold]],2)</f>
        <v>5</v>
      </c>
      <c r="DA280" s="248">
        <f>LOG(Table2821115[[#This Row],[Phu/13 Fold]],2)</f>
        <v>3</v>
      </c>
      <c r="DB280" s="248">
        <f>LOG(Table2821115[[#This Row],[CO/17 Fold]],2)</f>
        <v>3</v>
      </c>
      <c r="DC280" s="248">
        <f>SUM(Table2821115[[#This Row],[BR/18 Log2]:[CO/17 Log2]])</f>
        <v>15</v>
      </c>
    </row>
    <row r="281" spans="1:107" ht="24" customHeight="1">
      <c r="A281" s="321">
        <v>442</v>
      </c>
      <c r="B281" s="183">
        <v>35055</v>
      </c>
      <c r="C281" s="183">
        <v>43803</v>
      </c>
      <c r="D281" s="182">
        <v>23</v>
      </c>
      <c r="E281" s="3" t="s">
        <v>61</v>
      </c>
      <c r="F281" s="143" t="s">
        <v>116</v>
      </c>
      <c r="G281" s="142">
        <v>35.737345041322314</v>
      </c>
      <c r="H281" s="11" t="s">
        <v>59</v>
      </c>
      <c r="I281" s="277" t="s">
        <v>60</v>
      </c>
      <c r="J281" s="260">
        <v>5</v>
      </c>
      <c r="K281" s="260">
        <v>5</v>
      </c>
      <c r="L281" s="260"/>
      <c r="M281" s="260"/>
      <c r="N281" s="260"/>
      <c r="O281" s="260"/>
      <c r="P281" s="260"/>
      <c r="Q281" s="260"/>
      <c r="R281" s="260"/>
      <c r="S281" s="260"/>
      <c r="T281" s="260"/>
      <c r="U281" s="260"/>
      <c r="V281" s="260">
        <v>5</v>
      </c>
      <c r="W281" s="260">
        <v>5</v>
      </c>
      <c r="X281" s="260">
        <v>20</v>
      </c>
      <c r="Y281" s="260">
        <v>80</v>
      </c>
      <c r="Z281" s="260">
        <v>40</v>
      </c>
      <c r="AA281" s="260">
        <v>160</v>
      </c>
      <c r="AB281" s="260">
        <v>10</v>
      </c>
      <c r="AC281" s="260">
        <v>80</v>
      </c>
      <c r="AD281" s="260"/>
      <c r="AE281" s="260"/>
      <c r="AF281" s="260"/>
      <c r="AG281" s="260"/>
      <c r="AH281" s="32">
        <v>442</v>
      </c>
      <c r="AI281" s="272">
        <v>40</v>
      </c>
      <c r="AJ281" s="271">
        <v>80</v>
      </c>
      <c r="AK281" s="260"/>
      <c r="AL281" s="260"/>
      <c r="AM281" s="260"/>
      <c r="AN281" s="260"/>
      <c r="AO281" s="260"/>
      <c r="AP281" s="260"/>
      <c r="AQ281" s="260"/>
      <c r="AR281" s="260"/>
      <c r="AS281" s="260"/>
      <c r="AT281" s="260"/>
      <c r="AU281" s="260">
        <v>80</v>
      </c>
      <c r="AV281" s="271">
        <v>320</v>
      </c>
      <c r="AW281" s="260">
        <v>40</v>
      </c>
      <c r="AX281" s="271">
        <v>320</v>
      </c>
      <c r="AY281" s="260">
        <v>40</v>
      </c>
      <c r="AZ281" s="271">
        <v>160</v>
      </c>
      <c r="BA281" s="276">
        <v>40</v>
      </c>
      <c r="BB281" s="276">
        <v>320</v>
      </c>
      <c r="BC281" s="276"/>
      <c r="BD281" s="276"/>
      <c r="BE281" s="276">
        <v>5</v>
      </c>
      <c r="BF281" s="276">
        <v>160</v>
      </c>
      <c r="BG281" s="260">
        <v>80</v>
      </c>
      <c r="BH281" s="271">
        <v>640</v>
      </c>
      <c r="BI281" s="276"/>
      <c r="BJ281" s="276"/>
      <c r="BK281" s="276"/>
      <c r="BL281" s="275"/>
      <c r="BM281" s="320">
        <v>442</v>
      </c>
      <c r="BN281" s="272">
        <v>10</v>
      </c>
      <c r="BO281" s="270">
        <v>40</v>
      </c>
      <c r="BP281" s="272"/>
      <c r="BQ281" s="260"/>
      <c r="BR281" s="260"/>
      <c r="BS281" s="260"/>
      <c r="BT281" s="260"/>
      <c r="BU281" s="260"/>
      <c r="BV281" s="260">
        <v>10</v>
      </c>
      <c r="BW281" s="260">
        <v>1280</v>
      </c>
      <c r="BX281" s="260"/>
      <c r="BY281" s="260"/>
      <c r="BZ281" s="260"/>
      <c r="CA281" s="260"/>
      <c r="CB281" s="260"/>
      <c r="CC281" s="260"/>
      <c r="CD281" s="260">
        <v>20</v>
      </c>
      <c r="CE281" s="260">
        <v>160</v>
      </c>
      <c r="CF281" s="272"/>
      <c r="CG281" s="260"/>
      <c r="CH281" s="260"/>
      <c r="CI281" s="260"/>
      <c r="CJ281" s="260"/>
      <c r="CK281" s="260"/>
      <c r="CL281" s="260"/>
      <c r="CM281" s="260"/>
      <c r="CN281" s="260">
        <v>20</v>
      </c>
      <c r="CO281" s="260">
        <v>40</v>
      </c>
      <c r="CP281" s="260">
        <v>5</v>
      </c>
      <c r="CQ281" s="260">
        <v>40</v>
      </c>
      <c r="CR281" s="260">
        <v>5</v>
      </c>
      <c r="CS281" s="270">
        <v>80</v>
      </c>
      <c r="CT281" s="319">
        <v>442</v>
      </c>
      <c r="CU281" s="249">
        <f>Table2821115[[#This Row],[D28 - BR/18]]/Table2821115[[#This Row],[D0 - BR/18]]</f>
        <v>8</v>
      </c>
      <c r="CV281" s="248">
        <f>Table2821115[[#This Row],[D28 - KS/17]]/Table2821115[[#This Row],[D0 - KS/17]]</f>
        <v>32</v>
      </c>
      <c r="CW281" s="248">
        <f>Table2821115[[#This Row],[D28 - Phu/13]]/Table2821115[[#This Row],[D0 - Phu/13]]</f>
        <v>8</v>
      </c>
      <c r="CX281" s="248">
        <f>Table2821115[[#This Row],[D28 - CO/17]]/Table2821115[[#This Row],[D0 - CO/17]]</f>
        <v>8</v>
      </c>
      <c r="CY281" s="248">
        <f>LOG(Table2821115[[#This Row],[BR/18 Fold]],2)</f>
        <v>3</v>
      </c>
      <c r="CZ281" s="248">
        <f>LOG(Table2821115[[#This Row],[KS/17 Fold]],2)</f>
        <v>5</v>
      </c>
      <c r="DA281" s="248">
        <f>LOG(Table2821115[[#This Row],[Phu/13 Fold]],2)</f>
        <v>3</v>
      </c>
      <c r="DB281" s="248">
        <f>LOG(Table2821115[[#This Row],[CO/17 Fold]],2)</f>
        <v>3</v>
      </c>
      <c r="DC281" s="248">
        <f>SUM(Table2821115[[#This Row],[BR/18 Log2]:[CO/17 Log2]])</f>
        <v>14</v>
      </c>
    </row>
    <row r="282" spans="1:107" ht="24" customHeight="1">
      <c r="A282" s="321">
        <v>443</v>
      </c>
      <c r="B282" s="183">
        <v>32478</v>
      </c>
      <c r="C282" s="183">
        <v>43802</v>
      </c>
      <c r="D282" s="182">
        <v>31</v>
      </c>
      <c r="E282" s="3" t="s">
        <v>61</v>
      </c>
      <c r="F282" s="143" t="s">
        <v>116</v>
      </c>
      <c r="G282" s="142">
        <v>31.522977130444755</v>
      </c>
      <c r="H282" s="11" t="s">
        <v>59</v>
      </c>
      <c r="I282" s="277" t="s">
        <v>60</v>
      </c>
      <c r="J282" s="260">
        <v>5</v>
      </c>
      <c r="K282" s="260">
        <v>5</v>
      </c>
      <c r="L282" s="260"/>
      <c r="M282" s="260"/>
      <c r="N282" s="260"/>
      <c r="O282" s="260"/>
      <c r="P282" s="260"/>
      <c r="Q282" s="260"/>
      <c r="R282" s="260"/>
      <c r="S282" s="260"/>
      <c r="T282" s="260"/>
      <c r="U282" s="260"/>
      <c r="V282" s="260">
        <v>5</v>
      </c>
      <c r="W282" s="260">
        <v>10</v>
      </c>
      <c r="X282" s="260">
        <v>5</v>
      </c>
      <c r="Y282" s="260">
        <v>80</v>
      </c>
      <c r="Z282" s="260">
        <v>20</v>
      </c>
      <c r="AA282" s="260">
        <v>160</v>
      </c>
      <c r="AB282" s="260">
        <v>10</v>
      </c>
      <c r="AC282" s="260">
        <v>80</v>
      </c>
      <c r="AD282" s="260"/>
      <c r="AE282" s="260"/>
      <c r="AF282" s="260"/>
      <c r="AG282" s="260"/>
      <c r="AH282" s="32">
        <v>443</v>
      </c>
      <c r="AI282" s="272">
        <v>40</v>
      </c>
      <c r="AJ282" s="271">
        <v>80</v>
      </c>
      <c r="AK282" s="260"/>
      <c r="AL282" s="260"/>
      <c r="AM282" s="260"/>
      <c r="AN282" s="260"/>
      <c r="AO282" s="260"/>
      <c r="AP282" s="260"/>
      <c r="AQ282" s="260"/>
      <c r="AR282" s="260"/>
      <c r="AS282" s="260"/>
      <c r="AT282" s="260"/>
      <c r="AU282" s="260">
        <v>160</v>
      </c>
      <c r="AV282" s="271">
        <v>160</v>
      </c>
      <c r="AW282" s="260">
        <v>40</v>
      </c>
      <c r="AX282" s="271">
        <v>80</v>
      </c>
      <c r="AY282" s="260">
        <v>5</v>
      </c>
      <c r="AZ282" s="271">
        <v>80</v>
      </c>
      <c r="BA282" s="276">
        <v>160</v>
      </c>
      <c r="BB282" s="276">
        <v>160</v>
      </c>
      <c r="BC282" s="276"/>
      <c r="BD282" s="276"/>
      <c r="BE282" s="276">
        <v>10</v>
      </c>
      <c r="BF282" s="276">
        <v>40</v>
      </c>
      <c r="BG282" s="260">
        <v>160</v>
      </c>
      <c r="BH282" s="271">
        <v>160</v>
      </c>
      <c r="BI282" s="276"/>
      <c r="BJ282" s="276"/>
      <c r="BK282" s="276"/>
      <c r="BL282" s="275"/>
      <c r="BM282" s="320">
        <v>443</v>
      </c>
      <c r="BN282" s="272">
        <v>320</v>
      </c>
      <c r="BO282" s="270">
        <v>1280</v>
      </c>
      <c r="BP282" s="272"/>
      <c r="BQ282" s="260"/>
      <c r="BR282" s="260"/>
      <c r="BS282" s="260"/>
      <c r="BT282" s="260"/>
      <c r="BU282" s="260"/>
      <c r="BV282" s="260">
        <v>5</v>
      </c>
      <c r="BW282" s="260">
        <v>5</v>
      </c>
      <c r="BX282" s="260"/>
      <c r="BY282" s="260"/>
      <c r="BZ282" s="260"/>
      <c r="CA282" s="260"/>
      <c r="CB282" s="260"/>
      <c r="CC282" s="260"/>
      <c r="CD282" s="260">
        <v>160</v>
      </c>
      <c r="CE282" s="260">
        <v>640</v>
      </c>
      <c r="CF282" s="272"/>
      <c r="CG282" s="260"/>
      <c r="CH282" s="260"/>
      <c r="CI282" s="260"/>
      <c r="CJ282" s="260"/>
      <c r="CK282" s="260"/>
      <c r="CL282" s="260"/>
      <c r="CM282" s="260"/>
      <c r="CN282" s="260">
        <v>80</v>
      </c>
      <c r="CO282" s="260">
        <v>160</v>
      </c>
      <c r="CP282" s="260">
        <v>80</v>
      </c>
      <c r="CQ282" s="260">
        <v>160</v>
      </c>
      <c r="CR282" s="260">
        <v>20</v>
      </c>
      <c r="CS282" s="270">
        <v>160</v>
      </c>
      <c r="CT282" s="319">
        <v>443</v>
      </c>
      <c r="CU282" s="249">
        <f>Table2821115[[#This Row],[D28 - BR/18]]/Table2821115[[#This Row],[D0 - BR/18]]</f>
        <v>8</v>
      </c>
      <c r="CV282" s="248">
        <f>Table2821115[[#This Row],[D28 - KS/17]]/Table2821115[[#This Row],[D0 - KS/17]]</f>
        <v>4</v>
      </c>
      <c r="CW282" s="248">
        <f>Table2821115[[#This Row],[D28 - Phu/13]]/Table2821115[[#This Row],[D0 - Phu/13]]</f>
        <v>4</v>
      </c>
      <c r="CX282" s="248">
        <f>Table2821115[[#This Row],[D28 - CO/17]]/Table2821115[[#This Row],[D0 - CO/17]]</f>
        <v>2</v>
      </c>
      <c r="CY282" s="248">
        <f>LOG(Table2821115[[#This Row],[BR/18 Fold]],2)</f>
        <v>3</v>
      </c>
      <c r="CZ282" s="248">
        <f>LOG(Table2821115[[#This Row],[KS/17 Fold]],2)</f>
        <v>2</v>
      </c>
      <c r="DA282" s="248">
        <f>LOG(Table2821115[[#This Row],[Phu/13 Fold]],2)</f>
        <v>2</v>
      </c>
      <c r="DB282" s="248">
        <f>LOG(Table2821115[[#This Row],[CO/17 Fold]],2)</f>
        <v>1</v>
      </c>
      <c r="DC282" s="248">
        <f>SUM(Table2821115[[#This Row],[BR/18 Log2]:[CO/17 Log2]])</f>
        <v>8</v>
      </c>
    </row>
    <row r="283" spans="1:107" ht="24" customHeight="1">
      <c r="A283" s="324">
        <v>444</v>
      </c>
      <c r="B283" s="190">
        <v>29144</v>
      </c>
      <c r="C283" s="190">
        <v>43811</v>
      </c>
      <c r="D283" s="189">
        <v>40</v>
      </c>
      <c r="E283" s="4" t="s">
        <v>58</v>
      </c>
      <c r="F283" s="143" t="s">
        <v>116</v>
      </c>
      <c r="G283" s="142">
        <v>26.512345679012345</v>
      </c>
      <c r="H283" s="11" t="s">
        <v>59</v>
      </c>
      <c r="I283" s="277" t="s">
        <v>62</v>
      </c>
      <c r="J283" s="260">
        <v>5</v>
      </c>
      <c r="K283" s="260">
        <v>5</v>
      </c>
      <c r="L283" s="260"/>
      <c r="M283" s="260"/>
      <c r="N283" s="260"/>
      <c r="O283" s="260"/>
      <c r="P283" s="260"/>
      <c r="Q283" s="260"/>
      <c r="R283" s="260"/>
      <c r="S283" s="260"/>
      <c r="T283" s="260"/>
      <c r="U283" s="260"/>
      <c r="V283" s="260">
        <v>5</v>
      </c>
      <c r="W283" s="260">
        <v>5</v>
      </c>
      <c r="X283" s="260">
        <v>5</v>
      </c>
      <c r="Y283" s="260">
        <v>160</v>
      </c>
      <c r="Z283" s="260">
        <v>5</v>
      </c>
      <c r="AA283" s="260">
        <v>320</v>
      </c>
      <c r="AB283" s="260">
        <v>80</v>
      </c>
      <c r="AC283" s="260">
        <v>160</v>
      </c>
      <c r="AD283" s="260"/>
      <c r="AE283" s="260"/>
      <c r="AF283" s="260"/>
      <c r="AG283" s="260"/>
      <c r="AH283" s="198">
        <v>444</v>
      </c>
      <c r="AI283" s="272">
        <v>10</v>
      </c>
      <c r="AJ283" s="271">
        <v>20</v>
      </c>
      <c r="AK283" s="260"/>
      <c r="AL283" s="260"/>
      <c r="AM283" s="260"/>
      <c r="AN283" s="260"/>
      <c r="AO283" s="260"/>
      <c r="AP283" s="260"/>
      <c r="AQ283" s="260"/>
      <c r="AR283" s="260"/>
      <c r="AS283" s="260"/>
      <c r="AT283" s="260"/>
      <c r="AU283" s="260">
        <v>160</v>
      </c>
      <c r="AV283" s="271">
        <v>640</v>
      </c>
      <c r="AW283" s="260">
        <v>160</v>
      </c>
      <c r="AX283" s="271">
        <v>1280</v>
      </c>
      <c r="AY283" s="260">
        <v>5</v>
      </c>
      <c r="AZ283" s="271">
        <v>160</v>
      </c>
      <c r="BA283" s="276">
        <v>80</v>
      </c>
      <c r="BB283" s="276">
        <v>640</v>
      </c>
      <c r="BC283" s="276"/>
      <c r="BD283" s="276"/>
      <c r="BE283" s="276">
        <v>160</v>
      </c>
      <c r="BF283" s="276">
        <v>640</v>
      </c>
      <c r="BG283" s="260">
        <v>160</v>
      </c>
      <c r="BH283" s="271">
        <v>1280</v>
      </c>
      <c r="BI283" s="276"/>
      <c r="BJ283" s="276"/>
      <c r="BK283" s="276"/>
      <c r="BL283" s="275"/>
      <c r="BM283" s="323">
        <v>444</v>
      </c>
      <c r="BN283" s="272">
        <v>80</v>
      </c>
      <c r="BO283" s="270">
        <v>640</v>
      </c>
      <c r="BP283" s="272"/>
      <c r="BQ283" s="260"/>
      <c r="BR283" s="260"/>
      <c r="BS283" s="260"/>
      <c r="BT283" s="260"/>
      <c r="BU283" s="260"/>
      <c r="BV283" s="260">
        <v>5</v>
      </c>
      <c r="BW283" s="260">
        <v>5</v>
      </c>
      <c r="BX283" s="260"/>
      <c r="BY283" s="260"/>
      <c r="BZ283" s="260"/>
      <c r="CA283" s="260"/>
      <c r="CB283" s="260"/>
      <c r="CC283" s="260"/>
      <c r="CD283" s="260">
        <v>80</v>
      </c>
      <c r="CE283" s="260">
        <v>640</v>
      </c>
      <c r="CF283" s="272"/>
      <c r="CG283" s="260"/>
      <c r="CH283" s="260"/>
      <c r="CI283" s="260"/>
      <c r="CJ283" s="260"/>
      <c r="CK283" s="260"/>
      <c r="CL283" s="260"/>
      <c r="CM283" s="260"/>
      <c r="CN283" s="260">
        <v>80</v>
      </c>
      <c r="CO283" s="260">
        <v>320</v>
      </c>
      <c r="CP283" s="260">
        <v>160</v>
      </c>
      <c r="CQ283" s="260">
        <v>640</v>
      </c>
      <c r="CR283" s="260">
        <v>80</v>
      </c>
      <c r="CS283" s="270">
        <v>1280</v>
      </c>
      <c r="CT283" s="322">
        <v>444</v>
      </c>
      <c r="CU283" s="249">
        <f>Table2821115[[#This Row],[D28 - BR/18]]/Table2821115[[#This Row],[D0 - BR/18]]</f>
        <v>2</v>
      </c>
      <c r="CV283" s="248">
        <f>Table2821115[[#This Row],[D28 - KS/17]]/Table2821115[[#This Row],[D0 - KS/17]]</f>
        <v>4</v>
      </c>
      <c r="CW283" s="248">
        <f>Table2821115[[#This Row],[D28 - Phu/13]]/Table2821115[[#This Row],[D0 - Phu/13]]</f>
        <v>8</v>
      </c>
      <c r="CX283" s="248">
        <f>Table2821115[[#This Row],[D28 - CO/17]]/Table2821115[[#This Row],[D0 - CO/17]]</f>
        <v>4</v>
      </c>
      <c r="CY283" s="248">
        <f>LOG(Table2821115[[#This Row],[BR/18 Fold]],2)</f>
        <v>1</v>
      </c>
      <c r="CZ283" s="248">
        <f>LOG(Table2821115[[#This Row],[KS/17 Fold]],2)</f>
        <v>2</v>
      </c>
      <c r="DA283" s="248">
        <f>LOG(Table2821115[[#This Row],[Phu/13 Fold]],2)</f>
        <v>3</v>
      </c>
      <c r="DB283" s="248">
        <f>LOG(Table2821115[[#This Row],[CO/17 Fold]],2)</f>
        <v>2</v>
      </c>
      <c r="DC283" s="248">
        <f>SUM(Table2821115[[#This Row],[BR/18 Log2]:[CO/17 Log2]])</f>
        <v>8</v>
      </c>
    </row>
    <row r="284" spans="1:107" ht="24" customHeight="1">
      <c r="A284" s="324">
        <v>445</v>
      </c>
      <c r="B284" s="190">
        <v>29020</v>
      </c>
      <c r="C284" s="190">
        <v>43805</v>
      </c>
      <c r="D284" s="189">
        <v>40</v>
      </c>
      <c r="E284" s="4" t="s">
        <v>58</v>
      </c>
      <c r="F284" s="143" t="s">
        <v>127</v>
      </c>
      <c r="G284" s="142">
        <v>24.247458565721288</v>
      </c>
      <c r="H284" s="11" t="s">
        <v>59</v>
      </c>
      <c r="I284" s="277" t="s">
        <v>62</v>
      </c>
      <c r="J284" s="260">
        <v>5</v>
      </c>
      <c r="K284" s="260">
        <v>5</v>
      </c>
      <c r="L284" s="260"/>
      <c r="M284" s="260"/>
      <c r="N284" s="260"/>
      <c r="O284" s="260"/>
      <c r="P284" s="260"/>
      <c r="Q284" s="260"/>
      <c r="R284" s="260"/>
      <c r="S284" s="260"/>
      <c r="T284" s="260"/>
      <c r="U284" s="260"/>
      <c r="V284" s="260">
        <v>5</v>
      </c>
      <c r="W284" s="260">
        <v>5</v>
      </c>
      <c r="X284" s="260">
        <v>5</v>
      </c>
      <c r="Y284" s="260">
        <v>160</v>
      </c>
      <c r="Z284" s="260">
        <v>40</v>
      </c>
      <c r="AA284" s="260">
        <v>320</v>
      </c>
      <c r="AB284" s="260">
        <v>40</v>
      </c>
      <c r="AC284" s="260">
        <v>160</v>
      </c>
      <c r="AD284" s="260"/>
      <c r="AE284" s="260"/>
      <c r="AF284" s="260"/>
      <c r="AG284" s="260"/>
      <c r="AH284" s="198">
        <v>445</v>
      </c>
      <c r="AI284" s="272">
        <v>20</v>
      </c>
      <c r="AJ284" s="271">
        <v>20</v>
      </c>
      <c r="AK284" s="260"/>
      <c r="AL284" s="260"/>
      <c r="AM284" s="260"/>
      <c r="AN284" s="260"/>
      <c r="AO284" s="260"/>
      <c r="AP284" s="260"/>
      <c r="AQ284" s="260"/>
      <c r="AR284" s="260"/>
      <c r="AS284" s="260"/>
      <c r="AT284" s="260"/>
      <c r="AU284" s="260">
        <v>5</v>
      </c>
      <c r="AV284" s="271">
        <v>5</v>
      </c>
      <c r="AW284" s="260">
        <v>5</v>
      </c>
      <c r="AX284" s="271">
        <v>10</v>
      </c>
      <c r="AY284" s="260">
        <v>5</v>
      </c>
      <c r="AZ284" s="271">
        <v>5</v>
      </c>
      <c r="BA284" s="276">
        <v>5</v>
      </c>
      <c r="BB284" s="276">
        <v>5</v>
      </c>
      <c r="BC284" s="276"/>
      <c r="BD284" s="276"/>
      <c r="BE284" s="276">
        <v>5</v>
      </c>
      <c r="BF284" s="276">
        <v>5</v>
      </c>
      <c r="BG284" s="260">
        <v>5</v>
      </c>
      <c r="BH284" s="271">
        <v>5</v>
      </c>
      <c r="BI284" s="276"/>
      <c r="BJ284" s="276"/>
      <c r="BK284" s="276"/>
      <c r="BL284" s="275"/>
      <c r="BM284" s="323">
        <v>445</v>
      </c>
      <c r="BN284" s="272">
        <v>10</v>
      </c>
      <c r="BO284" s="270">
        <v>1280</v>
      </c>
      <c r="BP284" s="272"/>
      <c r="BQ284" s="260"/>
      <c r="BR284" s="260"/>
      <c r="BS284" s="260"/>
      <c r="BT284" s="260"/>
      <c r="BU284" s="260"/>
      <c r="BV284" s="260">
        <v>5</v>
      </c>
      <c r="BW284" s="260">
        <v>640</v>
      </c>
      <c r="BX284" s="260"/>
      <c r="BY284" s="260"/>
      <c r="BZ284" s="260"/>
      <c r="CA284" s="260"/>
      <c r="CB284" s="260"/>
      <c r="CC284" s="260"/>
      <c r="CD284" s="260">
        <v>5</v>
      </c>
      <c r="CE284" s="260">
        <v>40</v>
      </c>
      <c r="CF284" s="272"/>
      <c r="CG284" s="260"/>
      <c r="CH284" s="260"/>
      <c r="CI284" s="260"/>
      <c r="CJ284" s="260"/>
      <c r="CK284" s="260"/>
      <c r="CL284" s="260"/>
      <c r="CM284" s="260"/>
      <c r="CN284" s="260">
        <v>5</v>
      </c>
      <c r="CO284" s="260">
        <v>640</v>
      </c>
      <c r="CP284" s="260">
        <v>5</v>
      </c>
      <c r="CQ284" s="260">
        <v>1280</v>
      </c>
      <c r="CR284" s="260">
        <v>5</v>
      </c>
      <c r="CS284" s="270">
        <v>1280</v>
      </c>
      <c r="CT284" s="322">
        <v>445</v>
      </c>
      <c r="CU284" s="249">
        <f>Table2821115[[#This Row],[D28 - BR/18]]/Table2821115[[#This Row],[D0 - BR/18]]</f>
        <v>4</v>
      </c>
      <c r="CV284" s="248">
        <f>Table2821115[[#This Row],[D28 - KS/17]]/Table2821115[[#This Row],[D0 - KS/17]]</f>
        <v>1</v>
      </c>
      <c r="CW284" s="248">
        <f>Table2821115[[#This Row],[D28 - Phu/13]]/Table2821115[[#This Row],[D0 - Phu/13]]</f>
        <v>8</v>
      </c>
      <c r="CX284" s="248">
        <f>Table2821115[[#This Row],[D28 - CO/17]]/Table2821115[[#This Row],[D0 - CO/17]]</f>
        <v>256</v>
      </c>
      <c r="CY284" s="248">
        <f>LOG(Table2821115[[#This Row],[BR/18 Fold]],2)</f>
        <v>2</v>
      </c>
      <c r="CZ284" s="248">
        <f>LOG(Table2821115[[#This Row],[KS/17 Fold]],2)</f>
        <v>0</v>
      </c>
      <c r="DA284" s="248">
        <f>LOG(Table2821115[[#This Row],[Phu/13 Fold]],2)</f>
        <v>3</v>
      </c>
      <c r="DB284" s="248">
        <f>LOG(Table2821115[[#This Row],[CO/17 Fold]],2)</f>
        <v>8</v>
      </c>
      <c r="DC284" s="248">
        <f>SUM(Table2821115[[#This Row],[BR/18 Log2]:[CO/17 Log2]])</f>
        <v>13</v>
      </c>
    </row>
    <row r="285" spans="1:107" ht="24" customHeight="1">
      <c r="A285" s="324">
        <v>446</v>
      </c>
      <c r="B285" s="190">
        <v>29424</v>
      </c>
      <c r="C285" s="190">
        <v>43805</v>
      </c>
      <c r="D285" s="189">
        <v>39</v>
      </c>
      <c r="E285" s="4" t="s">
        <v>58</v>
      </c>
      <c r="F285" s="143" t="s">
        <v>116</v>
      </c>
      <c r="G285" s="142">
        <v>21.626290393575228</v>
      </c>
      <c r="H285" s="11" t="s">
        <v>59</v>
      </c>
      <c r="I285" s="277" t="s">
        <v>62</v>
      </c>
      <c r="J285" s="260">
        <v>5</v>
      </c>
      <c r="K285" s="260">
        <v>5</v>
      </c>
      <c r="L285" s="260"/>
      <c r="M285" s="260"/>
      <c r="N285" s="260"/>
      <c r="O285" s="260"/>
      <c r="P285" s="260"/>
      <c r="Q285" s="260"/>
      <c r="R285" s="260"/>
      <c r="S285" s="260"/>
      <c r="T285" s="260"/>
      <c r="U285" s="260"/>
      <c r="V285" s="260">
        <v>5</v>
      </c>
      <c r="W285" s="260">
        <v>5</v>
      </c>
      <c r="X285" s="260">
        <v>80</v>
      </c>
      <c r="Y285" s="260">
        <v>160</v>
      </c>
      <c r="Z285" s="260">
        <v>160</v>
      </c>
      <c r="AA285" s="260">
        <v>320</v>
      </c>
      <c r="AB285" s="260">
        <v>160</v>
      </c>
      <c r="AC285" s="260">
        <v>160</v>
      </c>
      <c r="AD285" s="260"/>
      <c r="AE285" s="260"/>
      <c r="AF285" s="260"/>
      <c r="AG285" s="260"/>
      <c r="AH285" s="198">
        <v>446</v>
      </c>
      <c r="AI285" s="272">
        <v>5</v>
      </c>
      <c r="AJ285" s="271">
        <v>10</v>
      </c>
      <c r="AK285" s="260"/>
      <c r="AL285" s="260"/>
      <c r="AM285" s="260"/>
      <c r="AN285" s="260"/>
      <c r="AO285" s="260"/>
      <c r="AP285" s="260"/>
      <c r="AQ285" s="260"/>
      <c r="AR285" s="260"/>
      <c r="AS285" s="260"/>
      <c r="AT285" s="260"/>
      <c r="AU285" s="260">
        <v>5</v>
      </c>
      <c r="AV285" s="271">
        <v>40</v>
      </c>
      <c r="AW285" s="260">
        <v>5</v>
      </c>
      <c r="AX285" s="271">
        <v>40</v>
      </c>
      <c r="AY285" s="260">
        <v>5</v>
      </c>
      <c r="AZ285" s="271">
        <v>40</v>
      </c>
      <c r="BA285" s="276">
        <v>10</v>
      </c>
      <c r="BB285" s="276">
        <v>40</v>
      </c>
      <c r="BC285" s="276"/>
      <c r="BD285" s="276"/>
      <c r="BE285" s="276">
        <v>5</v>
      </c>
      <c r="BF285" s="276">
        <v>40</v>
      </c>
      <c r="BG285" s="260">
        <v>40</v>
      </c>
      <c r="BH285" s="271">
        <v>40</v>
      </c>
      <c r="BI285" s="276"/>
      <c r="BJ285" s="276"/>
      <c r="BK285" s="276"/>
      <c r="BL285" s="275"/>
      <c r="BM285" s="323">
        <v>446</v>
      </c>
      <c r="BN285" s="272">
        <v>20</v>
      </c>
      <c r="BO285" s="270">
        <v>80</v>
      </c>
      <c r="BP285" s="272"/>
      <c r="BQ285" s="260"/>
      <c r="BR285" s="260"/>
      <c r="BS285" s="260"/>
      <c r="BT285" s="260"/>
      <c r="BU285" s="260"/>
      <c r="BV285" s="260">
        <v>5</v>
      </c>
      <c r="BW285" s="260">
        <v>5</v>
      </c>
      <c r="BX285" s="260"/>
      <c r="BY285" s="260"/>
      <c r="BZ285" s="260"/>
      <c r="CA285" s="260"/>
      <c r="CB285" s="260"/>
      <c r="CC285" s="260"/>
      <c r="CD285" s="260">
        <v>20</v>
      </c>
      <c r="CE285" s="260">
        <v>80</v>
      </c>
      <c r="CF285" s="272"/>
      <c r="CG285" s="260"/>
      <c r="CH285" s="260"/>
      <c r="CI285" s="260"/>
      <c r="CJ285" s="260"/>
      <c r="CK285" s="260"/>
      <c r="CL285" s="260"/>
      <c r="CM285" s="260"/>
      <c r="CN285" s="260">
        <v>20</v>
      </c>
      <c r="CO285" s="260">
        <v>40</v>
      </c>
      <c r="CP285" s="260">
        <v>40</v>
      </c>
      <c r="CQ285" s="260">
        <v>80</v>
      </c>
      <c r="CR285" s="260">
        <v>40</v>
      </c>
      <c r="CS285" s="270">
        <v>80</v>
      </c>
      <c r="CT285" s="322">
        <v>446</v>
      </c>
      <c r="CU285" s="249">
        <f>Table2821115[[#This Row],[D28 - BR/18]]/Table2821115[[#This Row],[D0 - BR/18]]</f>
        <v>1</v>
      </c>
      <c r="CV285" s="248">
        <f>Table2821115[[#This Row],[D28 - KS/17]]/Table2821115[[#This Row],[D0 - KS/17]]</f>
        <v>8</v>
      </c>
      <c r="CW285" s="248">
        <f>Table2821115[[#This Row],[D28 - Phu/13]]/Table2821115[[#This Row],[D0 - Phu/13]]</f>
        <v>4</v>
      </c>
      <c r="CX285" s="248">
        <f>Table2821115[[#This Row],[D28 - CO/17]]/Table2821115[[#This Row],[D0 - CO/17]]</f>
        <v>2</v>
      </c>
      <c r="CY285" s="248">
        <f>LOG(Table2821115[[#This Row],[BR/18 Fold]],2)</f>
        <v>0</v>
      </c>
      <c r="CZ285" s="248">
        <f>LOG(Table2821115[[#This Row],[KS/17 Fold]],2)</f>
        <v>3</v>
      </c>
      <c r="DA285" s="248">
        <f>LOG(Table2821115[[#This Row],[Phu/13 Fold]],2)</f>
        <v>2</v>
      </c>
      <c r="DB285" s="248">
        <f>LOG(Table2821115[[#This Row],[CO/17 Fold]],2)</f>
        <v>1</v>
      </c>
      <c r="DC285" s="248">
        <f>SUM(Table2821115[[#This Row],[BR/18 Log2]:[CO/17 Log2]])</f>
        <v>6</v>
      </c>
    </row>
    <row r="286" spans="1:107" ht="24" customHeight="1">
      <c r="A286" s="324">
        <v>447</v>
      </c>
      <c r="B286" s="190">
        <v>28804</v>
      </c>
      <c r="C286" s="190">
        <v>43836</v>
      </c>
      <c r="D286" s="189">
        <v>41</v>
      </c>
      <c r="E286" s="4" t="s">
        <v>58</v>
      </c>
      <c r="F286" s="143" t="s">
        <v>116</v>
      </c>
      <c r="G286" s="142">
        <v>25.465524273793232</v>
      </c>
      <c r="H286" s="11" t="s">
        <v>59</v>
      </c>
      <c r="I286" s="277" t="s">
        <v>60</v>
      </c>
      <c r="J286" s="260">
        <v>5</v>
      </c>
      <c r="K286" s="260">
        <v>5</v>
      </c>
      <c r="L286" s="260"/>
      <c r="M286" s="260"/>
      <c r="N286" s="260"/>
      <c r="O286" s="260"/>
      <c r="P286" s="260"/>
      <c r="Q286" s="260"/>
      <c r="R286" s="260"/>
      <c r="S286" s="260"/>
      <c r="T286" s="260"/>
      <c r="U286" s="260"/>
      <c r="V286" s="260">
        <v>5</v>
      </c>
      <c r="W286" s="260">
        <v>5</v>
      </c>
      <c r="X286" s="260">
        <v>5</v>
      </c>
      <c r="Y286" s="260">
        <v>5</v>
      </c>
      <c r="Z286" s="260">
        <v>5</v>
      </c>
      <c r="AA286" s="260">
        <v>5</v>
      </c>
      <c r="AB286" s="260">
        <v>5</v>
      </c>
      <c r="AC286" s="260">
        <v>20</v>
      </c>
      <c r="AD286" s="260"/>
      <c r="AE286" s="260"/>
      <c r="AF286" s="260"/>
      <c r="AG286" s="260"/>
      <c r="AH286" s="198">
        <v>447</v>
      </c>
      <c r="AI286" s="272">
        <v>40</v>
      </c>
      <c r="AJ286" s="271">
        <v>20</v>
      </c>
      <c r="AK286" s="260"/>
      <c r="AL286" s="260"/>
      <c r="AM286" s="260"/>
      <c r="AN286" s="260"/>
      <c r="AO286" s="260"/>
      <c r="AP286" s="260"/>
      <c r="AQ286" s="260"/>
      <c r="AR286" s="260"/>
      <c r="AS286" s="260"/>
      <c r="AT286" s="260"/>
      <c r="AU286" s="260">
        <v>40</v>
      </c>
      <c r="AV286" s="271">
        <v>80</v>
      </c>
      <c r="AW286" s="260">
        <v>40</v>
      </c>
      <c r="AX286" s="271">
        <v>160</v>
      </c>
      <c r="AY286" s="260">
        <v>5</v>
      </c>
      <c r="AZ286" s="271">
        <v>80</v>
      </c>
      <c r="BA286" s="276">
        <v>20</v>
      </c>
      <c r="BB286" s="276">
        <v>160</v>
      </c>
      <c r="BC286" s="276"/>
      <c r="BD286" s="276"/>
      <c r="BE286" s="276">
        <v>20</v>
      </c>
      <c r="BF286" s="276">
        <v>320</v>
      </c>
      <c r="BG286" s="260">
        <v>80</v>
      </c>
      <c r="BH286" s="271">
        <v>160</v>
      </c>
      <c r="BI286" s="276"/>
      <c r="BJ286" s="276"/>
      <c r="BK286" s="276"/>
      <c r="BL286" s="275"/>
      <c r="BM286" s="323">
        <v>447</v>
      </c>
      <c r="BN286" s="272">
        <v>20</v>
      </c>
      <c r="BO286" s="270">
        <v>40</v>
      </c>
      <c r="BP286" s="272"/>
      <c r="BQ286" s="260"/>
      <c r="BR286" s="260"/>
      <c r="BS286" s="260"/>
      <c r="BT286" s="260"/>
      <c r="BU286" s="260"/>
      <c r="BV286" s="260">
        <v>5</v>
      </c>
      <c r="BW286" s="260">
        <v>160</v>
      </c>
      <c r="BX286" s="260"/>
      <c r="BY286" s="260"/>
      <c r="BZ286" s="260"/>
      <c r="CA286" s="260"/>
      <c r="CB286" s="260"/>
      <c r="CC286" s="260"/>
      <c r="CD286" s="260">
        <v>40</v>
      </c>
      <c r="CE286" s="260">
        <v>40</v>
      </c>
      <c r="CF286" s="272"/>
      <c r="CG286" s="260"/>
      <c r="CH286" s="260"/>
      <c r="CI286" s="260"/>
      <c r="CJ286" s="260"/>
      <c r="CK286" s="260"/>
      <c r="CL286" s="260"/>
      <c r="CM286" s="260"/>
      <c r="CN286" s="260">
        <v>20</v>
      </c>
      <c r="CO286" s="260">
        <v>40</v>
      </c>
      <c r="CP286" s="260">
        <v>40</v>
      </c>
      <c r="CQ286" s="260">
        <v>40</v>
      </c>
      <c r="CR286" s="260">
        <v>20</v>
      </c>
      <c r="CS286" s="270">
        <v>40</v>
      </c>
      <c r="CT286" s="322">
        <v>447</v>
      </c>
      <c r="CU286" s="249">
        <f>Table2821115[[#This Row],[D28 - BR/18]]/Table2821115[[#This Row],[D0 - BR/18]]</f>
        <v>4</v>
      </c>
      <c r="CV286" s="248">
        <f>Table2821115[[#This Row],[D28 - KS/17]]/Table2821115[[#This Row],[D0 - KS/17]]</f>
        <v>16</v>
      </c>
      <c r="CW286" s="248">
        <f>Table2821115[[#This Row],[D28 - Phu/13]]/Table2821115[[#This Row],[D0 - Phu/13]]</f>
        <v>1</v>
      </c>
      <c r="CX286" s="248">
        <f>Table2821115[[#This Row],[D28 - CO/17]]/Table2821115[[#This Row],[D0 - CO/17]]</f>
        <v>1</v>
      </c>
      <c r="CY286" s="248">
        <f>LOG(Table2821115[[#This Row],[BR/18 Fold]],2)</f>
        <v>2</v>
      </c>
      <c r="CZ286" s="248">
        <f>LOG(Table2821115[[#This Row],[KS/17 Fold]],2)</f>
        <v>4</v>
      </c>
      <c r="DA286" s="248">
        <f>LOG(Table2821115[[#This Row],[Phu/13 Fold]],2)</f>
        <v>0</v>
      </c>
      <c r="DB286" s="248">
        <f>LOG(Table2821115[[#This Row],[CO/17 Fold]],2)</f>
        <v>0</v>
      </c>
      <c r="DC286" s="248">
        <f>SUM(Table2821115[[#This Row],[BR/18 Log2]:[CO/17 Log2]])</f>
        <v>6</v>
      </c>
    </row>
    <row r="287" spans="1:107" ht="24" customHeight="1">
      <c r="A287" s="324">
        <v>448</v>
      </c>
      <c r="B287" s="190">
        <v>28323</v>
      </c>
      <c r="C287" s="190">
        <v>43859</v>
      </c>
      <c r="D287" s="189">
        <v>42</v>
      </c>
      <c r="E287" s="4" t="s">
        <v>58</v>
      </c>
      <c r="F287" s="143" t="s">
        <v>116</v>
      </c>
      <c r="G287" s="142">
        <v>35.446797520661157</v>
      </c>
      <c r="H287" s="11" t="s">
        <v>59</v>
      </c>
      <c r="I287" s="277" t="s">
        <v>62</v>
      </c>
      <c r="J287" s="260">
        <v>5</v>
      </c>
      <c r="K287" s="260">
        <v>5</v>
      </c>
      <c r="L287" s="260"/>
      <c r="M287" s="260"/>
      <c r="N287" s="260"/>
      <c r="O287" s="260"/>
      <c r="P287" s="260"/>
      <c r="Q287" s="260"/>
      <c r="R287" s="260"/>
      <c r="S287" s="260"/>
      <c r="T287" s="260"/>
      <c r="U287" s="260"/>
      <c r="V287" s="260">
        <v>5</v>
      </c>
      <c r="W287" s="260">
        <v>5</v>
      </c>
      <c r="X287" s="260">
        <v>5</v>
      </c>
      <c r="Y287" s="260">
        <v>80</v>
      </c>
      <c r="Z287" s="260">
        <v>5</v>
      </c>
      <c r="AA287" s="260">
        <v>320</v>
      </c>
      <c r="AB287" s="260">
        <v>5</v>
      </c>
      <c r="AC287" s="260">
        <v>160</v>
      </c>
      <c r="AD287" s="260"/>
      <c r="AE287" s="260"/>
      <c r="AF287" s="260"/>
      <c r="AG287" s="260"/>
      <c r="AH287" s="198">
        <v>448</v>
      </c>
      <c r="AI287" s="272">
        <v>5</v>
      </c>
      <c r="AJ287" s="271">
        <v>80</v>
      </c>
      <c r="AK287" s="260"/>
      <c r="AL287" s="260"/>
      <c r="AM287" s="260"/>
      <c r="AN287" s="260"/>
      <c r="AO287" s="260"/>
      <c r="AP287" s="260"/>
      <c r="AQ287" s="260"/>
      <c r="AR287" s="260"/>
      <c r="AS287" s="260"/>
      <c r="AT287" s="260"/>
      <c r="AU287" s="260">
        <v>5</v>
      </c>
      <c r="AV287" s="271">
        <v>160</v>
      </c>
      <c r="AW287" s="260">
        <v>5</v>
      </c>
      <c r="AX287" s="271">
        <v>160</v>
      </c>
      <c r="AY287" s="260">
        <v>5</v>
      </c>
      <c r="AZ287" s="271">
        <v>320</v>
      </c>
      <c r="BA287" s="276">
        <v>5</v>
      </c>
      <c r="BB287" s="276">
        <v>320</v>
      </c>
      <c r="BC287" s="276"/>
      <c r="BD287" s="276"/>
      <c r="BE287" s="276">
        <v>5</v>
      </c>
      <c r="BF287" s="276">
        <v>160</v>
      </c>
      <c r="BG287" s="260">
        <v>20</v>
      </c>
      <c r="BH287" s="271">
        <v>320</v>
      </c>
      <c r="BI287" s="276"/>
      <c r="BJ287" s="276"/>
      <c r="BK287" s="276"/>
      <c r="BL287" s="275"/>
      <c r="BM287" s="323">
        <v>448</v>
      </c>
      <c r="BN287" s="272">
        <v>20</v>
      </c>
      <c r="BO287" s="270">
        <v>160</v>
      </c>
      <c r="BP287" s="272"/>
      <c r="BQ287" s="260"/>
      <c r="BR287" s="260"/>
      <c r="BS287" s="260"/>
      <c r="BT287" s="260"/>
      <c r="BU287" s="260"/>
      <c r="BV287" s="260">
        <v>5</v>
      </c>
      <c r="BW287" s="260">
        <v>5</v>
      </c>
      <c r="BX287" s="260"/>
      <c r="BY287" s="260"/>
      <c r="BZ287" s="260"/>
      <c r="CA287" s="260"/>
      <c r="CB287" s="260"/>
      <c r="CC287" s="260"/>
      <c r="CD287" s="260">
        <v>5</v>
      </c>
      <c r="CE287" s="260">
        <v>320</v>
      </c>
      <c r="CF287" s="272"/>
      <c r="CG287" s="260"/>
      <c r="CH287" s="260"/>
      <c r="CI287" s="260"/>
      <c r="CJ287" s="260"/>
      <c r="CK287" s="260"/>
      <c r="CL287" s="260"/>
      <c r="CM287" s="260"/>
      <c r="CN287" s="260">
        <v>5</v>
      </c>
      <c r="CO287" s="260">
        <v>160</v>
      </c>
      <c r="CP287" s="260">
        <v>5</v>
      </c>
      <c r="CQ287" s="260">
        <v>320</v>
      </c>
      <c r="CR287" s="260">
        <v>20</v>
      </c>
      <c r="CS287" s="270">
        <v>320</v>
      </c>
      <c r="CT287" s="322">
        <v>448</v>
      </c>
      <c r="CU287" s="249">
        <f>Table2821115[[#This Row],[D28 - BR/18]]/Table2821115[[#This Row],[D0 - BR/18]]</f>
        <v>32</v>
      </c>
      <c r="CV287" s="248">
        <f>Table2821115[[#This Row],[D28 - KS/17]]/Table2821115[[#This Row],[D0 - KS/17]]</f>
        <v>32</v>
      </c>
      <c r="CW287" s="248">
        <f>Table2821115[[#This Row],[D28 - Phu/13]]/Table2821115[[#This Row],[D0 - Phu/13]]</f>
        <v>64</v>
      </c>
      <c r="CX287" s="248">
        <f>Table2821115[[#This Row],[D28 - CO/17]]/Table2821115[[#This Row],[D0 - CO/17]]</f>
        <v>64</v>
      </c>
      <c r="CY287" s="248">
        <f>LOG(Table2821115[[#This Row],[BR/18 Fold]],2)</f>
        <v>5</v>
      </c>
      <c r="CZ287" s="248">
        <f>LOG(Table2821115[[#This Row],[KS/17 Fold]],2)</f>
        <v>5</v>
      </c>
      <c r="DA287" s="248">
        <f>LOG(Table2821115[[#This Row],[Phu/13 Fold]],2)</f>
        <v>6</v>
      </c>
      <c r="DB287" s="248">
        <f>LOG(Table2821115[[#This Row],[CO/17 Fold]],2)</f>
        <v>6</v>
      </c>
      <c r="DC287" s="248">
        <f>SUM(Table2821115[[#This Row],[BR/18 Log2]:[CO/17 Log2]])</f>
        <v>22</v>
      </c>
    </row>
    <row r="288" spans="1:107" ht="24" customHeight="1">
      <c r="A288" s="321">
        <v>449</v>
      </c>
      <c r="B288" s="183">
        <v>35484</v>
      </c>
      <c r="C288" s="183">
        <v>43802</v>
      </c>
      <c r="D288" s="182">
        <v>22</v>
      </c>
      <c r="E288" s="3" t="s">
        <v>61</v>
      </c>
      <c r="F288" s="143" t="s">
        <v>116</v>
      </c>
      <c r="G288" s="142">
        <v>29.099364741027223</v>
      </c>
      <c r="H288" s="11" t="s">
        <v>59</v>
      </c>
      <c r="I288" s="277" t="s">
        <v>60</v>
      </c>
      <c r="J288" s="260">
        <v>5</v>
      </c>
      <c r="K288" s="260">
        <v>5</v>
      </c>
      <c r="L288" s="260"/>
      <c r="M288" s="260"/>
      <c r="N288" s="260"/>
      <c r="O288" s="260"/>
      <c r="P288" s="260"/>
      <c r="Q288" s="260"/>
      <c r="R288" s="260"/>
      <c r="S288" s="260"/>
      <c r="T288" s="260"/>
      <c r="U288" s="260"/>
      <c r="V288" s="260">
        <v>20</v>
      </c>
      <c r="W288" s="260">
        <v>20</v>
      </c>
      <c r="X288" s="260">
        <v>5</v>
      </c>
      <c r="Y288" s="260">
        <v>10</v>
      </c>
      <c r="Z288" s="260">
        <v>10</v>
      </c>
      <c r="AA288" s="260">
        <v>640</v>
      </c>
      <c r="AB288" s="260">
        <v>5</v>
      </c>
      <c r="AC288" s="260">
        <v>640</v>
      </c>
      <c r="AD288" s="260"/>
      <c r="AE288" s="260"/>
      <c r="AF288" s="260"/>
      <c r="AG288" s="260"/>
      <c r="AH288" s="32">
        <v>449</v>
      </c>
      <c r="AI288" s="272">
        <v>40</v>
      </c>
      <c r="AJ288" s="271">
        <v>80</v>
      </c>
      <c r="AK288" s="260"/>
      <c r="AL288" s="260"/>
      <c r="AM288" s="260"/>
      <c r="AN288" s="260"/>
      <c r="AO288" s="260"/>
      <c r="AP288" s="260"/>
      <c r="AQ288" s="260"/>
      <c r="AR288" s="260"/>
      <c r="AS288" s="260"/>
      <c r="AT288" s="260"/>
      <c r="AU288" s="260">
        <v>40</v>
      </c>
      <c r="AV288" s="271">
        <v>160</v>
      </c>
      <c r="AW288" s="260">
        <v>40</v>
      </c>
      <c r="AX288" s="271">
        <v>160</v>
      </c>
      <c r="AY288" s="260">
        <v>5</v>
      </c>
      <c r="AZ288" s="271">
        <v>5</v>
      </c>
      <c r="BA288" s="276">
        <v>40</v>
      </c>
      <c r="BB288" s="276">
        <v>80</v>
      </c>
      <c r="BC288" s="276"/>
      <c r="BD288" s="276"/>
      <c r="BE288" s="276">
        <v>20</v>
      </c>
      <c r="BF288" s="276">
        <v>160</v>
      </c>
      <c r="BG288" s="260">
        <v>80</v>
      </c>
      <c r="BH288" s="271">
        <v>160</v>
      </c>
      <c r="BI288" s="276"/>
      <c r="BJ288" s="276"/>
      <c r="BK288" s="276"/>
      <c r="BL288" s="275"/>
      <c r="BM288" s="320">
        <v>449</v>
      </c>
      <c r="BN288" s="272">
        <v>160</v>
      </c>
      <c r="BO288" s="270">
        <v>320</v>
      </c>
      <c r="BP288" s="272"/>
      <c r="BQ288" s="260"/>
      <c r="BR288" s="260"/>
      <c r="BS288" s="260"/>
      <c r="BT288" s="260"/>
      <c r="BU288" s="260"/>
      <c r="BV288" s="260">
        <v>5</v>
      </c>
      <c r="BW288" s="260">
        <v>5</v>
      </c>
      <c r="BX288" s="260"/>
      <c r="BY288" s="260"/>
      <c r="BZ288" s="260"/>
      <c r="CA288" s="260"/>
      <c r="CB288" s="260"/>
      <c r="CC288" s="260"/>
      <c r="CD288" s="260">
        <v>80</v>
      </c>
      <c r="CE288" s="260">
        <v>320</v>
      </c>
      <c r="CF288" s="272"/>
      <c r="CG288" s="260"/>
      <c r="CH288" s="260"/>
      <c r="CI288" s="260"/>
      <c r="CJ288" s="260"/>
      <c r="CK288" s="260"/>
      <c r="CL288" s="260"/>
      <c r="CM288" s="260"/>
      <c r="CN288" s="260">
        <v>20</v>
      </c>
      <c r="CO288" s="260">
        <v>80</v>
      </c>
      <c r="CP288" s="260">
        <v>40</v>
      </c>
      <c r="CQ288" s="260">
        <v>80</v>
      </c>
      <c r="CR288" s="260">
        <v>10</v>
      </c>
      <c r="CS288" s="270">
        <v>80</v>
      </c>
      <c r="CT288" s="319">
        <v>449</v>
      </c>
      <c r="CU288" s="249">
        <f>Table2821115[[#This Row],[D28 - BR/18]]/Table2821115[[#This Row],[D0 - BR/18]]</f>
        <v>128</v>
      </c>
      <c r="CV288" s="248">
        <f>Table2821115[[#This Row],[D28 - KS/17]]/Table2821115[[#This Row],[D0 - KS/17]]</f>
        <v>8</v>
      </c>
      <c r="CW288" s="248">
        <f>Table2821115[[#This Row],[D28 - Phu/13]]/Table2821115[[#This Row],[D0 - Phu/13]]</f>
        <v>4</v>
      </c>
      <c r="CX288" s="248">
        <f>Table2821115[[#This Row],[D28 - CO/17]]/Table2821115[[#This Row],[D0 - CO/17]]</f>
        <v>2</v>
      </c>
      <c r="CY288" s="248">
        <f>LOG(Table2821115[[#This Row],[BR/18 Fold]],2)</f>
        <v>7</v>
      </c>
      <c r="CZ288" s="248">
        <f>LOG(Table2821115[[#This Row],[KS/17 Fold]],2)</f>
        <v>3</v>
      </c>
      <c r="DA288" s="248">
        <f>LOG(Table2821115[[#This Row],[Phu/13 Fold]],2)</f>
        <v>2</v>
      </c>
      <c r="DB288" s="248">
        <f>LOG(Table2821115[[#This Row],[CO/17 Fold]],2)</f>
        <v>1</v>
      </c>
      <c r="DC288" s="248">
        <f>SUM(Table2821115[[#This Row],[BR/18 Log2]:[CO/17 Log2]])</f>
        <v>13</v>
      </c>
    </row>
    <row r="289" spans="1:107" ht="24" customHeight="1">
      <c r="A289" s="321">
        <v>450</v>
      </c>
      <c r="B289" s="183">
        <v>35332</v>
      </c>
      <c r="C289" s="183">
        <v>43803</v>
      </c>
      <c r="D289" s="182">
        <v>23</v>
      </c>
      <c r="E289" s="3" t="s">
        <v>61</v>
      </c>
      <c r="F289" s="143" t="s">
        <v>116</v>
      </c>
      <c r="G289" s="142">
        <v>19.170473886947953</v>
      </c>
      <c r="H289" s="11" t="s">
        <v>59</v>
      </c>
      <c r="I289" s="277" t="s">
        <v>60</v>
      </c>
      <c r="J289" s="260">
        <v>5</v>
      </c>
      <c r="K289" s="260">
        <v>5</v>
      </c>
      <c r="L289" s="260"/>
      <c r="M289" s="260"/>
      <c r="N289" s="260"/>
      <c r="O289" s="260"/>
      <c r="P289" s="260"/>
      <c r="Q289" s="260"/>
      <c r="R289" s="260"/>
      <c r="S289" s="260"/>
      <c r="T289" s="260"/>
      <c r="U289" s="260"/>
      <c r="V289" s="260">
        <v>10</v>
      </c>
      <c r="W289" s="260">
        <v>10</v>
      </c>
      <c r="X289" s="260">
        <v>5</v>
      </c>
      <c r="Y289" s="260">
        <v>5</v>
      </c>
      <c r="Z289" s="260">
        <v>40</v>
      </c>
      <c r="AA289" s="260">
        <v>640</v>
      </c>
      <c r="AB289" s="260">
        <v>20</v>
      </c>
      <c r="AC289" s="260">
        <v>320</v>
      </c>
      <c r="AD289" s="260"/>
      <c r="AE289" s="260"/>
      <c r="AF289" s="260"/>
      <c r="AG289" s="260"/>
      <c r="AH289" s="32">
        <v>450</v>
      </c>
      <c r="AI289" s="272">
        <v>40</v>
      </c>
      <c r="AJ289" s="271">
        <v>80</v>
      </c>
      <c r="AK289" s="260"/>
      <c r="AL289" s="260"/>
      <c r="AM289" s="260"/>
      <c r="AN289" s="260"/>
      <c r="AO289" s="260"/>
      <c r="AP289" s="260"/>
      <c r="AQ289" s="260"/>
      <c r="AR289" s="260"/>
      <c r="AS289" s="260"/>
      <c r="AT289" s="260"/>
      <c r="AU289" s="260">
        <v>20</v>
      </c>
      <c r="AV289" s="271">
        <v>160</v>
      </c>
      <c r="AW289" s="260">
        <v>5</v>
      </c>
      <c r="AX289" s="271">
        <v>160</v>
      </c>
      <c r="AY289" s="260">
        <v>5</v>
      </c>
      <c r="AZ289" s="271">
        <v>80</v>
      </c>
      <c r="BA289" s="276">
        <v>20</v>
      </c>
      <c r="BB289" s="276">
        <v>160</v>
      </c>
      <c r="BC289" s="276"/>
      <c r="BD289" s="276"/>
      <c r="BE289" s="276">
        <v>5</v>
      </c>
      <c r="BF289" s="276">
        <v>160</v>
      </c>
      <c r="BG289" s="260">
        <v>80</v>
      </c>
      <c r="BH289" s="271">
        <v>320</v>
      </c>
      <c r="BI289" s="276"/>
      <c r="BJ289" s="276"/>
      <c r="BK289" s="276"/>
      <c r="BL289" s="275"/>
      <c r="BM289" s="320">
        <v>450</v>
      </c>
      <c r="BN289" s="272">
        <v>80</v>
      </c>
      <c r="BO289" s="270">
        <v>80</v>
      </c>
      <c r="BP289" s="272"/>
      <c r="BQ289" s="260"/>
      <c r="BR289" s="260"/>
      <c r="BS289" s="260"/>
      <c r="BT289" s="260"/>
      <c r="BU289" s="260"/>
      <c r="BV289" s="260">
        <v>5</v>
      </c>
      <c r="BW289" s="260">
        <v>320</v>
      </c>
      <c r="BX289" s="260"/>
      <c r="BY289" s="260"/>
      <c r="BZ289" s="260"/>
      <c r="CA289" s="260"/>
      <c r="CB289" s="260"/>
      <c r="CC289" s="260"/>
      <c r="CD289" s="260">
        <v>80</v>
      </c>
      <c r="CE289" s="260">
        <v>160</v>
      </c>
      <c r="CF289" s="272"/>
      <c r="CG289" s="260"/>
      <c r="CH289" s="260"/>
      <c r="CI289" s="260"/>
      <c r="CJ289" s="260"/>
      <c r="CK289" s="260"/>
      <c r="CL289" s="260"/>
      <c r="CM289" s="260"/>
      <c r="CN289" s="260">
        <v>40</v>
      </c>
      <c r="CO289" s="260">
        <v>80</v>
      </c>
      <c r="CP289" s="260">
        <v>80</v>
      </c>
      <c r="CQ289" s="260">
        <v>160</v>
      </c>
      <c r="CR289" s="260">
        <v>80</v>
      </c>
      <c r="CS289" s="270">
        <v>160</v>
      </c>
      <c r="CT289" s="319">
        <v>450</v>
      </c>
      <c r="CU289" s="249">
        <f>Table2821115[[#This Row],[D28 - BR/18]]/Table2821115[[#This Row],[D0 - BR/18]]</f>
        <v>16</v>
      </c>
      <c r="CV289" s="248">
        <f>Table2821115[[#This Row],[D28 - KS/17]]/Table2821115[[#This Row],[D0 - KS/17]]</f>
        <v>32</v>
      </c>
      <c r="CW289" s="248">
        <f>Table2821115[[#This Row],[D28 - Phu/13]]/Table2821115[[#This Row],[D0 - Phu/13]]</f>
        <v>2</v>
      </c>
      <c r="CX289" s="248">
        <f>Table2821115[[#This Row],[D28 - CO/17]]/Table2821115[[#This Row],[D0 - CO/17]]</f>
        <v>2</v>
      </c>
      <c r="CY289" s="248">
        <f>LOG(Table2821115[[#This Row],[BR/18 Fold]],2)</f>
        <v>4</v>
      </c>
      <c r="CZ289" s="248">
        <f>LOG(Table2821115[[#This Row],[KS/17 Fold]],2)</f>
        <v>5</v>
      </c>
      <c r="DA289" s="248">
        <f>LOG(Table2821115[[#This Row],[Phu/13 Fold]],2)</f>
        <v>1</v>
      </c>
      <c r="DB289" s="248">
        <f>LOG(Table2821115[[#This Row],[CO/17 Fold]],2)</f>
        <v>1</v>
      </c>
      <c r="DC289" s="248">
        <f>SUM(Table2821115[[#This Row],[BR/18 Log2]:[CO/17 Log2]])</f>
        <v>11</v>
      </c>
    </row>
    <row r="290" spans="1:107" ht="24" customHeight="1">
      <c r="A290" s="321">
        <v>451</v>
      </c>
      <c r="B290" s="183">
        <v>35479</v>
      </c>
      <c r="C290" s="183">
        <v>43809</v>
      </c>
      <c r="D290" s="182">
        <v>22</v>
      </c>
      <c r="E290" s="3" t="s">
        <v>61</v>
      </c>
      <c r="F290" s="143" t="s">
        <v>116</v>
      </c>
      <c r="G290" s="142">
        <v>25.306891642745459</v>
      </c>
      <c r="H290" s="11" t="s">
        <v>59</v>
      </c>
      <c r="I290" s="277" t="s">
        <v>60</v>
      </c>
      <c r="J290" s="260">
        <v>5</v>
      </c>
      <c r="K290" s="260">
        <v>5</v>
      </c>
      <c r="L290" s="260"/>
      <c r="M290" s="260"/>
      <c r="N290" s="260"/>
      <c r="O290" s="260"/>
      <c r="P290" s="260"/>
      <c r="Q290" s="260"/>
      <c r="R290" s="260"/>
      <c r="S290" s="260"/>
      <c r="T290" s="260"/>
      <c r="U290" s="260"/>
      <c r="V290" s="260">
        <v>40</v>
      </c>
      <c r="W290" s="260">
        <v>320</v>
      </c>
      <c r="X290" s="260">
        <v>5</v>
      </c>
      <c r="Y290" s="260">
        <v>5</v>
      </c>
      <c r="Z290" s="260">
        <v>10</v>
      </c>
      <c r="AA290" s="260">
        <v>80</v>
      </c>
      <c r="AB290" s="260">
        <v>10</v>
      </c>
      <c r="AC290" s="260">
        <v>40</v>
      </c>
      <c r="AD290" s="260"/>
      <c r="AE290" s="260"/>
      <c r="AF290" s="260"/>
      <c r="AG290" s="260"/>
      <c r="AH290" s="32">
        <v>451</v>
      </c>
      <c r="AI290" s="272">
        <v>40</v>
      </c>
      <c r="AJ290" s="271">
        <v>80</v>
      </c>
      <c r="AK290" s="260"/>
      <c r="AL290" s="260"/>
      <c r="AM290" s="260"/>
      <c r="AN290" s="260"/>
      <c r="AO290" s="260"/>
      <c r="AP290" s="260"/>
      <c r="AQ290" s="260"/>
      <c r="AR290" s="260"/>
      <c r="AS290" s="260"/>
      <c r="AT290" s="260"/>
      <c r="AU290" s="260">
        <v>20</v>
      </c>
      <c r="AV290" s="271">
        <v>320</v>
      </c>
      <c r="AW290" s="260">
        <v>20</v>
      </c>
      <c r="AX290" s="271">
        <v>320</v>
      </c>
      <c r="AY290" s="260">
        <v>5</v>
      </c>
      <c r="AZ290" s="271">
        <v>320</v>
      </c>
      <c r="BA290" s="276">
        <v>20</v>
      </c>
      <c r="BB290" s="276">
        <v>320</v>
      </c>
      <c r="BC290" s="276"/>
      <c r="BD290" s="276"/>
      <c r="BE290" s="276">
        <v>5</v>
      </c>
      <c r="BF290" s="276">
        <v>640</v>
      </c>
      <c r="BG290" s="260">
        <v>40</v>
      </c>
      <c r="BH290" s="271">
        <v>640</v>
      </c>
      <c r="BI290" s="276"/>
      <c r="BJ290" s="276"/>
      <c r="BK290" s="276"/>
      <c r="BL290" s="275"/>
      <c r="BM290" s="320">
        <v>451</v>
      </c>
      <c r="BN290" s="272">
        <v>20</v>
      </c>
      <c r="BO290" s="270">
        <v>40</v>
      </c>
      <c r="BP290" s="272"/>
      <c r="BQ290" s="260"/>
      <c r="BR290" s="260"/>
      <c r="BS290" s="260"/>
      <c r="BT290" s="260"/>
      <c r="BU290" s="260"/>
      <c r="BV290" s="260">
        <v>5</v>
      </c>
      <c r="BW290" s="260">
        <v>5</v>
      </c>
      <c r="BX290" s="260"/>
      <c r="BY290" s="260"/>
      <c r="BZ290" s="260"/>
      <c r="CA290" s="260"/>
      <c r="CB290" s="260"/>
      <c r="CC290" s="260"/>
      <c r="CD290" s="260">
        <v>5</v>
      </c>
      <c r="CE290" s="260">
        <v>40</v>
      </c>
      <c r="CF290" s="272"/>
      <c r="CG290" s="260"/>
      <c r="CH290" s="260"/>
      <c r="CI290" s="260"/>
      <c r="CJ290" s="260"/>
      <c r="CK290" s="260"/>
      <c r="CL290" s="260"/>
      <c r="CM290" s="260"/>
      <c r="CN290" s="260">
        <v>20</v>
      </c>
      <c r="CO290" s="260">
        <v>40</v>
      </c>
      <c r="CP290" s="260">
        <v>10</v>
      </c>
      <c r="CQ290" s="260">
        <v>40</v>
      </c>
      <c r="CR290" s="260">
        <v>5</v>
      </c>
      <c r="CS290" s="270">
        <v>40</v>
      </c>
      <c r="CT290" s="319">
        <v>451</v>
      </c>
      <c r="CU290" s="249">
        <f>Table2821115[[#This Row],[D28 - BR/18]]/Table2821115[[#This Row],[D0 - BR/18]]</f>
        <v>4</v>
      </c>
      <c r="CV290" s="248">
        <f>Table2821115[[#This Row],[D28 - KS/17]]/Table2821115[[#This Row],[D0 - KS/17]]</f>
        <v>128</v>
      </c>
      <c r="CW290" s="248">
        <f>Table2821115[[#This Row],[D28 - Phu/13]]/Table2821115[[#This Row],[D0 - Phu/13]]</f>
        <v>8</v>
      </c>
      <c r="CX290" s="248">
        <f>Table2821115[[#This Row],[D28 - CO/17]]/Table2821115[[#This Row],[D0 - CO/17]]</f>
        <v>4</v>
      </c>
      <c r="CY290" s="248">
        <f>LOG(Table2821115[[#This Row],[BR/18 Fold]],2)</f>
        <v>2</v>
      </c>
      <c r="CZ290" s="248">
        <f>LOG(Table2821115[[#This Row],[KS/17 Fold]],2)</f>
        <v>7</v>
      </c>
      <c r="DA290" s="248">
        <f>LOG(Table2821115[[#This Row],[Phu/13 Fold]],2)</f>
        <v>3</v>
      </c>
      <c r="DB290" s="248">
        <f>LOG(Table2821115[[#This Row],[CO/17 Fold]],2)</f>
        <v>2</v>
      </c>
      <c r="DC290" s="248">
        <f>SUM(Table2821115[[#This Row],[BR/18 Log2]:[CO/17 Log2]])</f>
        <v>14</v>
      </c>
    </row>
    <row r="291" spans="1:107" ht="24" customHeight="1">
      <c r="A291" s="321">
        <v>452</v>
      </c>
      <c r="B291" s="183">
        <v>35297</v>
      </c>
      <c r="C291" s="183">
        <v>43802</v>
      </c>
      <c r="D291" s="182">
        <v>23</v>
      </c>
      <c r="E291" s="3" t="s">
        <v>61</v>
      </c>
      <c r="F291" s="143" t="s">
        <v>116</v>
      </c>
      <c r="G291" s="142">
        <v>32.029618570117123</v>
      </c>
      <c r="H291" s="11" t="s">
        <v>59</v>
      </c>
      <c r="I291" s="277" t="s">
        <v>60</v>
      </c>
      <c r="J291" s="260">
        <v>5</v>
      </c>
      <c r="K291" s="260">
        <v>5</v>
      </c>
      <c r="L291" s="260"/>
      <c r="M291" s="260"/>
      <c r="N291" s="260"/>
      <c r="O291" s="260"/>
      <c r="P291" s="260"/>
      <c r="Q291" s="260"/>
      <c r="R291" s="260"/>
      <c r="S291" s="260"/>
      <c r="T291" s="260"/>
      <c r="U291" s="260"/>
      <c r="V291" s="260">
        <v>10</v>
      </c>
      <c r="W291" s="260">
        <v>10</v>
      </c>
      <c r="X291" s="260">
        <v>80</v>
      </c>
      <c r="Y291" s="260">
        <v>80</v>
      </c>
      <c r="Z291" s="260">
        <v>160</v>
      </c>
      <c r="AA291" s="260">
        <v>160</v>
      </c>
      <c r="AB291" s="260">
        <v>80</v>
      </c>
      <c r="AC291" s="260">
        <v>80</v>
      </c>
      <c r="AD291" s="260"/>
      <c r="AE291" s="260"/>
      <c r="AF291" s="260"/>
      <c r="AG291" s="260"/>
      <c r="AH291" s="32">
        <v>452</v>
      </c>
      <c r="AI291" s="272">
        <v>20</v>
      </c>
      <c r="AJ291" s="271">
        <v>80</v>
      </c>
      <c r="AK291" s="260"/>
      <c r="AL291" s="260"/>
      <c r="AM291" s="260"/>
      <c r="AN291" s="260"/>
      <c r="AO291" s="260"/>
      <c r="AP291" s="260"/>
      <c r="AQ291" s="260"/>
      <c r="AR291" s="260"/>
      <c r="AS291" s="260"/>
      <c r="AT291" s="260"/>
      <c r="AU291" s="260">
        <v>10</v>
      </c>
      <c r="AV291" s="271">
        <v>320</v>
      </c>
      <c r="AW291" s="260">
        <v>10</v>
      </c>
      <c r="AX291" s="271">
        <v>320</v>
      </c>
      <c r="AY291" s="260">
        <v>5</v>
      </c>
      <c r="AZ291" s="271">
        <v>320</v>
      </c>
      <c r="BA291" s="276">
        <v>20</v>
      </c>
      <c r="BB291" s="276">
        <v>320</v>
      </c>
      <c r="BC291" s="276"/>
      <c r="BD291" s="276"/>
      <c r="BE291" s="276">
        <v>5</v>
      </c>
      <c r="BF291" s="276">
        <v>320</v>
      </c>
      <c r="BG291" s="260">
        <v>20</v>
      </c>
      <c r="BH291" s="271">
        <v>320</v>
      </c>
      <c r="BI291" s="276"/>
      <c r="BJ291" s="276"/>
      <c r="BK291" s="276"/>
      <c r="BL291" s="275"/>
      <c r="BM291" s="320">
        <v>452</v>
      </c>
      <c r="BN291" s="272">
        <v>10</v>
      </c>
      <c r="BO291" s="270">
        <v>320</v>
      </c>
      <c r="BP291" s="272"/>
      <c r="BQ291" s="260"/>
      <c r="BR291" s="260"/>
      <c r="BS291" s="260"/>
      <c r="BT291" s="260"/>
      <c r="BU291" s="260"/>
      <c r="BV291" s="260">
        <v>5</v>
      </c>
      <c r="BW291" s="260">
        <v>320</v>
      </c>
      <c r="BX291" s="260"/>
      <c r="BY291" s="260"/>
      <c r="BZ291" s="260"/>
      <c r="CA291" s="260"/>
      <c r="CB291" s="260"/>
      <c r="CC291" s="260"/>
      <c r="CD291" s="260">
        <v>5</v>
      </c>
      <c r="CE291" s="260">
        <v>160</v>
      </c>
      <c r="CF291" s="272"/>
      <c r="CG291" s="260"/>
      <c r="CH291" s="260"/>
      <c r="CI291" s="260"/>
      <c r="CJ291" s="260"/>
      <c r="CK291" s="260"/>
      <c r="CL291" s="260"/>
      <c r="CM291" s="260"/>
      <c r="CN291" s="260">
        <v>5</v>
      </c>
      <c r="CO291" s="260">
        <v>80</v>
      </c>
      <c r="CP291" s="260">
        <v>5</v>
      </c>
      <c r="CQ291" s="260">
        <v>80</v>
      </c>
      <c r="CR291" s="260">
        <v>5</v>
      </c>
      <c r="CS291" s="270">
        <v>80</v>
      </c>
      <c r="CT291" s="319">
        <v>452</v>
      </c>
      <c r="CU291" s="249">
        <f>Table2821115[[#This Row],[D28 - BR/18]]/Table2821115[[#This Row],[D0 - BR/18]]</f>
        <v>1</v>
      </c>
      <c r="CV291" s="248">
        <f>Table2821115[[#This Row],[D28 - KS/17]]/Table2821115[[#This Row],[D0 - KS/17]]</f>
        <v>64</v>
      </c>
      <c r="CW291" s="248">
        <f>Table2821115[[#This Row],[D28 - Phu/13]]/Table2821115[[#This Row],[D0 - Phu/13]]</f>
        <v>32</v>
      </c>
      <c r="CX291" s="248">
        <f>Table2821115[[#This Row],[D28 - CO/17]]/Table2821115[[#This Row],[D0 - CO/17]]</f>
        <v>16</v>
      </c>
      <c r="CY291" s="248">
        <f>LOG(Table2821115[[#This Row],[BR/18 Fold]],2)</f>
        <v>0</v>
      </c>
      <c r="CZ291" s="248">
        <f>LOG(Table2821115[[#This Row],[KS/17 Fold]],2)</f>
        <v>6</v>
      </c>
      <c r="DA291" s="248">
        <f>LOG(Table2821115[[#This Row],[Phu/13 Fold]],2)</f>
        <v>5</v>
      </c>
      <c r="DB291" s="248">
        <f>LOG(Table2821115[[#This Row],[CO/17 Fold]],2)</f>
        <v>4</v>
      </c>
      <c r="DC291" s="248">
        <f>SUM(Table2821115[[#This Row],[BR/18 Log2]:[CO/17 Log2]])</f>
        <v>15</v>
      </c>
    </row>
    <row r="292" spans="1:107" ht="24" customHeight="1">
      <c r="A292" s="321">
        <v>453</v>
      </c>
      <c r="B292" s="183">
        <v>34216</v>
      </c>
      <c r="C292" s="183">
        <v>43812</v>
      </c>
      <c r="D292" s="182">
        <v>26</v>
      </c>
      <c r="E292" s="3" t="s">
        <v>61</v>
      </c>
      <c r="F292" s="143" t="s">
        <v>117</v>
      </c>
      <c r="G292" s="142">
        <v>34.892793608189507</v>
      </c>
      <c r="H292" s="11" t="s">
        <v>59</v>
      </c>
      <c r="I292" s="277" t="s">
        <v>60</v>
      </c>
      <c r="J292" s="260">
        <v>5</v>
      </c>
      <c r="K292" s="260">
        <v>5</v>
      </c>
      <c r="L292" s="260"/>
      <c r="M292" s="260"/>
      <c r="N292" s="260"/>
      <c r="O292" s="260"/>
      <c r="P292" s="260"/>
      <c r="Q292" s="260"/>
      <c r="R292" s="260"/>
      <c r="S292" s="260"/>
      <c r="T292" s="260"/>
      <c r="U292" s="260"/>
      <c r="V292" s="260">
        <v>5</v>
      </c>
      <c r="W292" s="260">
        <v>40</v>
      </c>
      <c r="X292" s="260">
        <v>5</v>
      </c>
      <c r="Y292" s="260">
        <v>320</v>
      </c>
      <c r="Z292" s="260">
        <v>5</v>
      </c>
      <c r="AA292" s="260">
        <v>640</v>
      </c>
      <c r="AB292" s="260">
        <v>10</v>
      </c>
      <c r="AC292" s="260">
        <v>320</v>
      </c>
      <c r="AD292" s="260"/>
      <c r="AE292" s="260"/>
      <c r="AF292" s="260"/>
      <c r="AG292" s="260"/>
      <c r="AH292" s="32">
        <v>453</v>
      </c>
      <c r="AI292" s="272">
        <v>20</v>
      </c>
      <c r="AJ292" s="271">
        <v>160</v>
      </c>
      <c r="AK292" s="260"/>
      <c r="AL292" s="260"/>
      <c r="AM292" s="260"/>
      <c r="AN292" s="260"/>
      <c r="AO292" s="260"/>
      <c r="AP292" s="260"/>
      <c r="AQ292" s="260"/>
      <c r="AR292" s="260"/>
      <c r="AS292" s="260"/>
      <c r="AT292" s="260"/>
      <c r="AU292" s="260">
        <v>20</v>
      </c>
      <c r="AV292" s="271">
        <v>320</v>
      </c>
      <c r="AW292" s="260">
        <v>20</v>
      </c>
      <c r="AX292" s="271">
        <v>160</v>
      </c>
      <c r="AY292" s="260">
        <v>5</v>
      </c>
      <c r="AZ292" s="271">
        <v>40</v>
      </c>
      <c r="BA292" s="276">
        <v>10</v>
      </c>
      <c r="BB292" s="276">
        <v>80</v>
      </c>
      <c r="BC292" s="276"/>
      <c r="BD292" s="276"/>
      <c r="BE292" s="276">
        <v>10</v>
      </c>
      <c r="BF292" s="276">
        <v>320</v>
      </c>
      <c r="BG292" s="260">
        <v>40</v>
      </c>
      <c r="BH292" s="271">
        <v>320</v>
      </c>
      <c r="BI292" s="276"/>
      <c r="BJ292" s="276"/>
      <c r="BK292" s="276"/>
      <c r="BL292" s="275"/>
      <c r="BM292" s="320">
        <v>453</v>
      </c>
      <c r="BN292" s="272">
        <v>40</v>
      </c>
      <c r="BO292" s="270">
        <v>640</v>
      </c>
      <c r="BP292" s="272"/>
      <c r="BQ292" s="260"/>
      <c r="BR292" s="260"/>
      <c r="BS292" s="260"/>
      <c r="BT292" s="260"/>
      <c r="BU292" s="260"/>
      <c r="BV292" s="260">
        <v>5</v>
      </c>
      <c r="BW292" s="260">
        <v>640</v>
      </c>
      <c r="BX292" s="260"/>
      <c r="BY292" s="260"/>
      <c r="BZ292" s="260"/>
      <c r="CA292" s="260"/>
      <c r="CB292" s="260"/>
      <c r="CC292" s="260"/>
      <c r="CD292" s="260">
        <v>20</v>
      </c>
      <c r="CE292" s="260">
        <v>320</v>
      </c>
      <c r="CF292" s="272"/>
      <c r="CG292" s="260"/>
      <c r="CH292" s="260"/>
      <c r="CI292" s="260"/>
      <c r="CJ292" s="260"/>
      <c r="CK292" s="260"/>
      <c r="CL292" s="260"/>
      <c r="CM292" s="260"/>
      <c r="CN292" s="260">
        <v>5</v>
      </c>
      <c r="CO292" s="260">
        <v>160</v>
      </c>
      <c r="CP292" s="260">
        <v>10</v>
      </c>
      <c r="CQ292" s="260">
        <v>160</v>
      </c>
      <c r="CR292" s="260">
        <v>5</v>
      </c>
      <c r="CS292" s="270">
        <v>80</v>
      </c>
      <c r="CT292" s="319">
        <v>453</v>
      </c>
      <c r="CU292" s="249">
        <f>Table2821115[[#This Row],[D28 - BR/18]]/Table2821115[[#This Row],[D0 - BR/18]]</f>
        <v>32</v>
      </c>
      <c r="CV292" s="248">
        <f>Table2821115[[#This Row],[D28 - KS/17]]/Table2821115[[#This Row],[D0 - KS/17]]</f>
        <v>32</v>
      </c>
      <c r="CW292" s="248">
        <f>Table2821115[[#This Row],[D28 - Phu/13]]/Table2821115[[#This Row],[D0 - Phu/13]]</f>
        <v>16</v>
      </c>
      <c r="CX292" s="248">
        <f>Table2821115[[#This Row],[D28 - CO/17]]/Table2821115[[#This Row],[D0 - CO/17]]</f>
        <v>16</v>
      </c>
      <c r="CY292" s="248">
        <f>LOG(Table2821115[[#This Row],[BR/18 Fold]],2)</f>
        <v>5</v>
      </c>
      <c r="CZ292" s="248">
        <f>LOG(Table2821115[[#This Row],[KS/17 Fold]],2)</f>
        <v>5</v>
      </c>
      <c r="DA292" s="248">
        <f>LOG(Table2821115[[#This Row],[Phu/13 Fold]],2)</f>
        <v>4</v>
      </c>
      <c r="DB292" s="248">
        <f>LOG(Table2821115[[#This Row],[CO/17 Fold]],2)</f>
        <v>4</v>
      </c>
      <c r="DC292" s="248">
        <f>SUM(Table2821115[[#This Row],[BR/18 Log2]:[CO/17 Log2]])</f>
        <v>18</v>
      </c>
    </row>
    <row r="293" spans="1:107" ht="24" customHeight="1">
      <c r="A293" s="321">
        <v>454</v>
      </c>
      <c r="B293" s="183">
        <v>33260</v>
      </c>
      <c r="C293" s="183">
        <v>43812</v>
      </c>
      <c r="D293" s="182">
        <v>28</v>
      </c>
      <c r="E293" s="3" t="s">
        <v>61</v>
      </c>
      <c r="F293" s="143" t="s">
        <v>117</v>
      </c>
      <c r="G293" s="142">
        <v>28.892353612075031</v>
      </c>
      <c r="H293" s="11" t="s">
        <v>59</v>
      </c>
      <c r="I293" s="277" t="s">
        <v>60</v>
      </c>
      <c r="J293" s="260">
        <v>5</v>
      </c>
      <c r="K293" s="260">
        <v>5</v>
      </c>
      <c r="L293" s="260"/>
      <c r="M293" s="260"/>
      <c r="N293" s="260"/>
      <c r="O293" s="260"/>
      <c r="P293" s="260"/>
      <c r="Q293" s="260"/>
      <c r="R293" s="260"/>
      <c r="S293" s="260"/>
      <c r="T293" s="260"/>
      <c r="U293" s="260"/>
      <c r="V293" s="260">
        <v>5</v>
      </c>
      <c r="W293" s="260">
        <v>5</v>
      </c>
      <c r="X293" s="260">
        <v>40</v>
      </c>
      <c r="Y293" s="260">
        <v>80</v>
      </c>
      <c r="Z293" s="260">
        <v>80</v>
      </c>
      <c r="AA293" s="260">
        <v>80</v>
      </c>
      <c r="AB293" s="260">
        <v>40</v>
      </c>
      <c r="AC293" s="260">
        <v>40</v>
      </c>
      <c r="AD293" s="260"/>
      <c r="AE293" s="260"/>
      <c r="AF293" s="260"/>
      <c r="AG293" s="260"/>
      <c r="AH293" s="32">
        <v>454</v>
      </c>
      <c r="AI293" s="272">
        <v>20</v>
      </c>
      <c r="AJ293" s="271">
        <v>40</v>
      </c>
      <c r="AK293" s="260"/>
      <c r="AL293" s="260"/>
      <c r="AM293" s="260"/>
      <c r="AN293" s="260"/>
      <c r="AO293" s="260"/>
      <c r="AP293" s="260"/>
      <c r="AQ293" s="260"/>
      <c r="AR293" s="260"/>
      <c r="AS293" s="260"/>
      <c r="AT293" s="260"/>
      <c r="AU293" s="260">
        <v>40</v>
      </c>
      <c r="AV293" s="271">
        <v>80</v>
      </c>
      <c r="AW293" s="260">
        <v>40</v>
      </c>
      <c r="AX293" s="271">
        <v>160</v>
      </c>
      <c r="AY293" s="260">
        <v>5</v>
      </c>
      <c r="AZ293" s="271">
        <v>40</v>
      </c>
      <c r="BA293" s="276">
        <v>40</v>
      </c>
      <c r="BB293" s="276">
        <v>40</v>
      </c>
      <c r="BC293" s="276"/>
      <c r="BD293" s="276"/>
      <c r="BE293" s="276">
        <v>20</v>
      </c>
      <c r="BF293" s="276">
        <v>40</v>
      </c>
      <c r="BG293" s="260">
        <v>80</v>
      </c>
      <c r="BH293" s="271">
        <v>80</v>
      </c>
      <c r="BI293" s="276"/>
      <c r="BJ293" s="276"/>
      <c r="BK293" s="276"/>
      <c r="BL293" s="275"/>
      <c r="BM293" s="320">
        <v>454</v>
      </c>
      <c r="BN293" s="272">
        <v>5</v>
      </c>
      <c r="BO293" s="270">
        <v>40</v>
      </c>
      <c r="BP293" s="272"/>
      <c r="BQ293" s="260"/>
      <c r="BR293" s="260"/>
      <c r="BS293" s="260"/>
      <c r="BT293" s="260"/>
      <c r="BU293" s="260"/>
      <c r="BV293" s="260">
        <v>5</v>
      </c>
      <c r="BW293" s="260">
        <v>5</v>
      </c>
      <c r="BX293" s="260"/>
      <c r="BY293" s="260"/>
      <c r="BZ293" s="260"/>
      <c r="CA293" s="260"/>
      <c r="CB293" s="260"/>
      <c r="CC293" s="260"/>
      <c r="CD293" s="260">
        <v>5</v>
      </c>
      <c r="CE293" s="260">
        <v>40</v>
      </c>
      <c r="CF293" s="272"/>
      <c r="CG293" s="260"/>
      <c r="CH293" s="260"/>
      <c r="CI293" s="260"/>
      <c r="CJ293" s="260"/>
      <c r="CK293" s="260"/>
      <c r="CL293" s="260"/>
      <c r="CM293" s="260"/>
      <c r="CN293" s="260">
        <v>5</v>
      </c>
      <c r="CO293" s="260">
        <v>5</v>
      </c>
      <c r="CP293" s="260">
        <v>5</v>
      </c>
      <c r="CQ293" s="260">
        <v>5</v>
      </c>
      <c r="CR293" s="260">
        <v>5</v>
      </c>
      <c r="CS293" s="270">
        <v>10</v>
      </c>
      <c r="CT293" s="319">
        <v>454</v>
      </c>
      <c r="CU293" s="249">
        <f>Table2821115[[#This Row],[D28 - BR/18]]/Table2821115[[#This Row],[D0 - BR/18]]</f>
        <v>1</v>
      </c>
      <c r="CV293" s="248">
        <f>Table2821115[[#This Row],[D28 - KS/17]]/Table2821115[[#This Row],[D0 - KS/17]]</f>
        <v>2</v>
      </c>
      <c r="CW293" s="248">
        <f>Table2821115[[#This Row],[D28 - Phu/13]]/Table2821115[[#This Row],[D0 - Phu/13]]</f>
        <v>8</v>
      </c>
      <c r="CX293" s="248">
        <f>Table2821115[[#This Row],[D28 - CO/17]]/Table2821115[[#This Row],[D0 - CO/17]]</f>
        <v>1</v>
      </c>
      <c r="CY293" s="248">
        <f>LOG(Table2821115[[#This Row],[BR/18 Fold]],2)</f>
        <v>0</v>
      </c>
      <c r="CZ293" s="248">
        <f>LOG(Table2821115[[#This Row],[KS/17 Fold]],2)</f>
        <v>1</v>
      </c>
      <c r="DA293" s="248">
        <f>LOG(Table2821115[[#This Row],[Phu/13 Fold]],2)</f>
        <v>3</v>
      </c>
      <c r="DB293" s="248">
        <f>LOG(Table2821115[[#This Row],[CO/17 Fold]],2)</f>
        <v>0</v>
      </c>
      <c r="DC293" s="248">
        <f>SUM(Table2821115[[#This Row],[BR/18 Log2]:[CO/17 Log2]])</f>
        <v>4</v>
      </c>
    </row>
    <row r="294" spans="1:107" ht="24" customHeight="1">
      <c r="A294" s="327">
        <v>455</v>
      </c>
      <c r="B294" s="205">
        <v>12727</v>
      </c>
      <c r="C294" s="205">
        <v>43803</v>
      </c>
      <c r="D294" s="204">
        <v>85</v>
      </c>
      <c r="E294" s="3" t="s">
        <v>61</v>
      </c>
      <c r="F294" s="143" t="s">
        <v>116</v>
      </c>
      <c r="G294" s="142">
        <v>25.182531097890756</v>
      </c>
      <c r="H294" s="11" t="s">
        <v>59</v>
      </c>
      <c r="I294" s="277" t="s">
        <v>62</v>
      </c>
      <c r="J294" s="260">
        <v>5</v>
      </c>
      <c r="K294" s="260">
        <v>5</v>
      </c>
      <c r="L294" s="260"/>
      <c r="M294" s="260"/>
      <c r="N294" s="260"/>
      <c r="O294" s="260"/>
      <c r="P294" s="260"/>
      <c r="Q294" s="260"/>
      <c r="R294" s="260"/>
      <c r="S294" s="260"/>
      <c r="T294" s="260"/>
      <c r="U294" s="260"/>
      <c r="V294" s="260">
        <v>5</v>
      </c>
      <c r="W294" s="260">
        <v>5</v>
      </c>
      <c r="X294" s="260">
        <v>5</v>
      </c>
      <c r="Y294" s="260">
        <v>40</v>
      </c>
      <c r="Z294" s="260">
        <v>5</v>
      </c>
      <c r="AA294" s="260">
        <v>160</v>
      </c>
      <c r="AB294" s="260">
        <v>5</v>
      </c>
      <c r="AC294" s="260">
        <v>160</v>
      </c>
      <c r="AD294" s="260"/>
      <c r="AE294" s="260"/>
      <c r="AF294" s="260"/>
      <c r="AG294" s="260"/>
      <c r="AH294" s="203">
        <v>455</v>
      </c>
      <c r="AI294" s="272">
        <v>40</v>
      </c>
      <c r="AJ294" s="271">
        <v>80</v>
      </c>
      <c r="AK294" s="260"/>
      <c r="AL294" s="260"/>
      <c r="AM294" s="260"/>
      <c r="AN294" s="260"/>
      <c r="AO294" s="260"/>
      <c r="AP294" s="260"/>
      <c r="AQ294" s="260"/>
      <c r="AR294" s="260"/>
      <c r="AS294" s="260"/>
      <c r="AT294" s="260"/>
      <c r="AU294" s="260">
        <v>80</v>
      </c>
      <c r="AV294" s="271">
        <v>160</v>
      </c>
      <c r="AW294" s="260">
        <v>20</v>
      </c>
      <c r="AX294" s="271">
        <v>160</v>
      </c>
      <c r="AY294" s="260">
        <v>5</v>
      </c>
      <c r="AZ294" s="271">
        <v>160</v>
      </c>
      <c r="BA294" s="276">
        <v>80</v>
      </c>
      <c r="BB294" s="276">
        <v>320</v>
      </c>
      <c r="BC294" s="276"/>
      <c r="BD294" s="276"/>
      <c r="BE294" s="276">
        <v>5</v>
      </c>
      <c r="BF294" s="276">
        <v>80</v>
      </c>
      <c r="BG294" s="260">
        <v>160</v>
      </c>
      <c r="BH294" s="271">
        <v>320</v>
      </c>
      <c r="BI294" s="276"/>
      <c r="BJ294" s="276"/>
      <c r="BK294" s="276"/>
      <c r="BL294" s="275"/>
      <c r="BM294" s="326">
        <v>455</v>
      </c>
      <c r="BN294" s="272">
        <v>20</v>
      </c>
      <c r="BO294" s="270">
        <v>40</v>
      </c>
      <c r="BP294" s="272"/>
      <c r="BQ294" s="260"/>
      <c r="BR294" s="260"/>
      <c r="BS294" s="260"/>
      <c r="BT294" s="260"/>
      <c r="BU294" s="260"/>
      <c r="BV294" s="260">
        <v>5</v>
      </c>
      <c r="BW294" s="260">
        <v>320</v>
      </c>
      <c r="BX294" s="260"/>
      <c r="BY294" s="260"/>
      <c r="BZ294" s="260"/>
      <c r="CA294" s="260"/>
      <c r="CB294" s="260"/>
      <c r="CC294" s="260"/>
      <c r="CD294" s="260">
        <v>5</v>
      </c>
      <c r="CE294" s="260">
        <v>160</v>
      </c>
      <c r="CF294" s="272"/>
      <c r="CG294" s="260"/>
      <c r="CH294" s="260"/>
      <c r="CI294" s="260"/>
      <c r="CJ294" s="260"/>
      <c r="CK294" s="260"/>
      <c r="CL294" s="260"/>
      <c r="CM294" s="260"/>
      <c r="CN294" s="260">
        <v>5</v>
      </c>
      <c r="CO294" s="260">
        <v>10</v>
      </c>
      <c r="CP294" s="260">
        <v>5</v>
      </c>
      <c r="CQ294" s="260">
        <v>160</v>
      </c>
      <c r="CR294" s="260">
        <v>5</v>
      </c>
      <c r="CS294" s="270">
        <v>80</v>
      </c>
      <c r="CT294" s="325">
        <v>455</v>
      </c>
      <c r="CU294" s="249">
        <f>Table2821115[[#This Row],[D28 - BR/18]]/Table2821115[[#This Row],[D0 - BR/18]]</f>
        <v>32</v>
      </c>
      <c r="CV294" s="248">
        <f>Table2821115[[#This Row],[D28 - KS/17]]/Table2821115[[#This Row],[D0 - KS/17]]</f>
        <v>16</v>
      </c>
      <c r="CW294" s="248">
        <f>Table2821115[[#This Row],[D28 - Phu/13]]/Table2821115[[#This Row],[D0 - Phu/13]]</f>
        <v>32</v>
      </c>
      <c r="CX294" s="248">
        <f>Table2821115[[#This Row],[D28 - CO/17]]/Table2821115[[#This Row],[D0 - CO/17]]</f>
        <v>32</v>
      </c>
      <c r="CY294" s="248">
        <f>LOG(Table2821115[[#This Row],[BR/18 Fold]],2)</f>
        <v>5</v>
      </c>
      <c r="CZ294" s="248">
        <f>LOG(Table2821115[[#This Row],[KS/17 Fold]],2)</f>
        <v>4</v>
      </c>
      <c r="DA294" s="248">
        <f>LOG(Table2821115[[#This Row],[Phu/13 Fold]],2)</f>
        <v>5</v>
      </c>
      <c r="DB294" s="248">
        <f>LOG(Table2821115[[#This Row],[CO/17 Fold]],2)</f>
        <v>5</v>
      </c>
      <c r="DC294" s="248">
        <f>SUM(Table2821115[[#This Row],[BR/18 Log2]:[CO/17 Log2]])</f>
        <v>19</v>
      </c>
    </row>
    <row r="295" spans="1:107" ht="24" customHeight="1">
      <c r="A295" s="321">
        <v>456</v>
      </c>
      <c r="B295" s="183">
        <v>34192</v>
      </c>
      <c r="C295" s="183">
        <v>43802</v>
      </c>
      <c r="D295" s="182">
        <v>26</v>
      </c>
      <c r="E295" s="4" t="s">
        <v>58</v>
      </c>
      <c r="F295" s="143" t="s">
        <v>116</v>
      </c>
      <c r="G295" s="142">
        <v>25.316156047470752</v>
      </c>
      <c r="H295" s="11" t="s">
        <v>59</v>
      </c>
      <c r="I295" s="281" t="s">
        <v>60</v>
      </c>
      <c r="J295" s="260">
        <v>5</v>
      </c>
      <c r="K295" s="260">
        <v>5</v>
      </c>
      <c r="L295" s="260"/>
      <c r="M295" s="260"/>
      <c r="N295" s="260"/>
      <c r="O295" s="260"/>
      <c r="P295" s="260"/>
      <c r="Q295" s="260"/>
      <c r="R295" s="260"/>
      <c r="S295" s="260"/>
      <c r="T295" s="260"/>
      <c r="U295" s="260"/>
      <c r="V295" s="260">
        <v>10</v>
      </c>
      <c r="W295" s="260">
        <v>10</v>
      </c>
      <c r="X295" s="260">
        <v>40</v>
      </c>
      <c r="Y295" s="260">
        <v>80</v>
      </c>
      <c r="Z295" s="260">
        <v>80</v>
      </c>
      <c r="AA295" s="260">
        <v>160</v>
      </c>
      <c r="AB295" s="260">
        <v>40</v>
      </c>
      <c r="AC295" s="260">
        <v>80</v>
      </c>
      <c r="AD295" s="260"/>
      <c r="AE295" s="260"/>
      <c r="AF295" s="260"/>
      <c r="AG295" s="260"/>
      <c r="AH295" s="32">
        <v>456</v>
      </c>
      <c r="AI295" s="272">
        <v>40</v>
      </c>
      <c r="AJ295" s="271">
        <v>80</v>
      </c>
      <c r="AK295" s="260"/>
      <c r="AL295" s="260"/>
      <c r="AM295" s="260"/>
      <c r="AN295" s="260"/>
      <c r="AO295" s="260"/>
      <c r="AP295" s="260"/>
      <c r="AQ295" s="260"/>
      <c r="AR295" s="260"/>
      <c r="AS295" s="260"/>
      <c r="AT295" s="260"/>
      <c r="AU295" s="260">
        <v>160</v>
      </c>
      <c r="AV295" s="271">
        <v>1280</v>
      </c>
      <c r="AW295" s="260">
        <v>160</v>
      </c>
      <c r="AX295" s="271">
        <v>1280</v>
      </c>
      <c r="AY295" s="260">
        <v>80</v>
      </c>
      <c r="AZ295" s="271">
        <v>640</v>
      </c>
      <c r="BA295" s="276">
        <v>160</v>
      </c>
      <c r="BB295" s="276">
        <v>1280</v>
      </c>
      <c r="BC295" s="276"/>
      <c r="BD295" s="276"/>
      <c r="BE295" s="276">
        <v>40</v>
      </c>
      <c r="BF295" s="276">
        <v>640</v>
      </c>
      <c r="BG295" s="260">
        <v>160</v>
      </c>
      <c r="BH295" s="271">
        <v>1280</v>
      </c>
      <c r="BI295" s="276"/>
      <c r="BJ295" s="276"/>
      <c r="BK295" s="276"/>
      <c r="BL295" s="275"/>
      <c r="BM295" s="320">
        <v>456</v>
      </c>
      <c r="BN295" s="272">
        <v>160</v>
      </c>
      <c r="BO295" s="270">
        <v>320</v>
      </c>
      <c r="BP295" s="272"/>
      <c r="BQ295" s="260"/>
      <c r="BR295" s="260"/>
      <c r="BS295" s="260"/>
      <c r="BT295" s="260"/>
      <c r="BU295" s="260"/>
      <c r="BV295" s="260">
        <v>5</v>
      </c>
      <c r="BW295" s="260">
        <v>320</v>
      </c>
      <c r="BX295" s="260"/>
      <c r="BY295" s="260"/>
      <c r="BZ295" s="260"/>
      <c r="CA295" s="260"/>
      <c r="CB295" s="260"/>
      <c r="CC295" s="260"/>
      <c r="CD295" s="260">
        <v>80</v>
      </c>
      <c r="CE295" s="260">
        <v>320</v>
      </c>
      <c r="CF295" s="272"/>
      <c r="CG295" s="260"/>
      <c r="CH295" s="260"/>
      <c r="CI295" s="260"/>
      <c r="CJ295" s="260"/>
      <c r="CK295" s="260"/>
      <c r="CL295" s="260"/>
      <c r="CM295" s="260"/>
      <c r="CN295" s="260">
        <v>20</v>
      </c>
      <c r="CO295" s="260">
        <v>40</v>
      </c>
      <c r="CP295" s="260">
        <v>40</v>
      </c>
      <c r="CQ295" s="260">
        <v>160</v>
      </c>
      <c r="CR295" s="260">
        <v>10</v>
      </c>
      <c r="CS295" s="270">
        <v>80</v>
      </c>
      <c r="CT295" s="319">
        <v>456</v>
      </c>
      <c r="CU295" s="249">
        <f>Table2821115[[#This Row],[D28 - BR/18]]/Table2821115[[#This Row],[D0 - BR/18]]</f>
        <v>2</v>
      </c>
      <c r="CV295" s="248">
        <f>Table2821115[[#This Row],[D28 - KS/17]]/Table2821115[[#This Row],[D0 - KS/17]]</f>
        <v>16</v>
      </c>
      <c r="CW295" s="248">
        <f>Table2821115[[#This Row],[D28 - Phu/13]]/Table2821115[[#This Row],[D0 - Phu/13]]</f>
        <v>4</v>
      </c>
      <c r="CX295" s="248">
        <f>Table2821115[[#This Row],[D28 - CO/17]]/Table2821115[[#This Row],[D0 - CO/17]]</f>
        <v>4</v>
      </c>
      <c r="CY295" s="248">
        <f>LOG(Table2821115[[#This Row],[BR/18 Fold]],2)</f>
        <v>1</v>
      </c>
      <c r="CZ295" s="248">
        <f>LOG(Table2821115[[#This Row],[KS/17 Fold]],2)</f>
        <v>4</v>
      </c>
      <c r="DA295" s="248">
        <f>LOG(Table2821115[[#This Row],[Phu/13 Fold]],2)</f>
        <v>2</v>
      </c>
      <c r="DB295" s="248">
        <f>LOG(Table2821115[[#This Row],[CO/17 Fold]],2)</f>
        <v>2</v>
      </c>
      <c r="DC295" s="248">
        <f>SUM(Table2821115[[#This Row],[BR/18 Log2]:[CO/17 Log2]])</f>
        <v>9</v>
      </c>
    </row>
    <row r="296" spans="1:107" ht="24" customHeight="1">
      <c r="A296" s="324">
        <v>457</v>
      </c>
      <c r="B296" s="190">
        <v>27367</v>
      </c>
      <c r="C296" s="190">
        <v>43860</v>
      </c>
      <c r="D296" s="189">
        <v>45</v>
      </c>
      <c r="E296" s="4" t="s">
        <v>58</v>
      </c>
      <c r="F296" s="143" t="s">
        <v>116</v>
      </c>
      <c r="G296" s="142">
        <v>36.33</v>
      </c>
      <c r="H296" s="11" t="s">
        <v>59</v>
      </c>
      <c r="I296" s="277" t="s">
        <v>60</v>
      </c>
      <c r="J296" s="260">
        <v>5</v>
      </c>
      <c r="K296" s="260">
        <v>5</v>
      </c>
      <c r="L296" s="260"/>
      <c r="M296" s="260"/>
      <c r="N296" s="260"/>
      <c r="O296" s="260"/>
      <c r="P296" s="260"/>
      <c r="Q296" s="260"/>
      <c r="R296" s="260"/>
      <c r="S296" s="260"/>
      <c r="T296" s="260"/>
      <c r="U296" s="260"/>
      <c r="V296" s="260">
        <v>5</v>
      </c>
      <c r="W296" s="260">
        <v>5</v>
      </c>
      <c r="X296" s="260">
        <v>5</v>
      </c>
      <c r="Y296" s="260">
        <v>5</v>
      </c>
      <c r="Z296" s="260">
        <v>5</v>
      </c>
      <c r="AA296" s="260">
        <v>80</v>
      </c>
      <c r="AB296" s="260">
        <v>40</v>
      </c>
      <c r="AC296" s="260">
        <v>80</v>
      </c>
      <c r="AD296" s="260"/>
      <c r="AE296" s="260"/>
      <c r="AF296" s="260"/>
      <c r="AG296" s="260"/>
      <c r="AH296" s="198">
        <v>457</v>
      </c>
      <c r="AI296" s="272">
        <v>20</v>
      </c>
      <c r="AJ296" s="271">
        <v>80</v>
      </c>
      <c r="AK296" s="260"/>
      <c r="AL296" s="260"/>
      <c r="AM296" s="260"/>
      <c r="AN296" s="260"/>
      <c r="AO296" s="260"/>
      <c r="AP296" s="260"/>
      <c r="AQ296" s="260"/>
      <c r="AR296" s="260"/>
      <c r="AS296" s="260"/>
      <c r="AT296" s="260"/>
      <c r="AU296" s="260">
        <v>160</v>
      </c>
      <c r="AV296" s="271">
        <v>320</v>
      </c>
      <c r="AW296" s="260">
        <v>80</v>
      </c>
      <c r="AX296" s="271">
        <v>320</v>
      </c>
      <c r="AY296" s="260">
        <v>5</v>
      </c>
      <c r="AZ296" s="271">
        <v>5</v>
      </c>
      <c r="BA296" s="276">
        <v>160</v>
      </c>
      <c r="BB296" s="276">
        <v>320</v>
      </c>
      <c r="BC296" s="276"/>
      <c r="BD296" s="276"/>
      <c r="BE296" s="276">
        <v>5</v>
      </c>
      <c r="BF296" s="276">
        <v>160</v>
      </c>
      <c r="BG296" s="260">
        <v>320</v>
      </c>
      <c r="BH296" s="271">
        <v>320</v>
      </c>
      <c r="BI296" s="276"/>
      <c r="BJ296" s="276"/>
      <c r="BK296" s="276"/>
      <c r="BL296" s="275"/>
      <c r="BM296" s="323">
        <v>457</v>
      </c>
      <c r="BN296" s="272">
        <v>80</v>
      </c>
      <c r="BO296" s="270">
        <v>160</v>
      </c>
      <c r="BP296" s="272"/>
      <c r="BQ296" s="260"/>
      <c r="BR296" s="260"/>
      <c r="BS296" s="260"/>
      <c r="BT296" s="260"/>
      <c r="BU296" s="260"/>
      <c r="BV296" s="260">
        <v>5</v>
      </c>
      <c r="BW296" s="260">
        <v>5</v>
      </c>
      <c r="BX296" s="260"/>
      <c r="BY296" s="260"/>
      <c r="BZ296" s="260"/>
      <c r="CA296" s="260"/>
      <c r="CB296" s="260"/>
      <c r="CC296" s="260"/>
      <c r="CD296" s="260">
        <v>40</v>
      </c>
      <c r="CE296" s="260">
        <v>10</v>
      </c>
      <c r="CF296" s="272"/>
      <c r="CG296" s="260"/>
      <c r="CH296" s="260"/>
      <c r="CI296" s="260"/>
      <c r="CJ296" s="260"/>
      <c r="CK296" s="260"/>
      <c r="CL296" s="260"/>
      <c r="CM296" s="260"/>
      <c r="CN296" s="260">
        <v>10</v>
      </c>
      <c r="CO296" s="260">
        <v>20</v>
      </c>
      <c r="CP296" s="260">
        <v>20</v>
      </c>
      <c r="CQ296" s="260">
        <v>40</v>
      </c>
      <c r="CR296" s="260">
        <v>20</v>
      </c>
      <c r="CS296" s="270">
        <v>40</v>
      </c>
      <c r="CT296" s="322">
        <v>457</v>
      </c>
      <c r="CU296" s="249">
        <f>Table2821115[[#This Row],[D28 - BR/18]]/Table2821115[[#This Row],[D0 - BR/18]]</f>
        <v>2</v>
      </c>
      <c r="CV296" s="248">
        <f>Table2821115[[#This Row],[D28 - KS/17]]/Table2821115[[#This Row],[D0 - KS/17]]</f>
        <v>32</v>
      </c>
      <c r="CW296" s="248">
        <f>Table2821115[[#This Row],[D28 - Phu/13]]/Table2821115[[#This Row],[D0 - Phu/13]]</f>
        <v>0.25</v>
      </c>
      <c r="CX296" s="248">
        <f>Table2821115[[#This Row],[D28 - CO/17]]/Table2821115[[#This Row],[D0 - CO/17]]</f>
        <v>2</v>
      </c>
      <c r="CY296" s="248">
        <f>LOG(Table2821115[[#This Row],[BR/18 Fold]],2)</f>
        <v>1</v>
      </c>
      <c r="CZ296" s="248">
        <f>LOG(Table2821115[[#This Row],[KS/17 Fold]],2)</f>
        <v>5</v>
      </c>
      <c r="DA296" s="248">
        <f>LOG(Table2821115[[#This Row],[Phu/13 Fold]],2)</f>
        <v>-2</v>
      </c>
      <c r="DB296" s="248">
        <f>LOG(Table2821115[[#This Row],[CO/17 Fold]],2)</f>
        <v>1</v>
      </c>
      <c r="DC296" s="248">
        <f>SUM(Table2821115[[#This Row],[BR/18 Log2]:[CO/17 Log2]])</f>
        <v>5</v>
      </c>
    </row>
    <row r="297" spans="1:107" ht="24" customHeight="1">
      <c r="A297" s="321">
        <v>458</v>
      </c>
      <c r="B297" s="183">
        <v>32057</v>
      </c>
      <c r="C297" s="183">
        <v>43808</v>
      </c>
      <c r="D297" s="182">
        <v>32</v>
      </c>
      <c r="E297" s="4" t="s">
        <v>58</v>
      </c>
      <c r="F297" s="143" t="s">
        <v>116</v>
      </c>
      <c r="G297" s="142">
        <v>39.365870007396438</v>
      </c>
      <c r="H297" s="11" t="s">
        <v>59</v>
      </c>
      <c r="I297" s="277" t="s">
        <v>60</v>
      </c>
      <c r="J297" s="260">
        <v>5</v>
      </c>
      <c r="K297" s="260">
        <v>5</v>
      </c>
      <c r="L297" s="260"/>
      <c r="M297" s="260"/>
      <c r="N297" s="260"/>
      <c r="O297" s="260"/>
      <c r="P297" s="260"/>
      <c r="Q297" s="260"/>
      <c r="R297" s="260"/>
      <c r="S297" s="260"/>
      <c r="T297" s="260"/>
      <c r="U297" s="260"/>
      <c r="V297" s="260">
        <v>5</v>
      </c>
      <c r="W297" s="260">
        <v>5</v>
      </c>
      <c r="X297" s="260">
        <v>5</v>
      </c>
      <c r="Y297" s="260">
        <v>5</v>
      </c>
      <c r="Z297" s="260">
        <v>5</v>
      </c>
      <c r="AA297" s="260">
        <v>320</v>
      </c>
      <c r="AB297" s="260">
        <v>5</v>
      </c>
      <c r="AC297" s="260">
        <v>320</v>
      </c>
      <c r="AD297" s="260"/>
      <c r="AE297" s="260"/>
      <c r="AF297" s="260"/>
      <c r="AG297" s="260"/>
      <c r="AH297" s="32">
        <v>458</v>
      </c>
      <c r="AI297" s="272">
        <v>5</v>
      </c>
      <c r="AJ297" s="271">
        <v>5</v>
      </c>
      <c r="AK297" s="260"/>
      <c r="AL297" s="260"/>
      <c r="AM297" s="260"/>
      <c r="AN297" s="260"/>
      <c r="AO297" s="260"/>
      <c r="AP297" s="260"/>
      <c r="AQ297" s="260"/>
      <c r="AR297" s="260"/>
      <c r="AS297" s="260"/>
      <c r="AT297" s="260"/>
      <c r="AU297" s="260">
        <v>5</v>
      </c>
      <c r="AV297" s="271">
        <v>20</v>
      </c>
      <c r="AW297" s="260">
        <v>5</v>
      </c>
      <c r="AX297" s="271">
        <v>10</v>
      </c>
      <c r="AY297" s="260">
        <v>5</v>
      </c>
      <c r="AZ297" s="271">
        <v>5</v>
      </c>
      <c r="BA297" s="276">
        <v>5</v>
      </c>
      <c r="BB297" s="276">
        <v>10</v>
      </c>
      <c r="BC297" s="276"/>
      <c r="BD297" s="276"/>
      <c r="BE297" s="276">
        <v>5</v>
      </c>
      <c r="BF297" s="276">
        <v>20</v>
      </c>
      <c r="BG297" s="260">
        <v>5</v>
      </c>
      <c r="BH297" s="271">
        <v>10</v>
      </c>
      <c r="BI297" s="276"/>
      <c r="BJ297" s="276"/>
      <c r="BK297" s="276"/>
      <c r="BL297" s="275"/>
      <c r="BM297" s="320">
        <v>458</v>
      </c>
      <c r="BN297" s="272">
        <v>5</v>
      </c>
      <c r="BO297" s="270">
        <v>20</v>
      </c>
      <c r="BP297" s="272"/>
      <c r="BQ297" s="260"/>
      <c r="BR297" s="260"/>
      <c r="BS297" s="260"/>
      <c r="BT297" s="260"/>
      <c r="BU297" s="260"/>
      <c r="BV297" s="260">
        <v>5</v>
      </c>
      <c r="BW297" s="260">
        <v>5</v>
      </c>
      <c r="BX297" s="260"/>
      <c r="BY297" s="260"/>
      <c r="BZ297" s="260"/>
      <c r="CA297" s="260"/>
      <c r="CB297" s="260"/>
      <c r="CC297" s="260"/>
      <c r="CD297" s="260">
        <v>5</v>
      </c>
      <c r="CE297" s="260">
        <v>40</v>
      </c>
      <c r="CF297" s="272"/>
      <c r="CG297" s="260"/>
      <c r="CH297" s="260"/>
      <c r="CI297" s="260"/>
      <c r="CJ297" s="260"/>
      <c r="CK297" s="260"/>
      <c r="CL297" s="260"/>
      <c r="CM297" s="260"/>
      <c r="CN297" s="260">
        <v>160</v>
      </c>
      <c r="CO297" s="260">
        <v>10</v>
      </c>
      <c r="CP297" s="260">
        <v>5</v>
      </c>
      <c r="CQ297" s="260">
        <v>20</v>
      </c>
      <c r="CR297" s="260">
        <v>5</v>
      </c>
      <c r="CS297" s="270">
        <v>20</v>
      </c>
      <c r="CT297" s="319">
        <v>458</v>
      </c>
      <c r="CU297" s="249">
        <f>Table2821115[[#This Row],[D28 - BR/18]]/Table2821115[[#This Row],[D0 - BR/18]]</f>
        <v>64</v>
      </c>
      <c r="CV297" s="248">
        <f>Table2821115[[#This Row],[D28 - KS/17]]/Table2821115[[#This Row],[D0 - KS/17]]</f>
        <v>4</v>
      </c>
      <c r="CW297" s="248">
        <f>Table2821115[[#This Row],[D28 - Phu/13]]/Table2821115[[#This Row],[D0 - Phu/13]]</f>
        <v>8</v>
      </c>
      <c r="CX297" s="248">
        <f>Table2821115[[#This Row],[D28 - CO/17]]/Table2821115[[#This Row],[D0 - CO/17]]</f>
        <v>4</v>
      </c>
      <c r="CY297" s="248">
        <f>LOG(Table2821115[[#This Row],[BR/18 Fold]],2)</f>
        <v>6</v>
      </c>
      <c r="CZ297" s="248">
        <f>LOG(Table2821115[[#This Row],[KS/17 Fold]],2)</f>
        <v>2</v>
      </c>
      <c r="DA297" s="248">
        <f>LOG(Table2821115[[#This Row],[Phu/13 Fold]],2)</f>
        <v>3</v>
      </c>
      <c r="DB297" s="248">
        <f>LOG(Table2821115[[#This Row],[CO/17 Fold]],2)</f>
        <v>2</v>
      </c>
      <c r="DC297" s="248">
        <f>SUM(Table2821115[[#This Row],[BR/18 Log2]:[CO/17 Log2]])</f>
        <v>13</v>
      </c>
    </row>
    <row r="298" spans="1:107" ht="24" customHeight="1">
      <c r="A298" s="321">
        <v>459</v>
      </c>
      <c r="B298" s="183">
        <v>35263</v>
      </c>
      <c r="C298" s="183">
        <v>43804</v>
      </c>
      <c r="D298" s="182">
        <v>23</v>
      </c>
      <c r="E298" s="3" t="s">
        <v>61</v>
      </c>
      <c r="F298" s="143" t="s">
        <v>116</v>
      </c>
      <c r="G298" s="142">
        <v>33.121130613716382</v>
      </c>
      <c r="H298" s="11" t="s">
        <v>59</v>
      </c>
      <c r="I298" s="277" t="s">
        <v>60</v>
      </c>
      <c r="J298" s="260">
        <v>5</v>
      </c>
      <c r="K298" s="260">
        <v>5</v>
      </c>
      <c r="L298" s="260"/>
      <c r="M298" s="260"/>
      <c r="N298" s="260"/>
      <c r="O298" s="260"/>
      <c r="P298" s="260"/>
      <c r="Q298" s="260"/>
      <c r="R298" s="260"/>
      <c r="S298" s="260"/>
      <c r="T298" s="260"/>
      <c r="U298" s="260"/>
      <c r="V298" s="260">
        <v>5</v>
      </c>
      <c r="W298" s="260">
        <v>5</v>
      </c>
      <c r="X298" s="260">
        <v>5</v>
      </c>
      <c r="Y298" s="260">
        <v>5</v>
      </c>
      <c r="Z298" s="260">
        <v>20</v>
      </c>
      <c r="AA298" s="260">
        <v>320</v>
      </c>
      <c r="AB298" s="260">
        <v>5</v>
      </c>
      <c r="AC298" s="260">
        <v>160</v>
      </c>
      <c r="AD298" s="260"/>
      <c r="AE298" s="260"/>
      <c r="AF298" s="260"/>
      <c r="AG298" s="260"/>
      <c r="AH298" s="32">
        <v>459</v>
      </c>
      <c r="AI298" s="272">
        <v>80</v>
      </c>
      <c r="AJ298" s="271">
        <v>80</v>
      </c>
      <c r="AK298" s="260"/>
      <c r="AL298" s="260"/>
      <c r="AM298" s="260"/>
      <c r="AN298" s="260"/>
      <c r="AO298" s="260"/>
      <c r="AP298" s="260"/>
      <c r="AQ298" s="260"/>
      <c r="AR298" s="260"/>
      <c r="AS298" s="260"/>
      <c r="AT298" s="260"/>
      <c r="AU298" s="260">
        <v>80</v>
      </c>
      <c r="AV298" s="271">
        <v>320</v>
      </c>
      <c r="AW298" s="260">
        <v>40</v>
      </c>
      <c r="AX298" s="271">
        <v>320</v>
      </c>
      <c r="AY298" s="260">
        <v>5</v>
      </c>
      <c r="AZ298" s="271">
        <v>160</v>
      </c>
      <c r="BA298" s="276">
        <v>80</v>
      </c>
      <c r="BB298" s="276">
        <v>320</v>
      </c>
      <c r="BC298" s="276"/>
      <c r="BD298" s="276"/>
      <c r="BE298" s="276">
        <v>5</v>
      </c>
      <c r="BF298" s="276">
        <v>160</v>
      </c>
      <c r="BG298" s="260">
        <v>80</v>
      </c>
      <c r="BH298" s="271">
        <v>640</v>
      </c>
      <c r="BI298" s="276"/>
      <c r="BJ298" s="276"/>
      <c r="BK298" s="276"/>
      <c r="BL298" s="275"/>
      <c r="BM298" s="320">
        <v>459</v>
      </c>
      <c r="BN298" s="272">
        <v>80</v>
      </c>
      <c r="BO298" s="270">
        <v>160</v>
      </c>
      <c r="BP298" s="272"/>
      <c r="BQ298" s="260"/>
      <c r="BR298" s="260"/>
      <c r="BS298" s="260"/>
      <c r="BT298" s="260"/>
      <c r="BU298" s="260"/>
      <c r="BV298" s="260">
        <v>5</v>
      </c>
      <c r="BW298" s="260">
        <v>640</v>
      </c>
      <c r="BX298" s="260"/>
      <c r="BY298" s="260"/>
      <c r="BZ298" s="260"/>
      <c r="CA298" s="260"/>
      <c r="CB298" s="260"/>
      <c r="CC298" s="260"/>
      <c r="CD298" s="260">
        <v>320</v>
      </c>
      <c r="CE298" s="260">
        <v>320</v>
      </c>
      <c r="CF298" s="272"/>
      <c r="CG298" s="260"/>
      <c r="CH298" s="260"/>
      <c r="CI298" s="260"/>
      <c r="CJ298" s="260"/>
      <c r="CK298" s="260"/>
      <c r="CL298" s="260"/>
      <c r="CM298" s="260"/>
      <c r="CN298" s="260">
        <v>5</v>
      </c>
      <c r="CO298" s="260">
        <v>160</v>
      </c>
      <c r="CP298" s="260">
        <v>320</v>
      </c>
      <c r="CQ298" s="260">
        <v>320</v>
      </c>
      <c r="CR298" s="260">
        <v>320</v>
      </c>
      <c r="CS298" s="270">
        <v>320</v>
      </c>
      <c r="CT298" s="319">
        <v>459</v>
      </c>
      <c r="CU298" s="249">
        <f>Table2821115[[#This Row],[D28 - BR/18]]/Table2821115[[#This Row],[D0 - BR/18]]</f>
        <v>32</v>
      </c>
      <c r="CV298" s="248">
        <f>Table2821115[[#This Row],[D28 - KS/17]]/Table2821115[[#This Row],[D0 - KS/17]]</f>
        <v>32</v>
      </c>
      <c r="CW298" s="248">
        <f>Table2821115[[#This Row],[D28 - Phu/13]]/Table2821115[[#This Row],[D0 - Phu/13]]</f>
        <v>1</v>
      </c>
      <c r="CX298" s="248">
        <f>Table2821115[[#This Row],[D28 - CO/17]]/Table2821115[[#This Row],[D0 - CO/17]]</f>
        <v>1</v>
      </c>
      <c r="CY298" s="248">
        <f>LOG(Table2821115[[#This Row],[BR/18 Fold]],2)</f>
        <v>5</v>
      </c>
      <c r="CZ298" s="248">
        <f>LOG(Table2821115[[#This Row],[KS/17 Fold]],2)</f>
        <v>5</v>
      </c>
      <c r="DA298" s="248">
        <f>LOG(Table2821115[[#This Row],[Phu/13 Fold]],2)</f>
        <v>0</v>
      </c>
      <c r="DB298" s="248">
        <f>LOG(Table2821115[[#This Row],[CO/17 Fold]],2)</f>
        <v>0</v>
      </c>
      <c r="DC298" s="248">
        <f>SUM(Table2821115[[#This Row],[BR/18 Log2]:[CO/17 Log2]])</f>
        <v>10</v>
      </c>
    </row>
    <row r="299" spans="1:107" ht="24" customHeight="1">
      <c r="A299" s="321">
        <v>460</v>
      </c>
      <c r="B299" s="183">
        <v>35548</v>
      </c>
      <c r="C299" s="183">
        <v>43857</v>
      </c>
      <c r="D299" s="182">
        <v>22</v>
      </c>
      <c r="E299" s="3" t="s">
        <v>61</v>
      </c>
      <c r="F299" s="143" t="s">
        <v>117</v>
      </c>
      <c r="G299" s="142">
        <v>34.882555381068528</v>
      </c>
      <c r="H299" s="11" t="s">
        <v>59</v>
      </c>
      <c r="I299" s="277" t="s">
        <v>62</v>
      </c>
      <c r="J299" s="260">
        <v>5</v>
      </c>
      <c r="K299" s="260">
        <v>5</v>
      </c>
      <c r="L299" s="260"/>
      <c r="M299" s="260"/>
      <c r="N299" s="260"/>
      <c r="O299" s="260"/>
      <c r="P299" s="260"/>
      <c r="Q299" s="260"/>
      <c r="R299" s="260"/>
      <c r="S299" s="260"/>
      <c r="T299" s="260"/>
      <c r="U299" s="260"/>
      <c r="V299" s="260">
        <v>10</v>
      </c>
      <c r="W299" s="260">
        <v>40</v>
      </c>
      <c r="X299" s="260">
        <v>40</v>
      </c>
      <c r="Y299" s="260">
        <v>320</v>
      </c>
      <c r="Z299" s="260">
        <v>80</v>
      </c>
      <c r="AA299" s="260">
        <v>640</v>
      </c>
      <c r="AB299" s="260">
        <v>40</v>
      </c>
      <c r="AC299" s="260">
        <v>320</v>
      </c>
      <c r="AD299" s="260"/>
      <c r="AE299" s="260"/>
      <c r="AF299" s="260"/>
      <c r="AG299" s="260"/>
      <c r="AH299" s="32">
        <v>460</v>
      </c>
      <c r="AI299" s="272">
        <v>40</v>
      </c>
      <c r="AJ299" s="271">
        <v>160</v>
      </c>
      <c r="AK299" s="260"/>
      <c r="AL299" s="260"/>
      <c r="AM299" s="260"/>
      <c r="AN299" s="260"/>
      <c r="AO299" s="260"/>
      <c r="AP299" s="260"/>
      <c r="AQ299" s="260"/>
      <c r="AR299" s="260"/>
      <c r="AS299" s="260"/>
      <c r="AT299" s="260"/>
      <c r="AU299" s="260">
        <v>20</v>
      </c>
      <c r="AV299" s="271">
        <v>640</v>
      </c>
      <c r="AW299" s="260">
        <v>10</v>
      </c>
      <c r="AX299" s="271">
        <v>320</v>
      </c>
      <c r="AY299" s="260">
        <v>10</v>
      </c>
      <c r="AZ299" s="271">
        <v>320</v>
      </c>
      <c r="BA299" s="276">
        <v>20</v>
      </c>
      <c r="BB299" s="276">
        <v>640</v>
      </c>
      <c r="BC299" s="276"/>
      <c r="BD299" s="276"/>
      <c r="BE299" s="276">
        <v>5</v>
      </c>
      <c r="BF299" s="276">
        <v>320</v>
      </c>
      <c r="BG299" s="260">
        <v>40</v>
      </c>
      <c r="BH299" s="271">
        <v>640</v>
      </c>
      <c r="BI299" s="276"/>
      <c r="BJ299" s="276"/>
      <c r="BK299" s="276"/>
      <c r="BL299" s="275"/>
      <c r="BM299" s="320">
        <v>460</v>
      </c>
      <c r="BN299" s="272">
        <v>40</v>
      </c>
      <c r="BO299" s="270">
        <v>160</v>
      </c>
      <c r="BP299" s="272"/>
      <c r="BQ299" s="260"/>
      <c r="BR299" s="260"/>
      <c r="BS299" s="260"/>
      <c r="BT299" s="260"/>
      <c r="BU299" s="260"/>
      <c r="BV299" s="260">
        <v>5</v>
      </c>
      <c r="BW299" s="260">
        <v>160</v>
      </c>
      <c r="BX299" s="260"/>
      <c r="BY299" s="260"/>
      <c r="BZ299" s="260"/>
      <c r="CA299" s="260"/>
      <c r="CB299" s="260"/>
      <c r="CC299" s="260"/>
      <c r="CD299" s="260">
        <v>10</v>
      </c>
      <c r="CE299" s="260">
        <v>320</v>
      </c>
      <c r="CF299" s="272"/>
      <c r="CG299" s="260"/>
      <c r="CH299" s="260"/>
      <c r="CI299" s="260"/>
      <c r="CJ299" s="260"/>
      <c r="CK299" s="260"/>
      <c r="CL299" s="260"/>
      <c r="CM299" s="260"/>
      <c r="CN299" s="260">
        <v>10</v>
      </c>
      <c r="CO299" s="260">
        <v>80</v>
      </c>
      <c r="CP299" s="260">
        <v>10</v>
      </c>
      <c r="CQ299" s="260">
        <v>80</v>
      </c>
      <c r="CR299" s="260">
        <v>5</v>
      </c>
      <c r="CS299" s="270">
        <v>80</v>
      </c>
      <c r="CT299" s="319">
        <v>460</v>
      </c>
      <c r="CU299" s="249">
        <f>Table2821115[[#This Row],[D28 - BR/18]]/Table2821115[[#This Row],[D0 - BR/18]]</f>
        <v>8</v>
      </c>
      <c r="CV299" s="248">
        <f>Table2821115[[#This Row],[D28 - KS/17]]/Table2821115[[#This Row],[D0 - KS/17]]</f>
        <v>64</v>
      </c>
      <c r="CW299" s="248">
        <f>Table2821115[[#This Row],[D28 - Phu/13]]/Table2821115[[#This Row],[D0 - Phu/13]]</f>
        <v>32</v>
      </c>
      <c r="CX299" s="248">
        <f>Table2821115[[#This Row],[D28 - CO/17]]/Table2821115[[#This Row],[D0 - CO/17]]</f>
        <v>8</v>
      </c>
      <c r="CY299" s="248">
        <f>LOG(Table2821115[[#This Row],[BR/18 Fold]],2)</f>
        <v>3</v>
      </c>
      <c r="CZ299" s="248">
        <f>LOG(Table2821115[[#This Row],[KS/17 Fold]],2)</f>
        <v>6</v>
      </c>
      <c r="DA299" s="248">
        <f>LOG(Table2821115[[#This Row],[Phu/13 Fold]],2)</f>
        <v>5</v>
      </c>
      <c r="DB299" s="248">
        <f>LOG(Table2821115[[#This Row],[CO/17 Fold]],2)</f>
        <v>3</v>
      </c>
      <c r="DC299" s="248">
        <f>SUM(Table2821115[[#This Row],[BR/18 Log2]:[CO/17 Log2]])</f>
        <v>17</v>
      </c>
    </row>
    <row r="300" spans="1:107" ht="24" customHeight="1">
      <c r="A300" s="324">
        <v>461</v>
      </c>
      <c r="B300" s="190">
        <v>29340</v>
      </c>
      <c r="C300" s="190">
        <v>43834</v>
      </c>
      <c r="D300" s="189">
        <v>39</v>
      </c>
      <c r="E300" s="4" t="s">
        <v>58</v>
      </c>
      <c r="F300" s="143" t="s">
        <v>116</v>
      </c>
      <c r="G300" s="142">
        <v>24.413580246913575</v>
      </c>
      <c r="H300" s="11" t="s">
        <v>59</v>
      </c>
      <c r="I300" s="277" t="s">
        <v>60</v>
      </c>
      <c r="J300" s="260">
        <v>5</v>
      </c>
      <c r="K300" s="260">
        <v>5</v>
      </c>
      <c r="L300" s="260"/>
      <c r="M300" s="260"/>
      <c r="N300" s="260"/>
      <c r="O300" s="260"/>
      <c r="P300" s="260"/>
      <c r="Q300" s="260"/>
      <c r="R300" s="260"/>
      <c r="S300" s="260"/>
      <c r="T300" s="260"/>
      <c r="U300" s="260"/>
      <c r="V300" s="260">
        <v>5</v>
      </c>
      <c r="W300" s="260">
        <v>20</v>
      </c>
      <c r="X300" s="260">
        <v>5</v>
      </c>
      <c r="Y300" s="260">
        <v>5</v>
      </c>
      <c r="Z300" s="260">
        <v>5</v>
      </c>
      <c r="AA300" s="260">
        <v>5</v>
      </c>
      <c r="AB300" s="260">
        <v>5</v>
      </c>
      <c r="AC300" s="260">
        <v>20</v>
      </c>
      <c r="AD300" s="260"/>
      <c r="AE300" s="260"/>
      <c r="AF300" s="260"/>
      <c r="AG300" s="260"/>
      <c r="AH300" s="198">
        <v>461</v>
      </c>
      <c r="AI300" s="272">
        <v>5</v>
      </c>
      <c r="AJ300" s="271">
        <v>10</v>
      </c>
      <c r="AK300" s="260"/>
      <c r="AL300" s="260"/>
      <c r="AM300" s="260"/>
      <c r="AN300" s="260"/>
      <c r="AO300" s="260"/>
      <c r="AP300" s="260"/>
      <c r="AQ300" s="260"/>
      <c r="AR300" s="260"/>
      <c r="AS300" s="260"/>
      <c r="AT300" s="260"/>
      <c r="AU300" s="260">
        <v>5</v>
      </c>
      <c r="AV300" s="271">
        <v>80</v>
      </c>
      <c r="AW300" s="260">
        <v>5</v>
      </c>
      <c r="AX300" s="271">
        <v>80</v>
      </c>
      <c r="AY300" s="260">
        <v>5</v>
      </c>
      <c r="AZ300" s="271">
        <v>5</v>
      </c>
      <c r="BA300" s="276">
        <v>5</v>
      </c>
      <c r="BB300" s="276">
        <v>40</v>
      </c>
      <c r="BC300" s="276"/>
      <c r="BD300" s="276"/>
      <c r="BE300" s="276">
        <v>5</v>
      </c>
      <c r="BF300" s="276">
        <v>40</v>
      </c>
      <c r="BG300" s="260">
        <v>40</v>
      </c>
      <c r="BH300" s="271">
        <v>40</v>
      </c>
      <c r="BI300" s="276"/>
      <c r="BJ300" s="276"/>
      <c r="BK300" s="276"/>
      <c r="BL300" s="275"/>
      <c r="BM300" s="323">
        <v>461</v>
      </c>
      <c r="BN300" s="272">
        <v>40</v>
      </c>
      <c r="BO300" s="270">
        <v>80</v>
      </c>
      <c r="BP300" s="272"/>
      <c r="BQ300" s="260"/>
      <c r="BR300" s="260"/>
      <c r="BS300" s="260"/>
      <c r="BT300" s="260"/>
      <c r="BU300" s="260"/>
      <c r="BV300" s="260">
        <v>5</v>
      </c>
      <c r="BW300" s="260">
        <v>5</v>
      </c>
      <c r="BX300" s="260"/>
      <c r="BY300" s="260"/>
      <c r="BZ300" s="260"/>
      <c r="CA300" s="260"/>
      <c r="CB300" s="260"/>
      <c r="CC300" s="260"/>
      <c r="CD300" s="260">
        <v>5</v>
      </c>
      <c r="CE300" s="260">
        <v>20</v>
      </c>
      <c r="CF300" s="272"/>
      <c r="CG300" s="260"/>
      <c r="CH300" s="260"/>
      <c r="CI300" s="260"/>
      <c r="CJ300" s="260"/>
      <c r="CK300" s="260"/>
      <c r="CL300" s="260"/>
      <c r="CM300" s="260"/>
      <c r="CN300" s="260">
        <v>20</v>
      </c>
      <c r="CO300" s="260">
        <v>40</v>
      </c>
      <c r="CP300" s="260">
        <v>40</v>
      </c>
      <c r="CQ300" s="260">
        <v>40</v>
      </c>
      <c r="CR300" s="260">
        <v>40</v>
      </c>
      <c r="CS300" s="270">
        <v>80</v>
      </c>
      <c r="CT300" s="322">
        <v>461</v>
      </c>
      <c r="CU300" s="249">
        <f>Table2821115[[#This Row],[D28 - BR/18]]/Table2821115[[#This Row],[D0 - BR/18]]</f>
        <v>4</v>
      </c>
      <c r="CV300" s="248">
        <f>Table2821115[[#This Row],[D28 - KS/17]]/Table2821115[[#This Row],[D0 - KS/17]]</f>
        <v>8</v>
      </c>
      <c r="CW300" s="248">
        <f>Table2821115[[#This Row],[D28 - Phu/13]]/Table2821115[[#This Row],[D0 - Phu/13]]</f>
        <v>4</v>
      </c>
      <c r="CX300" s="248">
        <f>Table2821115[[#This Row],[D28 - CO/17]]/Table2821115[[#This Row],[D0 - CO/17]]</f>
        <v>1</v>
      </c>
      <c r="CY300" s="248">
        <f>LOG(Table2821115[[#This Row],[BR/18 Fold]],2)</f>
        <v>2</v>
      </c>
      <c r="CZ300" s="248">
        <f>LOG(Table2821115[[#This Row],[KS/17 Fold]],2)</f>
        <v>3</v>
      </c>
      <c r="DA300" s="248">
        <f>LOG(Table2821115[[#This Row],[Phu/13 Fold]],2)</f>
        <v>2</v>
      </c>
      <c r="DB300" s="248">
        <f>LOG(Table2821115[[#This Row],[CO/17 Fold]],2)</f>
        <v>0</v>
      </c>
      <c r="DC300" s="248">
        <f>SUM(Table2821115[[#This Row],[BR/18 Log2]:[CO/17 Log2]])</f>
        <v>7</v>
      </c>
    </row>
    <row r="301" spans="1:107" ht="24" customHeight="1">
      <c r="A301" s="324">
        <v>462</v>
      </c>
      <c r="B301" s="190">
        <v>26194</v>
      </c>
      <c r="C301" s="190">
        <v>43812</v>
      </c>
      <c r="D301" s="189">
        <v>48</v>
      </c>
      <c r="E301" s="3" t="s">
        <v>61</v>
      </c>
      <c r="F301" s="143" t="s">
        <v>116</v>
      </c>
      <c r="G301" s="142">
        <v>24.086848238475888</v>
      </c>
      <c r="H301" s="11" t="s">
        <v>59</v>
      </c>
      <c r="I301" s="277" t="s">
        <v>60</v>
      </c>
      <c r="J301" s="260">
        <v>5</v>
      </c>
      <c r="K301" s="260">
        <v>40</v>
      </c>
      <c r="L301" s="260"/>
      <c r="M301" s="260"/>
      <c r="N301" s="260"/>
      <c r="O301" s="260"/>
      <c r="P301" s="260"/>
      <c r="Q301" s="260"/>
      <c r="R301" s="260"/>
      <c r="S301" s="260"/>
      <c r="T301" s="260"/>
      <c r="U301" s="260"/>
      <c r="V301" s="260">
        <v>5</v>
      </c>
      <c r="W301" s="260">
        <v>5</v>
      </c>
      <c r="X301" s="260">
        <v>5</v>
      </c>
      <c r="Y301" s="260">
        <v>80</v>
      </c>
      <c r="Z301" s="260">
        <v>5</v>
      </c>
      <c r="AA301" s="260">
        <v>40</v>
      </c>
      <c r="AB301" s="260">
        <v>5</v>
      </c>
      <c r="AC301" s="260">
        <v>20</v>
      </c>
      <c r="AD301" s="260"/>
      <c r="AE301" s="260"/>
      <c r="AF301" s="260"/>
      <c r="AG301" s="260"/>
      <c r="AH301" s="198">
        <v>462</v>
      </c>
      <c r="AI301" s="272">
        <v>5</v>
      </c>
      <c r="AJ301" s="271">
        <v>5</v>
      </c>
      <c r="AK301" s="260"/>
      <c r="AL301" s="260"/>
      <c r="AM301" s="260"/>
      <c r="AN301" s="260"/>
      <c r="AO301" s="260"/>
      <c r="AP301" s="260"/>
      <c r="AQ301" s="260"/>
      <c r="AR301" s="260"/>
      <c r="AS301" s="260"/>
      <c r="AT301" s="260"/>
      <c r="AU301" s="260">
        <v>10</v>
      </c>
      <c r="AV301" s="271">
        <v>20</v>
      </c>
      <c r="AW301" s="260">
        <v>5</v>
      </c>
      <c r="AX301" s="271">
        <v>10</v>
      </c>
      <c r="AY301" s="260">
        <v>5</v>
      </c>
      <c r="AZ301" s="271">
        <v>5</v>
      </c>
      <c r="BA301" s="276">
        <v>5</v>
      </c>
      <c r="BB301" s="276">
        <v>10</v>
      </c>
      <c r="BC301" s="276"/>
      <c r="BD301" s="276"/>
      <c r="BE301" s="276">
        <v>5</v>
      </c>
      <c r="BF301" s="276">
        <v>5</v>
      </c>
      <c r="BG301" s="260">
        <v>10</v>
      </c>
      <c r="BH301" s="271">
        <v>10</v>
      </c>
      <c r="BI301" s="276"/>
      <c r="BJ301" s="276"/>
      <c r="BK301" s="276"/>
      <c r="BL301" s="275"/>
      <c r="BM301" s="323">
        <v>462</v>
      </c>
      <c r="BN301" s="272">
        <v>40</v>
      </c>
      <c r="BO301" s="270">
        <v>80</v>
      </c>
      <c r="BP301" s="272"/>
      <c r="BQ301" s="260"/>
      <c r="BR301" s="260"/>
      <c r="BS301" s="260"/>
      <c r="BT301" s="260"/>
      <c r="BU301" s="260"/>
      <c r="BV301" s="260">
        <v>5</v>
      </c>
      <c r="BW301" s="260">
        <v>80</v>
      </c>
      <c r="BX301" s="260"/>
      <c r="BY301" s="260"/>
      <c r="BZ301" s="260"/>
      <c r="CA301" s="260"/>
      <c r="CB301" s="260"/>
      <c r="CC301" s="260"/>
      <c r="CD301" s="260">
        <v>40</v>
      </c>
      <c r="CE301" s="260">
        <v>20</v>
      </c>
      <c r="CF301" s="272"/>
      <c r="CG301" s="260"/>
      <c r="CH301" s="260"/>
      <c r="CI301" s="260"/>
      <c r="CJ301" s="260"/>
      <c r="CK301" s="260"/>
      <c r="CL301" s="260"/>
      <c r="CM301" s="260"/>
      <c r="CN301" s="260">
        <v>40</v>
      </c>
      <c r="CO301" s="260">
        <v>40</v>
      </c>
      <c r="CP301" s="260">
        <v>80</v>
      </c>
      <c r="CQ301" s="260">
        <v>40</v>
      </c>
      <c r="CR301" s="260">
        <v>80</v>
      </c>
      <c r="CS301" s="270">
        <v>160</v>
      </c>
      <c r="CT301" s="322">
        <v>462</v>
      </c>
      <c r="CU301" s="249">
        <f>Table2821115[[#This Row],[D28 - BR/18]]/Table2821115[[#This Row],[D0 - BR/18]]</f>
        <v>4</v>
      </c>
      <c r="CV301" s="248">
        <f>Table2821115[[#This Row],[D28 - KS/17]]/Table2821115[[#This Row],[D0 - KS/17]]</f>
        <v>1</v>
      </c>
      <c r="CW301" s="248">
        <f>Table2821115[[#This Row],[D28 - Phu/13]]/Table2821115[[#This Row],[D0 - Phu/13]]</f>
        <v>0.5</v>
      </c>
      <c r="CX301" s="248">
        <f>Table2821115[[#This Row],[D28 - CO/17]]/Table2821115[[#This Row],[D0 - CO/17]]</f>
        <v>0.5</v>
      </c>
      <c r="CY301" s="248">
        <f>LOG(Table2821115[[#This Row],[BR/18 Fold]],2)</f>
        <v>2</v>
      </c>
      <c r="CZ301" s="248">
        <f>LOG(Table2821115[[#This Row],[KS/17 Fold]],2)</f>
        <v>0</v>
      </c>
      <c r="DA301" s="248">
        <f>LOG(Table2821115[[#This Row],[Phu/13 Fold]],2)</f>
        <v>-1</v>
      </c>
      <c r="DB301" s="248">
        <f>LOG(Table2821115[[#This Row],[CO/17 Fold]],2)</f>
        <v>-1</v>
      </c>
      <c r="DC301" s="248">
        <f>SUM(Table2821115[[#This Row],[BR/18 Log2]:[CO/17 Log2]])</f>
        <v>0</v>
      </c>
    </row>
    <row r="302" spans="1:107" ht="24" customHeight="1">
      <c r="A302" s="321">
        <v>463</v>
      </c>
      <c r="B302" s="183">
        <v>33177</v>
      </c>
      <c r="C302" s="183">
        <v>43861</v>
      </c>
      <c r="D302" s="182">
        <v>29</v>
      </c>
      <c r="E302" s="3" t="s">
        <v>61</v>
      </c>
      <c r="F302" s="143" t="s">
        <v>116</v>
      </c>
      <c r="G302" s="142">
        <v>27.954014289502787</v>
      </c>
      <c r="H302" s="11" t="s">
        <v>59</v>
      </c>
      <c r="I302" s="277" t="s">
        <v>62</v>
      </c>
      <c r="J302" s="260">
        <v>5</v>
      </c>
      <c r="K302" s="260">
        <v>5</v>
      </c>
      <c r="L302" s="260"/>
      <c r="M302" s="260"/>
      <c r="N302" s="260"/>
      <c r="O302" s="260"/>
      <c r="P302" s="260"/>
      <c r="Q302" s="260"/>
      <c r="R302" s="260"/>
      <c r="S302" s="260"/>
      <c r="T302" s="260"/>
      <c r="U302" s="260"/>
      <c r="V302" s="260">
        <v>5</v>
      </c>
      <c r="W302" s="260">
        <v>10</v>
      </c>
      <c r="X302" s="260">
        <v>5</v>
      </c>
      <c r="Y302" s="260">
        <v>160</v>
      </c>
      <c r="Z302" s="260">
        <v>5</v>
      </c>
      <c r="AA302" s="260">
        <v>320</v>
      </c>
      <c r="AB302" s="260">
        <v>10</v>
      </c>
      <c r="AC302" s="260">
        <v>160</v>
      </c>
      <c r="AD302" s="260"/>
      <c r="AE302" s="260"/>
      <c r="AF302" s="260"/>
      <c r="AG302" s="260"/>
      <c r="AH302" s="32">
        <v>463</v>
      </c>
      <c r="AI302" s="272">
        <v>40</v>
      </c>
      <c r="AJ302" s="271">
        <v>80</v>
      </c>
      <c r="AK302" s="260"/>
      <c r="AL302" s="260"/>
      <c r="AM302" s="260"/>
      <c r="AN302" s="260"/>
      <c r="AO302" s="260"/>
      <c r="AP302" s="260"/>
      <c r="AQ302" s="260"/>
      <c r="AR302" s="260"/>
      <c r="AS302" s="260"/>
      <c r="AT302" s="260"/>
      <c r="AU302" s="260">
        <v>20</v>
      </c>
      <c r="AV302" s="271">
        <v>80</v>
      </c>
      <c r="AW302" s="260">
        <v>5</v>
      </c>
      <c r="AX302" s="271">
        <v>80</v>
      </c>
      <c r="AY302" s="260">
        <v>5</v>
      </c>
      <c r="AZ302" s="271">
        <v>80</v>
      </c>
      <c r="BA302" s="276">
        <v>20</v>
      </c>
      <c r="BB302" s="276">
        <v>80</v>
      </c>
      <c r="BC302" s="276"/>
      <c r="BD302" s="276"/>
      <c r="BE302" s="276">
        <v>5</v>
      </c>
      <c r="BF302" s="276">
        <v>80</v>
      </c>
      <c r="BG302" s="260">
        <v>40</v>
      </c>
      <c r="BH302" s="271">
        <v>80</v>
      </c>
      <c r="BI302" s="276"/>
      <c r="BJ302" s="276"/>
      <c r="BK302" s="276"/>
      <c r="BL302" s="275"/>
      <c r="BM302" s="320">
        <v>463</v>
      </c>
      <c r="BN302" s="272">
        <v>20</v>
      </c>
      <c r="BO302" s="270">
        <v>2560</v>
      </c>
      <c r="BP302" s="272"/>
      <c r="BQ302" s="260"/>
      <c r="BR302" s="260"/>
      <c r="BS302" s="260"/>
      <c r="BT302" s="260"/>
      <c r="BU302" s="260"/>
      <c r="BV302" s="260">
        <v>5</v>
      </c>
      <c r="BW302" s="260">
        <v>1280</v>
      </c>
      <c r="BX302" s="260"/>
      <c r="BY302" s="260"/>
      <c r="BZ302" s="260"/>
      <c r="CA302" s="260"/>
      <c r="CB302" s="260"/>
      <c r="CC302" s="260"/>
      <c r="CD302" s="260">
        <v>40</v>
      </c>
      <c r="CE302" s="260">
        <v>1280</v>
      </c>
      <c r="CF302" s="272"/>
      <c r="CG302" s="260"/>
      <c r="CH302" s="260"/>
      <c r="CI302" s="260"/>
      <c r="CJ302" s="260"/>
      <c r="CK302" s="260"/>
      <c r="CL302" s="260"/>
      <c r="CM302" s="260"/>
      <c r="CN302" s="260">
        <v>5</v>
      </c>
      <c r="CO302" s="260">
        <v>640</v>
      </c>
      <c r="CP302" s="260">
        <v>5</v>
      </c>
      <c r="CQ302" s="260">
        <v>1280</v>
      </c>
      <c r="CR302" s="260">
        <v>5</v>
      </c>
      <c r="CS302" s="270">
        <v>1280</v>
      </c>
      <c r="CT302" s="319">
        <v>463</v>
      </c>
      <c r="CU302" s="249">
        <f>Table2821115[[#This Row],[D28 - BR/18]]/Table2821115[[#This Row],[D0 - BR/18]]</f>
        <v>16</v>
      </c>
      <c r="CV302" s="248">
        <f>Table2821115[[#This Row],[D28 - KS/17]]/Table2821115[[#This Row],[D0 - KS/17]]</f>
        <v>16</v>
      </c>
      <c r="CW302" s="248">
        <f>Table2821115[[#This Row],[D28 - Phu/13]]/Table2821115[[#This Row],[D0 - Phu/13]]</f>
        <v>32</v>
      </c>
      <c r="CX302" s="248">
        <f>Table2821115[[#This Row],[D28 - CO/17]]/Table2821115[[#This Row],[D0 - CO/17]]</f>
        <v>256</v>
      </c>
      <c r="CY302" s="248">
        <f>LOG(Table2821115[[#This Row],[BR/18 Fold]],2)</f>
        <v>4</v>
      </c>
      <c r="CZ302" s="248">
        <f>LOG(Table2821115[[#This Row],[KS/17 Fold]],2)</f>
        <v>4</v>
      </c>
      <c r="DA302" s="248">
        <f>LOG(Table2821115[[#This Row],[Phu/13 Fold]],2)</f>
        <v>5</v>
      </c>
      <c r="DB302" s="248">
        <f>LOG(Table2821115[[#This Row],[CO/17 Fold]],2)</f>
        <v>8</v>
      </c>
      <c r="DC302" s="248">
        <f>SUM(Table2821115[[#This Row],[BR/18 Log2]:[CO/17 Log2]])</f>
        <v>21</v>
      </c>
    </row>
    <row r="303" spans="1:107" ht="24" customHeight="1">
      <c r="A303" s="321">
        <v>464</v>
      </c>
      <c r="B303" s="183">
        <v>34228</v>
      </c>
      <c r="C303" s="183">
        <v>43837</v>
      </c>
      <c r="D303" s="182">
        <v>26</v>
      </c>
      <c r="E303" s="3" t="s">
        <v>61</v>
      </c>
      <c r="F303" s="143" t="s">
        <v>116</v>
      </c>
      <c r="G303" s="142">
        <v>28.120421643851106</v>
      </c>
      <c r="H303" s="11" t="s">
        <v>59</v>
      </c>
      <c r="I303" s="277" t="s">
        <v>60</v>
      </c>
      <c r="J303" s="260">
        <v>5</v>
      </c>
      <c r="K303" s="260">
        <v>5</v>
      </c>
      <c r="L303" s="260"/>
      <c r="M303" s="260"/>
      <c r="N303" s="260"/>
      <c r="O303" s="260"/>
      <c r="P303" s="260"/>
      <c r="Q303" s="260"/>
      <c r="R303" s="260"/>
      <c r="S303" s="260"/>
      <c r="T303" s="260"/>
      <c r="U303" s="260"/>
      <c r="V303" s="260">
        <v>5</v>
      </c>
      <c r="W303" s="260">
        <v>5</v>
      </c>
      <c r="X303" s="260">
        <v>80</v>
      </c>
      <c r="Y303" s="260">
        <v>80</v>
      </c>
      <c r="Z303" s="260">
        <v>40</v>
      </c>
      <c r="AA303" s="260">
        <v>80</v>
      </c>
      <c r="AB303" s="260">
        <v>80</v>
      </c>
      <c r="AC303" s="260">
        <v>80</v>
      </c>
      <c r="AD303" s="260"/>
      <c r="AE303" s="260"/>
      <c r="AF303" s="260"/>
      <c r="AG303" s="260"/>
      <c r="AH303" s="32">
        <v>464</v>
      </c>
      <c r="AI303" s="272">
        <v>80</v>
      </c>
      <c r="AJ303" s="271">
        <v>80</v>
      </c>
      <c r="AK303" s="260"/>
      <c r="AL303" s="260"/>
      <c r="AM303" s="260"/>
      <c r="AN303" s="260"/>
      <c r="AO303" s="260"/>
      <c r="AP303" s="260"/>
      <c r="AQ303" s="260"/>
      <c r="AR303" s="260"/>
      <c r="AS303" s="260"/>
      <c r="AT303" s="260"/>
      <c r="AU303" s="260">
        <v>40</v>
      </c>
      <c r="AV303" s="271">
        <v>40</v>
      </c>
      <c r="AW303" s="260">
        <v>10</v>
      </c>
      <c r="AX303" s="271">
        <v>40</v>
      </c>
      <c r="AY303" s="260">
        <v>20</v>
      </c>
      <c r="AZ303" s="271">
        <v>20</v>
      </c>
      <c r="BA303" s="276">
        <v>40</v>
      </c>
      <c r="BB303" s="276">
        <v>40</v>
      </c>
      <c r="BC303" s="276"/>
      <c r="BD303" s="276"/>
      <c r="BE303" s="276">
        <v>10</v>
      </c>
      <c r="BF303" s="276">
        <v>40</v>
      </c>
      <c r="BG303" s="260">
        <v>80</v>
      </c>
      <c r="BH303" s="271">
        <v>40</v>
      </c>
      <c r="BI303" s="276"/>
      <c r="BJ303" s="276"/>
      <c r="BK303" s="276"/>
      <c r="BL303" s="275"/>
      <c r="BM303" s="320">
        <v>464</v>
      </c>
      <c r="BN303" s="272">
        <v>20</v>
      </c>
      <c r="BO303" s="270">
        <v>40</v>
      </c>
      <c r="BP303" s="272"/>
      <c r="BQ303" s="260"/>
      <c r="BR303" s="260"/>
      <c r="BS303" s="260"/>
      <c r="BT303" s="260"/>
      <c r="BU303" s="260"/>
      <c r="BV303" s="260">
        <v>5</v>
      </c>
      <c r="BW303" s="260">
        <v>5</v>
      </c>
      <c r="BX303" s="260"/>
      <c r="BY303" s="260"/>
      <c r="BZ303" s="260"/>
      <c r="CA303" s="260"/>
      <c r="CB303" s="260"/>
      <c r="CC303" s="260"/>
      <c r="CD303" s="260">
        <v>40</v>
      </c>
      <c r="CE303" s="260">
        <v>80</v>
      </c>
      <c r="CF303" s="272"/>
      <c r="CG303" s="260"/>
      <c r="CH303" s="260"/>
      <c r="CI303" s="260"/>
      <c r="CJ303" s="260"/>
      <c r="CK303" s="260"/>
      <c r="CL303" s="260"/>
      <c r="CM303" s="260"/>
      <c r="CN303" s="260">
        <v>20</v>
      </c>
      <c r="CO303" s="260">
        <v>80</v>
      </c>
      <c r="CP303" s="260">
        <v>40</v>
      </c>
      <c r="CQ303" s="260">
        <v>80</v>
      </c>
      <c r="CR303" s="260">
        <v>20</v>
      </c>
      <c r="CS303" s="270">
        <v>80</v>
      </c>
      <c r="CT303" s="319">
        <v>464</v>
      </c>
      <c r="CU303" s="249">
        <f>Table2821115[[#This Row],[D28 - BR/18]]/Table2821115[[#This Row],[D0 - BR/18]]</f>
        <v>1</v>
      </c>
      <c r="CV303" s="248">
        <f>Table2821115[[#This Row],[D28 - KS/17]]/Table2821115[[#This Row],[D0 - KS/17]]</f>
        <v>4</v>
      </c>
      <c r="CW303" s="248">
        <f>Table2821115[[#This Row],[D28 - Phu/13]]/Table2821115[[#This Row],[D0 - Phu/13]]</f>
        <v>2</v>
      </c>
      <c r="CX303" s="248">
        <f>Table2821115[[#This Row],[D28 - CO/17]]/Table2821115[[#This Row],[D0 - CO/17]]</f>
        <v>2</v>
      </c>
      <c r="CY303" s="248">
        <f>LOG(Table2821115[[#This Row],[BR/18 Fold]],2)</f>
        <v>0</v>
      </c>
      <c r="CZ303" s="248">
        <f>LOG(Table2821115[[#This Row],[KS/17 Fold]],2)</f>
        <v>2</v>
      </c>
      <c r="DA303" s="248">
        <f>LOG(Table2821115[[#This Row],[Phu/13 Fold]],2)</f>
        <v>1</v>
      </c>
      <c r="DB303" s="248">
        <f>LOG(Table2821115[[#This Row],[CO/17 Fold]],2)</f>
        <v>1</v>
      </c>
      <c r="DC303" s="248">
        <f>SUM(Table2821115[[#This Row],[BR/18 Log2]:[CO/17 Log2]])</f>
        <v>4</v>
      </c>
    </row>
    <row r="304" spans="1:107" ht="24" customHeight="1">
      <c r="A304" s="324">
        <v>466</v>
      </c>
      <c r="B304" s="190">
        <v>30316</v>
      </c>
      <c r="C304" s="190">
        <v>43804</v>
      </c>
      <c r="D304" s="189">
        <v>36</v>
      </c>
      <c r="E304" s="3" t="s">
        <v>61</v>
      </c>
      <c r="F304" s="143" t="s">
        <v>116</v>
      </c>
      <c r="G304" s="142">
        <v>24.952417235901883</v>
      </c>
      <c r="H304" s="11" t="s">
        <v>59</v>
      </c>
      <c r="I304" s="277" t="s">
        <v>60</v>
      </c>
      <c r="J304" s="260">
        <v>5</v>
      </c>
      <c r="K304" s="260">
        <v>5</v>
      </c>
      <c r="L304" s="260"/>
      <c r="M304" s="260"/>
      <c r="N304" s="260"/>
      <c r="O304" s="260"/>
      <c r="P304" s="260"/>
      <c r="Q304" s="260"/>
      <c r="R304" s="260"/>
      <c r="S304" s="260"/>
      <c r="T304" s="260"/>
      <c r="U304" s="260"/>
      <c r="V304" s="260">
        <v>5</v>
      </c>
      <c r="W304" s="260">
        <v>5</v>
      </c>
      <c r="X304" s="260">
        <v>5</v>
      </c>
      <c r="Y304" s="260">
        <v>40</v>
      </c>
      <c r="Z304" s="260">
        <v>5</v>
      </c>
      <c r="AA304" s="260">
        <v>80</v>
      </c>
      <c r="AB304" s="260">
        <v>20</v>
      </c>
      <c r="AC304" s="260">
        <v>40</v>
      </c>
      <c r="AD304" s="260"/>
      <c r="AE304" s="260"/>
      <c r="AF304" s="260"/>
      <c r="AG304" s="260"/>
      <c r="AH304" s="198">
        <v>466</v>
      </c>
      <c r="AI304" s="272">
        <v>5</v>
      </c>
      <c r="AJ304" s="271">
        <v>10</v>
      </c>
      <c r="AK304" s="260"/>
      <c r="AL304" s="260"/>
      <c r="AM304" s="260"/>
      <c r="AN304" s="260"/>
      <c r="AO304" s="260"/>
      <c r="AP304" s="260"/>
      <c r="AQ304" s="260"/>
      <c r="AR304" s="260"/>
      <c r="AS304" s="260"/>
      <c r="AT304" s="260"/>
      <c r="AU304" s="260">
        <v>20</v>
      </c>
      <c r="AV304" s="271">
        <v>40</v>
      </c>
      <c r="AW304" s="260">
        <v>20</v>
      </c>
      <c r="AX304" s="271">
        <v>40</v>
      </c>
      <c r="AY304" s="260">
        <v>10</v>
      </c>
      <c r="AZ304" s="271">
        <v>20</v>
      </c>
      <c r="BA304" s="276">
        <v>20</v>
      </c>
      <c r="BB304" s="276">
        <v>40</v>
      </c>
      <c r="BC304" s="276"/>
      <c r="BD304" s="276"/>
      <c r="BE304" s="276">
        <v>5</v>
      </c>
      <c r="BF304" s="276">
        <v>20</v>
      </c>
      <c r="BG304" s="260">
        <v>40</v>
      </c>
      <c r="BH304" s="271">
        <v>40</v>
      </c>
      <c r="BI304" s="276"/>
      <c r="BJ304" s="276"/>
      <c r="BK304" s="276"/>
      <c r="BL304" s="275"/>
      <c r="BM304" s="323">
        <v>466</v>
      </c>
      <c r="BN304" s="272">
        <v>5</v>
      </c>
      <c r="BO304" s="270">
        <v>10</v>
      </c>
      <c r="BP304" s="272"/>
      <c r="BQ304" s="260"/>
      <c r="BR304" s="260"/>
      <c r="BS304" s="260"/>
      <c r="BT304" s="260"/>
      <c r="BU304" s="260"/>
      <c r="BV304" s="260">
        <v>5</v>
      </c>
      <c r="BW304" s="260">
        <v>5</v>
      </c>
      <c r="BX304" s="260"/>
      <c r="BY304" s="260"/>
      <c r="BZ304" s="260"/>
      <c r="CA304" s="260"/>
      <c r="CB304" s="260"/>
      <c r="CC304" s="260"/>
      <c r="CD304" s="260">
        <v>10</v>
      </c>
      <c r="CE304" s="260">
        <v>80</v>
      </c>
      <c r="CF304" s="272"/>
      <c r="CG304" s="260"/>
      <c r="CH304" s="260"/>
      <c r="CI304" s="260"/>
      <c r="CJ304" s="260"/>
      <c r="CK304" s="260"/>
      <c r="CL304" s="260"/>
      <c r="CM304" s="260"/>
      <c r="CN304" s="260">
        <v>10</v>
      </c>
      <c r="CO304" s="260">
        <v>20</v>
      </c>
      <c r="CP304" s="260">
        <v>40</v>
      </c>
      <c r="CQ304" s="260">
        <v>40</v>
      </c>
      <c r="CR304" s="260">
        <v>5</v>
      </c>
      <c r="CS304" s="270">
        <v>40</v>
      </c>
      <c r="CT304" s="322">
        <v>466</v>
      </c>
      <c r="CU304" s="249">
        <f>Table2821115[[#This Row],[D28 - BR/18]]/Table2821115[[#This Row],[D0 - BR/18]]</f>
        <v>2</v>
      </c>
      <c r="CV304" s="248">
        <f>Table2821115[[#This Row],[D28 - KS/17]]/Table2821115[[#This Row],[D0 - KS/17]]</f>
        <v>4</v>
      </c>
      <c r="CW304" s="248">
        <f>Table2821115[[#This Row],[D28 - Phu/13]]/Table2821115[[#This Row],[D0 - Phu/13]]</f>
        <v>8</v>
      </c>
      <c r="CX304" s="248">
        <f>Table2821115[[#This Row],[D28 - CO/17]]/Table2821115[[#This Row],[D0 - CO/17]]</f>
        <v>1</v>
      </c>
      <c r="CY304" s="248">
        <f>LOG(Table2821115[[#This Row],[BR/18 Fold]],2)</f>
        <v>1</v>
      </c>
      <c r="CZ304" s="248">
        <f>LOG(Table2821115[[#This Row],[KS/17 Fold]],2)</f>
        <v>2</v>
      </c>
      <c r="DA304" s="248">
        <f>LOG(Table2821115[[#This Row],[Phu/13 Fold]],2)</f>
        <v>3</v>
      </c>
      <c r="DB304" s="248">
        <f>LOG(Table2821115[[#This Row],[CO/17 Fold]],2)</f>
        <v>0</v>
      </c>
      <c r="DC304" s="248">
        <f>SUM(Table2821115[[#This Row],[BR/18 Log2]:[CO/17 Log2]])</f>
        <v>6</v>
      </c>
    </row>
    <row r="305" spans="1:107" ht="24" customHeight="1">
      <c r="A305" s="321">
        <v>467</v>
      </c>
      <c r="B305" s="183">
        <v>34550</v>
      </c>
      <c r="C305" s="183">
        <v>43809</v>
      </c>
      <c r="D305" s="182">
        <v>25</v>
      </c>
      <c r="E305" s="4" t="s">
        <v>58</v>
      </c>
      <c r="F305" s="143" t="s">
        <v>117</v>
      </c>
      <c r="G305" s="142">
        <v>50.558908594285256</v>
      </c>
      <c r="H305" s="11" t="s">
        <v>59</v>
      </c>
      <c r="I305" s="277" t="s">
        <v>60</v>
      </c>
      <c r="J305" s="260">
        <v>5</v>
      </c>
      <c r="K305" s="260">
        <v>5</v>
      </c>
      <c r="L305" s="260"/>
      <c r="M305" s="260"/>
      <c r="N305" s="260"/>
      <c r="O305" s="260"/>
      <c r="P305" s="260"/>
      <c r="Q305" s="260"/>
      <c r="R305" s="260"/>
      <c r="S305" s="260"/>
      <c r="T305" s="260"/>
      <c r="U305" s="260"/>
      <c r="V305" s="260">
        <v>5</v>
      </c>
      <c r="W305" s="260">
        <v>10</v>
      </c>
      <c r="X305" s="260">
        <v>5</v>
      </c>
      <c r="Y305" s="260">
        <v>80</v>
      </c>
      <c r="Z305" s="260">
        <v>40</v>
      </c>
      <c r="AA305" s="260">
        <v>80</v>
      </c>
      <c r="AB305" s="260">
        <v>5</v>
      </c>
      <c r="AC305" s="260">
        <v>80</v>
      </c>
      <c r="AD305" s="260"/>
      <c r="AE305" s="260"/>
      <c r="AF305" s="260"/>
      <c r="AG305" s="260"/>
      <c r="AH305" s="32">
        <v>467</v>
      </c>
      <c r="AI305" s="272">
        <v>80</v>
      </c>
      <c r="AJ305" s="271">
        <v>80</v>
      </c>
      <c r="AK305" s="260"/>
      <c r="AL305" s="260"/>
      <c r="AM305" s="260"/>
      <c r="AN305" s="260"/>
      <c r="AO305" s="260"/>
      <c r="AP305" s="260"/>
      <c r="AQ305" s="260"/>
      <c r="AR305" s="260"/>
      <c r="AS305" s="260"/>
      <c r="AT305" s="260"/>
      <c r="AU305" s="260">
        <v>80</v>
      </c>
      <c r="AV305" s="271">
        <v>80</v>
      </c>
      <c r="AW305" s="260">
        <v>40</v>
      </c>
      <c r="AX305" s="271">
        <v>80</v>
      </c>
      <c r="AY305" s="260">
        <v>40</v>
      </c>
      <c r="AZ305" s="271">
        <v>40</v>
      </c>
      <c r="BA305" s="276">
        <v>40</v>
      </c>
      <c r="BB305" s="276">
        <v>80</v>
      </c>
      <c r="BC305" s="276"/>
      <c r="BD305" s="276"/>
      <c r="BE305" s="276">
        <v>5</v>
      </c>
      <c r="BF305" s="276">
        <v>20</v>
      </c>
      <c r="BG305" s="260">
        <v>160</v>
      </c>
      <c r="BH305" s="271">
        <v>80</v>
      </c>
      <c r="BI305" s="276"/>
      <c r="BJ305" s="276"/>
      <c r="BK305" s="276"/>
      <c r="BL305" s="275"/>
      <c r="BM305" s="320">
        <v>467</v>
      </c>
      <c r="BN305" s="272">
        <v>80</v>
      </c>
      <c r="BO305" s="270">
        <v>1280</v>
      </c>
      <c r="BP305" s="272"/>
      <c r="BQ305" s="260"/>
      <c r="BR305" s="260"/>
      <c r="BS305" s="260"/>
      <c r="BT305" s="260"/>
      <c r="BU305" s="260"/>
      <c r="BV305" s="260">
        <v>80</v>
      </c>
      <c r="BW305" s="260">
        <v>1280</v>
      </c>
      <c r="BX305" s="260"/>
      <c r="BY305" s="260"/>
      <c r="BZ305" s="260"/>
      <c r="CA305" s="260"/>
      <c r="CB305" s="260"/>
      <c r="CC305" s="260"/>
      <c r="CD305" s="260">
        <v>40</v>
      </c>
      <c r="CE305" s="260">
        <v>640</v>
      </c>
      <c r="CF305" s="272"/>
      <c r="CG305" s="260"/>
      <c r="CH305" s="260"/>
      <c r="CI305" s="260"/>
      <c r="CJ305" s="260"/>
      <c r="CK305" s="260"/>
      <c r="CL305" s="260"/>
      <c r="CM305" s="260"/>
      <c r="CN305" s="260">
        <v>20</v>
      </c>
      <c r="CO305" s="260">
        <v>320</v>
      </c>
      <c r="CP305" s="260">
        <v>20</v>
      </c>
      <c r="CQ305" s="260">
        <v>320</v>
      </c>
      <c r="CR305" s="260">
        <v>10</v>
      </c>
      <c r="CS305" s="270">
        <v>320</v>
      </c>
      <c r="CT305" s="319">
        <v>467</v>
      </c>
      <c r="CU305" s="249">
        <f>Table2821115[[#This Row],[D28 - BR/18]]/Table2821115[[#This Row],[D0 - BR/18]]</f>
        <v>16</v>
      </c>
      <c r="CV305" s="248">
        <f>Table2821115[[#This Row],[D28 - KS/17]]/Table2821115[[#This Row],[D0 - KS/17]]</f>
        <v>4</v>
      </c>
      <c r="CW305" s="248">
        <f>Table2821115[[#This Row],[D28 - Phu/13]]/Table2821115[[#This Row],[D0 - Phu/13]]</f>
        <v>16</v>
      </c>
      <c r="CX305" s="248">
        <f>Table2821115[[#This Row],[D28 - CO/17]]/Table2821115[[#This Row],[D0 - CO/17]]</f>
        <v>16</v>
      </c>
      <c r="CY305" s="248">
        <f>LOG(Table2821115[[#This Row],[BR/18 Fold]],2)</f>
        <v>4</v>
      </c>
      <c r="CZ305" s="248">
        <f>LOG(Table2821115[[#This Row],[KS/17 Fold]],2)</f>
        <v>2</v>
      </c>
      <c r="DA305" s="248">
        <f>LOG(Table2821115[[#This Row],[Phu/13 Fold]],2)</f>
        <v>4</v>
      </c>
      <c r="DB305" s="248">
        <f>LOG(Table2821115[[#This Row],[CO/17 Fold]],2)</f>
        <v>4</v>
      </c>
      <c r="DC305" s="248">
        <f>SUM(Table2821115[[#This Row],[BR/18 Log2]:[CO/17 Log2]])</f>
        <v>14</v>
      </c>
    </row>
    <row r="306" spans="1:107" ht="24" customHeight="1">
      <c r="A306" s="324">
        <v>468</v>
      </c>
      <c r="B306" s="190">
        <v>25775</v>
      </c>
      <c r="C306" s="190">
        <v>43806</v>
      </c>
      <c r="D306" s="189">
        <v>49</v>
      </c>
      <c r="E306" s="4" t="s">
        <v>58</v>
      </c>
      <c r="F306" s="143" t="s">
        <v>116</v>
      </c>
      <c r="G306" s="142">
        <v>25.608459357277884</v>
      </c>
      <c r="H306" s="11" t="s">
        <v>59</v>
      </c>
      <c r="I306" s="277" t="s">
        <v>60</v>
      </c>
      <c r="J306" s="260">
        <v>5</v>
      </c>
      <c r="K306" s="260">
        <v>5</v>
      </c>
      <c r="L306" s="260"/>
      <c r="M306" s="260"/>
      <c r="N306" s="260"/>
      <c r="O306" s="260"/>
      <c r="P306" s="260"/>
      <c r="Q306" s="260"/>
      <c r="R306" s="260"/>
      <c r="S306" s="260"/>
      <c r="T306" s="260"/>
      <c r="U306" s="260"/>
      <c r="V306" s="260">
        <v>5</v>
      </c>
      <c r="W306" s="260">
        <v>5</v>
      </c>
      <c r="X306" s="260">
        <v>80</v>
      </c>
      <c r="Y306" s="260">
        <v>80</v>
      </c>
      <c r="Z306" s="260">
        <v>5</v>
      </c>
      <c r="AA306" s="260">
        <v>40</v>
      </c>
      <c r="AB306" s="260">
        <v>20</v>
      </c>
      <c r="AC306" s="260">
        <v>40</v>
      </c>
      <c r="AD306" s="260"/>
      <c r="AE306" s="260"/>
      <c r="AF306" s="260"/>
      <c r="AG306" s="260"/>
      <c r="AH306" s="198">
        <v>468</v>
      </c>
      <c r="AI306" s="272">
        <v>20</v>
      </c>
      <c r="AJ306" s="271">
        <v>20</v>
      </c>
      <c r="AK306" s="260"/>
      <c r="AL306" s="260"/>
      <c r="AM306" s="260"/>
      <c r="AN306" s="260"/>
      <c r="AO306" s="260"/>
      <c r="AP306" s="260"/>
      <c r="AQ306" s="260"/>
      <c r="AR306" s="260"/>
      <c r="AS306" s="260"/>
      <c r="AT306" s="260"/>
      <c r="AU306" s="260">
        <v>20</v>
      </c>
      <c r="AV306" s="271">
        <v>40</v>
      </c>
      <c r="AW306" s="260">
        <v>10</v>
      </c>
      <c r="AX306" s="271">
        <v>40</v>
      </c>
      <c r="AY306" s="260">
        <v>10</v>
      </c>
      <c r="AZ306" s="271">
        <v>40</v>
      </c>
      <c r="BA306" s="276">
        <v>20</v>
      </c>
      <c r="BB306" s="276">
        <v>40</v>
      </c>
      <c r="BC306" s="276"/>
      <c r="BD306" s="276"/>
      <c r="BE306" s="276">
        <v>5</v>
      </c>
      <c r="BF306" s="276">
        <v>10</v>
      </c>
      <c r="BG306" s="260">
        <v>40</v>
      </c>
      <c r="BH306" s="271">
        <v>80</v>
      </c>
      <c r="BI306" s="276"/>
      <c r="BJ306" s="276"/>
      <c r="BK306" s="276"/>
      <c r="BL306" s="275"/>
      <c r="BM306" s="323">
        <v>468</v>
      </c>
      <c r="BN306" s="272">
        <v>40</v>
      </c>
      <c r="BO306" s="270">
        <v>40</v>
      </c>
      <c r="BP306" s="272"/>
      <c r="BQ306" s="260"/>
      <c r="BR306" s="260"/>
      <c r="BS306" s="260"/>
      <c r="BT306" s="260"/>
      <c r="BU306" s="260"/>
      <c r="BV306" s="260">
        <v>5</v>
      </c>
      <c r="BW306" s="260">
        <v>5</v>
      </c>
      <c r="BX306" s="260"/>
      <c r="BY306" s="260"/>
      <c r="BZ306" s="260"/>
      <c r="CA306" s="260"/>
      <c r="CB306" s="260"/>
      <c r="CC306" s="260"/>
      <c r="CD306" s="260">
        <v>20</v>
      </c>
      <c r="CE306" s="260">
        <v>40</v>
      </c>
      <c r="CF306" s="272"/>
      <c r="CG306" s="260"/>
      <c r="CH306" s="260"/>
      <c r="CI306" s="260"/>
      <c r="CJ306" s="260"/>
      <c r="CK306" s="260"/>
      <c r="CL306" s="260"/>
      <c r="CM306" s="260"/>
      <c r="CN306" s="260">
        <v>80</v>
      </c>
      <c r="CO306" s="260">
        <v>80</v>
      </c>
      <c r="CP306" s="260">
        <v>160</v>
      </c>
      <c r="CQ306" s="260">
        <v>160</v>
      </c>
      <c r="CR306" s="260">
        <v>80</v>
      </c>
      <c r="CS306" s="270">
        <v>160</v>
      </c>
      <c r="CT306" s="322">
        <v>468</v>
      </c>
      <c r="CU306" s="249">
        <f>Table2821115[[#This Row],[D28 - BR/18]]/Table2821115[[#This Row],[D0 - BR/18]]</f>
        <v>2</v>
      </c>
      <c r="CV306" s="248">
        <f>Table2821115[[#This Row],[D28 - KS/17]]/Table2821115[[#This Row],[D0 - KS/17]]</f>
        <v>2</v>
      </c>
      <c r="CW306" s="248">
        <f>Table2821115[[#This Row],[D28 - Phu/13]]/Table2821115[[#This Row],[D0 - Phu/13]]</f>
        <v>2</v>
      </c>
      <c r="CX306" s="248">
        <f>Table2821115[[#This Row],[D28 - CO/17]]/Table2821115[[#This Row],[D0 - CO/17]]</f>
        <v>1</v>
      </c>
      <c r="CY306" s="248">
        <f>LOG(Table2821115[[#This Row],[BR/18 Fold]],2)</f>
        <v>1</v>
      </c>
      <c r="CZ306" s="248">
        <f>LOG(Table2821115[[#This Row],[KS/17 Fold]],2)</f>
        <v>1</v>
      </c>
      <c r="DA306" s="248">
        <f>LOG(Table2821115[[#This Row],[Phu/13 Fold]],2)</f>
        <v>1</v>
      </c>
      <c r="DB306" s="248">
        <f>LOG(Table2821115[[#This Row],[CO/17 Fold]],2)</f>
        <v>0</v>
      </c>
      <c r="DC306" s="248">
        <f>SUM(Table2821115[[#This Row],[BR/18 Log2]:[CO/17 Log2]])</f>
        <v>3</v>
      </c>
    </row>
    <row r="307" spans="1:107" ht="24" customHeight="1">
      <c r="A307" s="324">
        <v>469</v>
      </c>
      <c r="B307" s="190">
        <v>27214</v>
      </c>
      <c r="C307" s="190">
        <v>43805</v>
      </c>
      <c r="D307" s="189">
        <v>45</v>
      </c>
      <c r="E307" s="4" t="s">
        <v>58</v>
      </c>
      <c r="F307" s="143" t="s">
        <v>118</v>
      </c>
      <c r="G307" s="142">
        <v>38.380235169771439</v>
      </c>
      <c r="H307" s="11" t="s">
        <v>59</v>
      </c>
      <c r="I307" s="277" t="s">
        <v>60</v>
      </c>
      <c r="J307" s="260">
        <v>5</v>
      </c>
      <c r="K307" s="260">
        <v>5</v>
      </c>
      <c r="L307" s="260"/>
      <c r="M307" s="260"/>
      <c r="N307" s="260"/>
      <c r="O307" s="260"/>
      <c r="P307" s="260"/>
      <c r="Q307" s="260"/>
      <c r="R307" s="260"/>
      <c r="S307" s="260"/>
      <c r="T307" s="260"/>
      <c r="U307" s="260"/>
      <c r="V307" s="260">
        <v>5</v>
      </c>
      <c r="W307" s="260">
        <v>5</v>
      </c>
      <c r="X307" s="260">
        <v>5</v>
      </c>
      <c r="Y307" s="260">
        <v>5</v>
      </c>
      <c r="Z307" s="260">
        <v>5</v>
      </c>
      <c r="AA307" s="260">
        <v>5</v>
      </c>
      <c r="AB307" s="260">
        <v>10</v>
      </c>
      <c r="AC307" s="260">
        <v>10</v>
      </c>
      <c r="AD307" s="260"/>
      <c r="AE307" s="260"/>
      <c r="AF307" s="260"/>
      <c r="AG307" s="260"/>
      <c r="AH307" s="198">
        <v>469</v>
      </c>
      <c r="AI307" s="272">
        <v>5</v>
      </c>
      <c r="AJ307" s="271">
        <v>5</v>
      </c>
      <c r="AK307" s="260"/>
      <c r="AL307" s="260"/>
      <c r="AM307" s="260"/>
      <c r="AN307" s="260"/>
      <c r="AO307" s="260"/>
      <c r="AP307" s="260"/>
      <c r="AQ307" s="260"/>
      <c r="AR307" s="260"/>
      <c r="AS307" s="260"/>
      <c r="AT307" s="260"/>
      <c r="AU307" s="260">
        <v>20</v>
      </c>
      <c r="AV307" s="271">
        <v>20</v>
      </c>
      <c r="AW307" s="260">
        <v>10</v>
      </c>
      <c r="AX307" s="271">
        <v>20</v>
      </c>
      <c r="AY307" s="260">
        <v>5</v>
      </c>
      <c r="AZ307" s="271">
        <v>5</v>
      </c>
      <c r="BA307" s="276">
        <v>10</v>
      </c>
      <c r="BB307" s="276">
        <v>20</v>
      </c>
      <c r="BC307" s="276"/>
      <c r="BD307" s="276"/>
      <c r="BE307" s="276">
        <v>10</v>
      </c>
      <c r="BF307" s="276">
        <v>10</v>
      </c>
      <c r="BG307" s="260">
        <v>20</v>
      </c>
      <c r="BH307" s="271">
        <v>20</v>
      </c>
      <c r="BI307" s="276"/>
      <c r="BJ307" s="276"/>
      <c r="BK307" s="276"/>
      <c r="BL307" s="275"/>
      <c r="BM307" s="323">
        <v>469</v>
      </c>
      <c r="BN307" s="272">
        <v>20</v>
      </c>
      <c r="BO307" s="270">
        <v>20</v>
      </c>
      <c r="BP307" s="272"/>
      <c r="BQ307" s="260"/>
      <c r="BR307" s="260"/>
      <c r="BS307" s="260"/>
      <c r="BT307" s="260"/>
      <c r="BU307" s="260"/>
      <c r="BV307" s="260">
        <v>5</v>
      </c>
      <c r="BW307" s="260">
        <v>5</v>
      </c>
      <c r="BX307" s="260"/>
      <c r="BY307" s="260"/>
      <c r="BZ307" s="260"/>
      <c r="CA307" s="260"/>
      <c r="CB307" s="260"/>
      <c r="CC307" s="260"/>
      <c r="CD307" s="260">
        <v>20</v>
      </c>
      <c r="CE307" s="260">
        <v>20</v>
      </c>
      <c r="CF307" s="272"/>
      <c r="CG307" s="260"/>
      <c r="CH307" s="260"/>
      <c r="CI307" s="260"/>
      <c r="CJ307" s="260"/>
      <c r="CK307" s="260"/>
      <c r="CL307" s="260"/>
      <c r="CM307" s="260"/>
      <c r="CN307" s="260">
        <v>40</v>
      </c>
      <c r="CO307" s="260">
        <v>20</v>
      </c>
      <c r="CP307" s="260">
        <v>80</v>
      </c>
      <c r="CQ307" s="260">
        <v>40</v>
      </c>
      <c r="CR307" s="260">
        <v>40</v>
      </c>
      <c r="CS307" s="270">
        <v>40</v>
      </c>
      <c r="CT307" s="322">
        <v>469</v>
      </c>
      <c r="CU307" s="249">
        <f>Table2821115[[#This Row],[D28 - BR/18]]/Table2821115[[#This Row],[D0 - BR/18]]</f>
        <v>1</v>
      </c>
      <c r="CV307" s="248">
        <f>Table2821115[[#This Row],[D28 - KS/17]]/Table2821115[[#This Row],[D0 - KS/17]]</f>
        <v>1</v>
      </c>
      <c r="CW307" s="248">
        <f>Table2821115[[#This Row],[D28 - Phu/13]]/Table2821115[[#This Row],[D0 - Phu/13]]</f>
        <v>1</v>
      </c>
      <c r="CX307" s="248">
        <f>Table2821115[[#This Row],[D28 - CO/17]]/Table2821115[[#This Row],[D0 - CO/17]]</f>
        <v>0.5</v>
      </c>
      <c r="CY307" s="248">
        <f>LOG(Table2821115[[#This Row],[BR/18 Fold]],2)</f>
        <v>0</v>
      </c>
      <c r="CZ307" s="248">
        <f>LOG(Table2821115[[#This Row],[KS/17 Fold]],2)</f>
        <v>0</v>
      </c>
      <c r="DA307" s="248">
        <f>LOG(Table2821115[[#This Row],[Phu/13 Fold]],2)</f>
        <v>0</v>
      </c>
      <c r="DB307" s="248">
        <f>LOG(Table2821115[[#This Row],[CO/17 Fold]],2)</f>
        <v>-1</v>
      </c>
      <c r="DC307" s="248">
        <f>SUM(Table2821115[[#This Row],[BR/18 Log2]:[CO/17 Log2]])</f>
        <v>-1</v>
      </c>
    </row>
    <row r="308" spans="1:107" ht="24" customHeight="1">
      <c r="A308" s="321">
        <v>470</v>
      </c>
      <c r="B308" s="183">
        <v>32576</v>
      </c>
      <c r="C308" s="183">
        <v>43837</v>
      </c>
      <c r="D308" s="182">
        <v>30</v>
      </c>
      <c r="E308" s="3" t="s">
        <v>61</v>
      </c>
      <c r="F308" s="143" t="s">
        <v>116</v>
      </c>
      <c r="G308" s="142">
        <v>18.320713899405085</v>
      </c>
      <c r="H308" s="11" t="s">
        <v>59</v>
      </c>
      <c r="I308" s="277" t="s">
        <v>60</v>
      </c>
      <c r="J308" s="260">
        <v>5</v>
      </c>
      <c r="K308" s="260">
        <v>5</v>
      </c>
      <c r="L308" s="260"/>
      <c r="M308" s="260"/>
      <c r="N308" s="260"/>
      <c r="O308" s="260"/>
      <c r="P308" s="260"/>
      <c r="Q308" s="260"/>
      <c r="R308" s="260"/>
      <c r="S308" s="260"/>
      <c r="T308" s="260"/>
      <c r="U308" s="260"/>
      <c r="V308" s="260">
        <v>5</v>
      </c>
      <c r="W308" s="260">
        <v>5</v>
      </c>
      <c r="X308" s="260">
        <v>5</v>
      </c>
      <c r="Y308" s="260">
        <v>5</v>
      </c>
      <c r="Z308" s="260">
        <v>20</v>
      </c>
      <c r="AA308" s="260">
        <v>40</v>
      </c>
      <c r="AB308" s="260">
        <v>10</v>
      </c>
      <c r="AC308" s="260">
        <v>20</v>
      </c>
      <c r="AD308" s="260"/>
      <c r="AE308" s="260"/>
      <c r="AF308" s="260"/>
      <c r="AG308" s="260"/>
      <c r="AH308" s="32">
        <v>470</v>
      </c>
      <c r="AI308" s="272">
        <v>160</v>
      </c>
      <c r="AJ308" s="271">
        <v>160</v>
      </c>
      <c r="AK308" s="260"/>
      <c r="AL308" s="260"/>
      <c r="AM308" s="260"/>
      <c r="AN308" s="260"/>
      <c r="AO308" s="260"/>
      <c r="AP308" s="260"/>
      <c r="AQ308" s="260"/>
      <c r="AR308" s="260"/>
      <c r="AS308" s="260"/>
      <c r="AT308" s="260"/>
      <c r="AU308" s="260">
        <v>10</v>
      </c>
      <c r="AV308" s="271">
        <v>80</v>
      </c>
      <c r="AW308" s="260">
        <v>10</v>
      </c>
      <c r="AX308" s="271">
        <v>160</v>
      </c>
      <c r="AY308" s="260">
        <v>5</v>
      </c>
      <c r="AZ308" s="271">
        <v>40</v>
      </c>
      <c r="BA308" s="276">
        <v>5</v>
      </c>
      <c r="BB308" s="276">
        <v>40</v>
      </c>
      <c r="BC308" s="276"/>
      <c r="BD308" s="276"/>
      <c r="BE308" s="276">
        <v>40</v>
      </c>
      <c r="BF308" s="276">
        <v>160</v>
      </c>
      <c r="BG308" s="260">
        <v>5</v>
      </c>
      <c r="BH308" s="271">
        <v>40</v>
      </c>
      <c r="BI308" s="276"/>
      <c r="BJ308" s="276"/>
      <c r="BK308" s="276"/>
      <c r="BL308" s="275"/>
      <c r="BM308" s="320">
        <v>470</v>
      </c>
      <c r="BN308" s="272">
        <v>5</v>
      </c>
      <c r="BO308" s="270">
        <v>20</v>
      </c>
      <c r="BP308" s="272"/>
      <c r="BQ308" s="260"/>
      <c r="BR308" s="260"/>
      <c r="BS308" s="260"/>
      <c r="BT308" s="260"/>
      <c r="BU308" s="260"/>
      <c r="BV308" s="260">
        <v>5</v>
      </c>
      <c r="BW308" s="260">
        <v>160</v>
      </c>
      <c r="BX308" s="260"/>
      <c r="BY308" s="260"/>
      <c r="BZ308" s="260"/>
      <c r="CA308" s="260"/>
      <c r="CB308" s="260"/>
      <c r="CC308" s="260"/>
      <c r="CD308" s="260">
        <v>20</v>
      </c>
      <c r="CE308" s="260">
        <v>160</v>
      </c>
      <c r="CF308" s="272"/>
      <c r="CG308" s="260"/>
      <c r="CH308" s="260"/>
      <c r="CI308" s="260"/>
      <c r="CJ308" s="260"/>
      <c r="CK308" s="260"/>
      <c r="CL308" s="260"/>
      <c r="CM308" s="260"/>
      <c r="CN308" s="260">
        <v>5</v>
      </c>
      <c r="CO308" s="260">
        <v>10</v>
      </c>
      <c r="CP308" s="260">
        <v>5</v>
      </c>
      <c r="CQ308" s="260">
        <v>20</v>
      </c>
      <c r="CR308" s="260">
        <v>5</v>
      </c>
      <c r="CS308" s="270">
        <v>20</v>
      </c>
      <c r="CT308" s="319">
        <v>470</v>
      </c>
      <c r="CU308" s="249">
        <f>Table2821115[[#This Row],[D28 - BR/18]]/Table2821115[[#This Row],[D0 - BR/18]]</f>
        <v>2</v>
      </c>
      <c r="CV308" s="248">
        <f>Table2821115[[#This Row],[D28 - KS/17]]/Table2821115[[#This Row],[D0 - KS/17]]</f>
        <v>4</v>
      </c>
      <c r="CW308" s="248">
        <f>Table2821115[[#This Row],[D28 - Phu/13]]/Table2821115[[#This Row],[D0 - Phu/13]]</f>
        <v>8</v>
      </c>
      <c r="CX308" s="248">
        <f>Table2821115[[#This Row],[D28 - CO/17]]/Table2821115[[#This Row],[D0 - CO/17]]</f>
        <v>4</v>
      </c>
      <c r="CY308" s="248">
        <f>LOG(Table2821115[[#This Row],[BR/18 Fold]],2)</f>
        <v>1</v>
      </c>
      <c r="CZ308" s="248">
        <f>LOG(Table2821115[[#This Row],[KS/17 Fold]],2)</f>
        <v>2</v>
      </c>
      <c r="DA308" s="248">
        <f>LOG(Table2821115[[#This Row],[Phu/13 Fold]],2)</f>
        <v>3</v>
      </c>
      <c r="DB308" s="248">
        <f>LOG(Table2821115[[#This Row],[CO/17 Fold]],2)</f>
        <v>2</v>
      </c>
      <c r="DC308" s="248">
        <f>SUM(Table2821115[[#This Row],[BR/18 Log2]:[CO/17 Log2]])</f>
        <v>8</v>
      </c>
    </row>
    <row r="309" spans="1:107" ht="24" customHeight="1">
      <c r="A309" s="321">
        <v>471</v>
      </c>
      <c r="B309" s="183">
        <v>33790</v>
      </c>
      <c r="C309" s="183">
        <v>43864</v>
      </c>
      <c r="D309" s="182">
        <v>27</v>
      </c>
      <c r="E309" s="3" t="s">
        <v>61</v>
      </c>
      <c r="F309" s="143" t="s">
        <v>116</v>
      </c>
      <c r="G309" s="142">
        <v>25.221301775147928</v>
      </c>
      <c r="H309" s="11" t="s">
        <v>59</v>
      </c>
      <c r="I309" s="277" t="s">
        <v>60</v>
      </c>
      <c r="J309" s="260">
        <v>5</v>
      </c>
      <c r="K309" s="260">
        <v>5</v>
      </c>
      <c r="L309" s="260"/>
      <c r="M309" s="260"/>
      <c r="N309" s="260"/>
      <c r="O309" s="260"/>
      <c r="P309" s="260"/>
      <c r="Q309" s="260"/>
      <c r="R309" s="260"/>
      <c r="S309" s="260"/>
      <c r="T309" s="260"/>
      <c r="U309" s="260"/>
      <c r="V309" s="260">
        <v>5</v>
      </c>
      <c r="W309" s="260">
        <v>10</v>
      </c>
      <c r="X309" s="260">
        <v>5</v>
      </c>
      <c r="Y309" s="260">
        <v>320</v>
      </c>
      <c r="Z309" s="260">
        <v>10</v>
      </c>
      <c r="AA309" s="260">
        <v>640</v>
      </c>
      <c r="AB309" s="260">
        <v>5</v>
      </c>
      <c r="AC309" s="260">
        <v>320</v>
      </c>
      <c r="AD309" s="260"/>
      <c r="AE309" s="260"/>
      <c r="AF309" s="260"/>
      <c r="AG309" s="260"/>
      <c r="AH309" s="32">
        <v>471</v>
      </c>
      <c r="AI309" s="272">
        <v>10</v>
      </c>
      <c r="AJ309" s="271">
        <v>20</v>
      </c>
      <c r="AK309" s="260"/>
      <c r="AL309" s="260"/>
      <c r="AM309" s="260"/>
      <c r="AN309" s="260"/>
      <c r="AO309" s="260"/>
      <c r="AP309" s="260"/>
      <c r="AQ309" s="260"/>
      <c r="AR309" s="260"/>
      <c r="AS309" s="260"/>
      <c r="AT309" s="260"/>
      <c r="AU309" s="260">
        <v>5</v>
      </c>
      <c r="AV309" s="271">
        <v>80</v>
      </c>
      <c r="AW309" s="260">
        <v>5</v>
      </c>
      <c r="AX309" s="271">
        <v>80</v>
      </c>
      <c r="AY309" s="260">
        <v>5</v>
      </c>
      <c r="AZ309" s="271">
        <v>40</v>
      </c>
      <c r="BA309" s="276">
        <v>5</v>
      </c>
      <c r="BB309" s="276">
        <v>80</v>
      </c>
      <c r="BC309" s="276"/>
      <c r="BD309" s="276"/>
      <c r="BE309" s="276">
        <v>5</v>
      </c>
      <c r="BF309" s="276">
        <v>80</v>
      </c>
      <c r="BG309" s="260">
        <v>40</v>
      </c>
      <c r="BH309" s="271">
        <v>80</v>
      </c>
      <c r="BI309" s="276"/>
      <c r="BJ309" s="276"/>
      <c r="BK309" s="276"/>
      <c r="BL309" s="275"/>
      <c r="BM309" s="320">
        <v>471</v>
      </c>
      <c r="BN309" s="272">
        <v>20</v>
      </c>
      <c r="BO309" s="270">
        <v>320</v>
      </c>
      <c r="BP309" s="272"/>
      <c r="BQ309" s="260"/>
      <c r="BR309" s="260"/>
      <c r="BS309" s="260"/>
      <c r="BT309" s="260"/>
      <c r="BU309" s="260"/>
      <c r="BV309" s="260">
        <v>5</v>
      </c>
      <c r="BW309" s="260">
        <v>640</v>
      </c>
      <c r="BX309" s="260"/>
      <c r="BY309" s="260"/>
      <c r="BZ309" s="260"/>
      <c r="CA309" s="260"/>
      <c r="CB309" s="260"/>
      <c r="CC309" s="260"/>
      <c r="CD309" s="260">
        <v>20</v>
      </c>
      <c r="CE309" s="260">
        <v>320</v>
      </c>
      <c r="CF309" s="272"/>
      <c r="CG309" s="260"/>
      <c r="CH309" s="260"/>
      <c r="CI309" s="260"/>
      <c r="CJ309" s="260"/>
      <c r="CK309" s="260"/>
      <c r="CL309" s="260"/>
      <c r="CM309" s="260"/>
      <c r="CN309" s="260">
        <v>5</v>
      </c>
      <c r="CO309" s="260">
        <v>160</v>
      </c>
      <c r="CP309" s="260">
        <v>10</v>
      </c>
      <c r="CQ309" s="260">
        <v>160</v>
      </c>
      <c r="CR309" s="260">
        <v>5</v>
      </c>
      <c r="CS309" s="270">
        <v>160</v>
      </c>
      <c r="CT309" s="319">
        <v>471</v>
      </c>
      <c r="CU309" s="249">
        <f>Table2821115[[#This Row],[D28 - BR/18]]/Table2821115[[#This Row],[D0 - BR/18]]</f>
        <v>64</v>
      </c>
      <c r="CV309" s="248">
        <f>Table2821115[[#This Row],[D28 - KS/17]]/Table2821115[[#This Row],[D0 - KS/17]]</f>
        <v>16</v>
      </c>
      <c r="CW309" s="248">
        <f>Table2821115[[#This Row],[D28 - Phu/13]]/Table2821115[[#This Row],[D0 - Phu/13]]</f>
        <v>16</v>
      </c>
      <c r="CX309" s="248">
        <f>Table2821115[[#This Row],[D28 - CO/17]]/Table2821115[[#This Row],[D0 - CO/17]]</f>
        <v>16</v>
      </c>
      <c r="CY309" s="248">
        <f>LOG(Table2821115[[#This Row],[BR/18 Fold]],2)</f>
        <v>6</v>
      </c>
      <c r="CZ309" s="248">
        <f>LOG(Table2821115[[#This Row],[KS/17 Fold]],2)</f>
        <v>4</v>
      </c>
      <c r="DA309" s="248">
        <f>LOG(Table2821115[[#This Row],[Phu/13 Fold]],2)</f>
        <v>4</v>
      </c>
      <c r="DB309" s="248">
        <f>LOG(Table2821115[[#This Row],[CO/17 Fold]],2)</f>
        <v>4</v>
      </c>
      <c r="DC309" s="248">
        <f>SUM(Table2821115[[#This Row],[BR/18 Log2]:[CO/17 Log2]])</f>
        <v>18</v>
      </c>
    </row>
    <row r="310" spans="1:107" ht="24" customHeight="1">
      <c r="A310" s="327">
        <v>472</v>
      </c>
      <c r="B310" s="205">
        <v>19269</v>
      </c>
      <c r="C310" s="205">
        <v>43843</v>
      </c>
      <c r="D310" s="204">
        <v>67</v>
      </c>
      <c r="E310" s="3" t="s">
        <v>61</v>
      </c>
      <c r="F310" s="143" t="s">
        <v>116</v>
      </c>
      <c r="G310" s="142">
        <v>25.987896048415806</v>
      </c>
      <c r="H310" s="11" t="s">
        <v>59</v>
      </c>
      <c r="I310" s="277" t="s">
        <v>62</v>
      </c>
      <c r="J310" s="260">
        <v>5</v>
      </c>
      <c r="K310" s="260">
        <v>5</v>
      </c>
      <c r="L310" s="260"/>
      <c r="M310" s="260"/>
      <c r="N310" s="260"/>
      <c r="O310" s="260"/>
      <c r="P310" s="260"/>
      <c r="Q310" s="260"/>
      <c r="R310" s="260"/>
      <c r="S310" s="260"/>
      <c r="T310" s="260"/>
      <c r="U310" s="260"/>
      <c r="V310" s="260">
        <v>5</v>
      </c>
      <c r="W310" s="260">
        <v>10</v>
      </c>
      <c r="X310" s="260">
        <v>5</v>
      </c>
      <c r="Y310" s="260">
        <v>5</v>
      </c>
      <c r="Z310" s="260">
        <v>5</v>
      </c>
      <c r="AA310" s="260">
        <v>5</v>
      </c>
      <c r="AB310" s="260">
        <v>5</v>
      </c>
      <c r="AC310" s="260">
        <v>5</v>
      </c>
      <c r="AD310" s="260"/>
      <c r="AE310" s="260"/>
      <c r="AF310" s="260"/>
      <c r="AG310" s="260"/>
      <c r="AH310" s="203">
        <v>472</v>
      </c>
      <c r="AI310" s="272">
        <v>5</v>
      </c>
      <c r="AJ310" s="271">
        <v>5</v>
      </c>
      <c r="AK310" s="260"/>
      <c r="AL310" s="260"/>
      <c r="AM310" s="260"/>
      <c r="AN310" s="260"/>
      <c r="AO310" s="260"/>
      <c r="AP310" s="260"/>
      <c r="AQ310" s="260"/>
      <c r="AR310" s="260"/>
      <c r="AS310" s="260"/>
      <c r="AT310" s="260"/>
      <c r="AU310" s="260">
        <v>10</v>
      </c>
      <c r="AV310" s="271">
        <v>160</v>
      </c>
      <c r="AW310" s="260">
        <v>20</v>
      </c>
      <c r="AX310" s="271">
        <v>320</v>
      </c>
      <c r="AY310" s="260">
        <v>5</v>
      </c>
      <c r="AZ310" s="271">
        <v>640</v>
      </c>
      <c r="BA310" s="276">
        <v>10</v>
      </c>
      <c r="BB310" s="276">
        <v>640</v>
      </c>
      <c r="BC310" s="276"/>
      <c r="BD310" s="276"/>
      <c r="BE310" s="276">
        <v>5</v>
      </c>
      <c r="BF310" s="276">
        <v>640</v>
      </c>
      <c r="BG310" s="260">
        <v>40</v>
      </c>
      <c r="BH310" s="271">
        <v>640</v>
      </c>
      <c r="BI310" s="276"/>
      <c r="BJ310" s="276"/>
      <c r="BK310" s="276"/>
      <c r="BL310" s="275"/>
      <c r="BM310" s="326">
        <v>472</v>
      </c>
      <c r="BN310" s="272">
        <v>10</v>
      </c>
      <c r="BO310" s="270">
        <v>1280</v>
      </c>
      <c r="BP310" s="272"/>
      <c r="BQ310" s="260"/>
      <c r="BR310" s="260"/>
      <c r="BS310" s="260"/>
      <c r="BT310" s="260"/>
      <c r="BU310" s="260"/>
      <c r="BV310" s="260">
        <v>5</v>
      </c>
      <c r="BW310" s="260">
        <v>640</v>
      </c>
      <c r="BX310" s="260"/>
      <c r="BY310" s="260"/>
      <c r="BZ310" s="260"/>
      <c r="CA310" s="260"/>
      <c r="CB310" s="260"/>
      <c r="CC310" s="260"/>
      <c r="CD310" s="260">
        <v>10</v>
      </c>
      <c r="CE310" s="260">
        <v>160</v>
      </c>
      <c r="CF310" s="272"/>
      <c r="CG310" s="260"/>
      <c r="CH310" s="260"/>
      <c r="CI310" s="260"/>
      <c r="CJ310" s="260"/>
      <c r="CK310" s="260"/>
      <c r="CL310" s="260"/>
      <c r="CM310" s="260"/>
      <c r="CN310" s="260">
        <v>5</v>
      </c>
      <c r="CO310" s="260">
        <v>320</v>
      </c>
      <c r="CP310" s="260">
        <v>10</v>
      </c>
      <c r="CQ310" s="260">
        <v>320</v>
      </c>
      <c r="CR310" s="260">
        <v>5</v>
      </c>
      <c r="CS310" s="270">
        <v>640</v>
      </c>
      <c r="CT310" s="325">
        <v>472</v>
      </c>
      <c r="CU310" s="249">
        <f>Table2821115[[#This Row],[D28 - BR/18]]/Table2821115[[#This Row],[D0 - BR/18]]</f>
        <v>1</v>
      </c>
      <c r="CV310" s="248">
        <f>Table2821115[[#This Row],[D28 - KS/17]]/Table2821115[[#This Row],[D0 - KS/17]]</f>
        <v>128</v>
      </c>
      <c r="CW310" s="248">
        <f>Table2821115[[#This Row],[D28 - Phu/13]]/Table2821115[[#This Row],[D0 - Phu/13]]</f>
        <v>16</v>
      </c>
      <c r="CX310" s="248">
        <f>Table2821115[[#This Row],[D28 - CO/17]]/Table2821115[[#This Row],[D0 - CO/17]]</f>
        <v>32</v>
      </c>
      <c r="CY310" s="248">
        <f>LOG(Table2821115[[#This Row],[BR/18 Fold]],2)</f>
        <v>0</v>
      </c>
      <c r="CZ310" s="248">
        <f>LOG(Table2821115[[#This Row],[KS/17 Fold]],2)</f>
        <v>7</v>
      </c>
      <c r="DA310" s="248">
        <f>LOG(Table2821115[[#This Row],[Phu/13 Fold]],2)</f>
        <v>4</v>
      </c>
      <c r="DB310" s="248">
        <f>LOG(Table2821115[[#This Row],[CO/17 Fold]],2)</f>
        <v>5</v>
      </c>
      <c r="DC310" s="248">
        <f>SUM(Table2821115[[#This Row],[BR/18 Log2]:[CO/17 Log2]])</f>
        <v>16</v>
      </c>
    </row>
    <row r="311" spans="1:107" ht="24" customHeight="1">
      <c r="A311" s="321">
        <v>473</v>
      </c>
      <c r="B311" s="183">
        <v>33341</v>
      </c>
      <c r="C311" s="183">
        <v>43836</v>
      </c>
      <c r="D311" s="182">
        <v>28</v>
      </c>
      <c r="E311" s="3" t="s">
        <v>61</v>
      </c>
      <c r="F311" s="143" t="s">
        <v>116</v>
      </c>
      <c r="G311" s="142">
        <v>30.86390169559758</v>
      </c>
      <c r="H311" s="11" t="s">
        <v>59</v>
      </c>
      <c r="I311" s="277" t="s">
        <v>60</v>
      </c>
      <c r="J311" s="260">
        <v>5</v>
      </c>
      <c r="K311" s="260">
        <v>5</v>
      </c>
      <c r="L311" s="260"/>
      <c r="M311" s="260"/>
      <c r="N311" s="260"/>
      <c r="O311" s="260"/>
      <c r="P311" s="260"/>
      <c r="Q311" s="260"/>
      <c r="R311" s="260"/>
      <c r="S311" s="260"/>
      <c r="T311" s="260"/>
      <c r="U311" s="260"/>
      <c r="V311" s="260">
        <v>10</v>
      </c>
      <c r="W311" s="260">
        <v>40</v>
      </c>
      <c r="X311" s="260">
        <v>5</v>
      </c>
      <c r="Y311" s="260">
        <v>1280</v>
      </c>
      <c r="Z311" s="260">
        <v>10</v>
      </c>
      <c r="AA311" s="260">
        <v>640</v>
      </c>
      <c r="AB311" s="260">
        <v>5</v>
      </c>
      <c r="AC311" s="260">
        <v>640</v>
      </c>
      <c r="AD311" s="260"/>
      <c r="AE311" s="260"/>
      <c r="AF311" s="260"/>
      <c r="AG311" s="260"/>
      <c r="AH311" s="32">
        <v>473</v>
      </c>
      <c r="AI311" s="272">
        <v>80</v>
      </c>
      <c r="AJ311" s="271">
        <v>640</v>
      </c>
      <c r="AK311" s="260"/>
      <c r="AL311" s="260"/>
      <c r="AM311" s="260"/>
      <c r="AN311" s="260"/>
      <c r="AO311" s="260"/>
      <c r="AP311" s="260"/>
      <c r="AQ311" s="260"/>
      <c r="AR311" s="260"/>
      <c r="AS311" s="260"/>
      <c r="AT311" s="260"/>
      <c r="AU311" s="260">
        <v>40</v>
      </c>
      <c r="AV311" s="271">
        <v>40</v>
      </c>
      <c r="AW311" s="260">
        <v>20</v>
      </c>
      <c r="AX311" s="271">
        <v>80</v>
      </c>
      <c r="AY311" s="260">
        <v>10</v>
      </c>
      <c r="AZ311" s="271">
        <v>40</v>
      </c>
      <c r="BA311" s="276">
        <v>20</v>
      </c>
      <c r="BB311" s="276">
        <v>20</v>
      </c>
      <c r="BC311" s="276"/>
      <c r="BD311" s="276"/>
      <c r="BE311" s="276">
        <v>80</v>
      </c>
      <c r="BF311" s="276">
        <v>80</v>
      </c>
      <c r="BG311" s="260">
        <v>80</v>
      </c>
      <c r="BH311" s="271">
        <v>40</v>
      </c>
      <c r="BI311" s="276"/>
      <c r="BJ311" s="276"/>
      <c r="BK311" s="276"/>
      <c r="BL311" s="275"/>
      <c r="BM311" s="320">
        <v>473</v>
      </c>
      <c r="BN311" s="272">
        <v>20</v>
      </c>
      <c r="BO311" s="270">
        <v>40</v>
      </c>
      <c r="BP311" s="272"/>
      <c r="BQ311" s="260"/>
      <c r="BR311" s="260"/>
      <c r="BS311" s="260"/>
      <c r="BT311" s="260"/>
      <c r="BU311" s="260"/>
      <c r="BV311" s="260">
        <v>5</v>
      </c>
      <c r="BW311" s="260">
        <v>320</v>
      </c>
      <c r="BX311" s="260"/>
      <c r="BY311" s="260"/>
      <c r="BZ311" s="260"/>
      <c r="CA311" s="260"/>
      <c r="CB311" s="260"/>
      <c r="CC311" s="260"/>
      <c r="CD311" s="260">
        <v>40</v>
      </c>
      <c r="CE311" s="260">
        <v>160</v>
      </c>
      <c r="CF311" s="272"/>
      <c r="CG311" s="260"/>
      <c r="CH311" s="260"/>
      <c r="CI311" s="260"/>
      <c r="CJ311" s="260"/>
      <c r="CK311" s="260"/>
      <c r="CL311" s="260"/>
      <c r="CM311" s="260"/>
      <c r="CN311" s="260">
        <v>10</v>
      </c>
      <c r="CO311" s="260">
        <v>20</v>
      </c>
      <c r="CP311" s="260">
        <v>40</v>
      </c>
      <c r="CQ311" s="260">
        <v>40</v>
      </c>
      <c r="CR311" s="260">
        <v>10</v>
      </c>
      <c r="CS311" s="270">
        <v>40</v>
      </c>
      <c r="CT311" s="319">
        <v>473</v>
      </c>
      <c r="CU311" s="249">
        <f>Table2821115[[#This Row],[D28 - BR/18]]/Table2821115[[#This Row],[D0 - BR/18]]</f>
        <v>128</v>
      </c>
      <c r="CV311" s="248">
        <f>Table2821115[[#This Row],[D28 - KS/17]]/Table2821115[[#This Row],[D0 - KS/17]]</f>
        <v>1</v>
      </c>
      <c r="CW311" s="248">
        <f>Table2821115[[#This Row],[D28 - Phu/13]]/Table2821115[[#This Row],[D0 - Phu/13]]</f>
        <v>4</v>
      </c>
      <c r="CX311" s="248">
        <f>Table2821115[[#This Row],[D28 - CO/17]]/Table2821115[[#This Row],[D0 - CO/17]]</f>
        <v>1</v>
      </c>
      <c r="CY311" s="248">
        <f>LOG(Table2821115[[#This Row],[BR/18 Fold]],2)</f>
        <v>7</v>
      </c>
      <c r="CZ311" s="248">
        <f>LOG(Table2821115[[#This Row],[KS/17 Fold]],2)</f>
        <v>0</v>
      </c>
      <c r="DA311" s="248">
        <f>LOG(Table2821115[[#This Row],[Phu/13 Fold]],2)</f>
        <v>2</v>
      </c>
      <c r="DB311" s="248">
        <f>LOG(Table2821115[[#This Row],[CO/17 Fold]],2)</f>
        <v>0</v>
      </c>
      <c r="DC311" s="248">
        <f>SUM(Table2821115[[#This Row],[BR/18 Log2]:[CO/17 Log2]])</f>
        <v>9</v>
      </c>
    </row>
    <row r="312" spans="1:107" ht="24" customHeight="1">
      <c r="A312" s="321">
        <v>474</v>
      </c>
      <c r="B312" s="183">
        <v>35957</v>
      </c>
      <c r="C312" s="183">
        <v>43837</v>
      </c>
      <c r="D312" s="182">
        <v>21</v>
      </c>
      <c r="E312" s="4" t="s">
        <v>58</v>
      </c>
      <c r="F312" s="143" t="s">
        <v>116</v>
      </c>
      <c r="G312" s="142">
        <v>26.21876231334792</v>
      </c>
      <c r="H312" s="11" t="s">
        <v>59</v>
      </c>
      <c r="I312" s="277" t="s">
        <v>60</v>
      </c>
      <c r="J312" s="260">
        <v>5</v>
      </c>
      <c r="K312" s="260">
        <v>5</v>
      </c>
      <c r="L312" s="260"/>
      <c r="M312" s="260"/>
      <c r="N312" s="260"/>
      <c r="O312" s="260"/>
      <c r="P312" s="260"/>
      <c r="Q312" s="260"/>
      <c r="R312" s="260"/>
      <c r="S312" s="260"/>
      <c r="T312" s="260"/>
      <c r="U312" s="260"/>
      <c r="V312" s="260">
        <v>20</v>
      </c>
      <c r="W312" s="260">
        <v>20</v>
      </c>
      <c r="X312" s="260">
        <v>160</v>
      </c>
      <c r="Y312" s="260">
        <v>160</v>
      </c>
      <c r="Z312" s="260">
        <v>160</v>
      </c>
      <c r="AA312" s="260">
        <v>160</v>
      </c>
      <c r="AB312" s="260">
        <v>80</v>
      </c>
      <c r="AC312" s="260">
        <v>80</v>
      </c>
      <c r="AD312" s="260"/>
      <c r="AE312" s="260"/>
      <c r="AF312" s="260"/>
      <c r="AG312" s="260"/>
      <c r="AH312" s="32">
        <v>474</v>
      </c>
      <c r="AI312" s="272">
        <v>80</v>
      </c>
      <c r="AJ312" s="271">
        <v>80</v>
      </c>
      <c r="AK312" s="260"/>
      <c r="AL312" s="260"/>
      <c r="AM312" s="260"/>
      <c r="AN312" s="260"/>
      <c r="AO312" s="260"/>
      <c r="AP312" s="260"/>
      <c r="AQ312" s="260"/>
      <c r="AR312" s="260"/>
      <c r="AS312" s="260"/>
      <c r="AT312" s="260"/>
      <c r="AU312" s="260">
        <v>320</v>
      </c>
      <c r="AV312" s="271">
        <v>640</v>
      </c>
      <c r="AW312" s="260">
        <v>160</v>
      </c>
      <c r="AX312" s="271">
        <v>320</v>
      </c>
      <c r="AY312" s="260">
        <v>320</v>
      </c>
      <c r="AZ312" s="271">
        <v>320</v>
      </c>
      <c r="BA312" s="276">
        <v>320</v>
      </c>
      <c r="BB312" s="276">
        <v>640</v>
      </c>
      <c r="BC312" s="276"/>
      <c r="BD312" s="276"/>
      <c r="BE312" s="276">
        <v>80</v>
      </c>
      <c r="BF312" s="276">
        <v>320</v>
      </c>
      <c r="BG312" s="260">
        <v>640</v>
      </c>
      <c r="BH312" s="271">
        <v>640</v>
      </c>
      <c r="BI312" s="276"/>
      <c r="BJ312" s="276"/>
      <c r="BK312" s="276"/>
      <c r="BL312" s="275"/>
      <c r="BM312" s="320">
        <v>474</v>
      </c>
      <c r="BN312" s="272">
        <v>40</v>
      </c>
      <c r="BO312" s="270">
        <v>80</v>
      </c>
      <c r="BP312" s="272"/>
      <c r="BQ312" s="260"/>
      <c r="BR312" s="260"/>
      <c r="BS312" s="260"/>
      <c r="BT312" s="260"/>
      <c r="BU312" s="260"/>
      <c r="BV312" s="260">
        <v>80</v>
      </c>
      <c r="BW312" s="260">
        <v>80</v>
      </c>
      <c r="BX312" s="260"/>
      <c r="BY312" s="260"/>
      <c r="BZ312" s="260"/>
      <c r="CA312" s="260"/>
      <c r="CB312" s="260"/>
      <c r="CC312" s="260"/>
      <c r="CD312" s="260">
        <v>80</v>
      </c>
      <c r="CE312" s="260">
        <v>160</v>
      </c>
      <c r="CF312" s="272"/>
      <c r="CG312" s="260"/>
      <c r="CH312" s="260"/>
      <c r="CI312" s="260"/>
      <c r="CJ312" s="260"/>
      <c r="CK312" s="260"/>
      <c r="CL312" s="260"/>
      <c r="CM312" s="260"/>
      <c r="CN312" s="260">
        <v>5</v>
      </c>
      <c r="CO312" s="260">
        <v>20</v>
      </c>
      <c r="CP312" s="260">
        <v>10</v>
      </c>
      <c r="CQ312" s="260">
        <v>20</v>
      </c>
      <c r="CR312" s="260">
        <v>5</v>
      </c>
      <c r="CS312" s="270">
        <v>20</v>
      </c>
      <c r="CT312" s="319">
        <v>474</v>
      </c>
      <c r="CU312" s="249">
        <f>Table2821115[[#This Row],[D28 - BR/18]]/Table2821115[[#This Row],[D0 - BR/18]]</f>
        <v>1</v>
      </c>
      <c r="CV312" s="248">
        <f>Table2821115[[#This Row],[D28 - KS/17]]/Table2821115[[#This Row],[D0 - KS/17]]</f>
        <v>4</v>
      </c>
      <c r="CW312" s="248">
        <f>Table2821115[[#This Row],[D28 - Phu/13]]/Table2821115[[#This Row],[D0 - Phu/13]]</f>
        <v>2</v>
      </c>
      <c r="CX312" s="248">
        <f>Table2821115[[#This Row],[D28 - CO/17]]/Table2821115[[#This Row],[D0 - CO/17]]</f>
        <v>2</v>
      </c>
      <c r="CY312" s="248">
        <f>LOG(Table2821115[[#This Row],[BR/18 Fold]],2)</f>
        <v>0</v>
      </c>
      <c r="CZ312" s="248">
        <f>LOG(Table2821115[[#This Row],[KS/17 Fold]],2)</f>
        <v>2</v>
      </c>
      <c r="DA312" s="248">
        <f>LOG(Table2821115[[#This Row],[Phu/13 Fold]],2)</f>
        <v>1</v>
      </c>
      <c r="DB312" s="248">
        <f>LOG(Table2821115[[#This Row],[CO/17 Fold]],2)</f>
        <v>1</v>
      </c>
      <c r="DC312" s="248">
        <f>SUM(Table2821115[[#This Row],[BR/18 Log2]:[CO/17 Log2]])</f>
        <v>4</v>
      </c>
    </row>
    <row r="313" spans="1:107" ht="24" customHeight="1">
      <c r="A313" s="321">
        <v>475</v>
      </c>
      <c r="B313" s="183">
        <v>33674</v>
      </c>
      <c r="C313" s="183">
        <v>43836</v>
      </c>
      <c r="D313" s="182">
        <v>27</v>
      </c>
      <c r="E313" s="3" t="s">
        <v>61</v>
      </c>
      <c r="F313" s="143" t="s">
        <v>116</v>
      </c>
      <c r="G313" s="142">
        <v>36.777546900622184</v>
      </c>
      <c r="H313" s="11" t="s">
        <v>59</v>
      </c>
      <c r="I313" s="277" t="s">
        <v>60</v>
      </c>
      <c r="J313" s="260">
        <v>5</v>
      </c>
      <c r="K313" s="260">
        <v>5</v>
      </c>
      <c r="L313" s="260"/>
      <c r="M313" s="260"/>
      <c r="N313" s="260"/>
      <c r="O313" s="260"/>
      <c r="P313" s="260"/>
      <c r="Q313" s="260"/>
      <c r="R313" s="260"/>
      <c r="S313" s="260"/>
      <c r="T313" s="260"/>
      <c r="U313" s="260"/>
      <c r="V313" s="260">
        <v>5</v>
      </c>
      <c r="W313" s="260">
        <v>20</v>
      </c>
      <c r="X313" s="260">
        <v>10</v>
      </c>
      <c r="Y313" s="260">
        <v>40</v>
      </c>
      <c r="Z313" s="260">
        <v>40</v>
      </c>
      <c r="AA313" s="260">
        <v>80</v>
      </c>
      <c r="AB313" s="260">
        <v>20</v>
      </c>
      <c r="AC313" s="260">
        <v>40</v>
      </c>
      <c r="AD313" s="260"/>
      <c r="AE313" s="260"/>
      <c r="AF313" s="260"/>
      <c r="AG313" s="260"/>
      <c r="AH313" s="32">
        <v>475</v>
      </c>
      <c r="AI313" s="272">
        <v>40</v>
      </c>
      <c r="AJ313" s="271">
        <v>40</v>
      </c>
      <c r="AK313" s="260"/>
      <c r="AL313" s="260"/>
      <c r="AM313" s="260"/>
      <c r="AN313" s="260"/>
      <c r="AO313" s="260"/>
      <c r="AP313" s="260"/>
      <c r="AQ313" s="260"/>
      <c r="AR313" s="260"/>
      <c r="AS313" s="260"/>
      <c r="AT313" s="260"/>
      <c r="AU313" s="260">
        <v>5</v>
      </c>
      <c r="AV313" s="271">
        <v>80</v>
      </c>
      <c r="AW313" s="260">
        <v>5</v>
      </c>
      <c r="AX313" s="271">
        <v>80</v>
      </c>
      <c r="AY313" s="260">
        <v>5</v>
      </c>
      <c r="AZ313" s="271">
        <v>20</v>
      </c>
      <c r="BA313" s="276">
        <v>5</v>
      </c>
      <c r="BB313" s="276">
        <v>20</v>
      </c>
      <c r="BC313" s="276"/>
      <c r="BD313" s="276"/>
      <c r="BE313" s="276">
        <v>5</v>
      </c>
      <c r="BF313" s="276">
        <v>80</v>
      </c>
      <c r="BG313" s="260">
        <v>20</v>
      </c>
      <c r="BH313" s="271">
        <v>80</v>
      </c>
      <c r="BI313" s="276"/>
      <c r="BJ313" s="276"/>
      <c r="BK313" s="276"/>
      <c r="BL313" s="275"/>
      <c r="BM313" s="320">
        <v>475</v>
      </c>
      <c r="BN313" s="272">
        <v>160</v>
      </c>
      <c r="BO313" s="270">
        <v>640</v>
      </c>
      <c r="BP313" s="272"/>
      <c r="BQ313" s="260"/>
      <c r="BR313" s="260"/>
      <c r="BS313" s="260"/>
      <c r="BT313" s="260"/>
      <c r="BU313" s="260"/>
      <c r="BV313" s="260">
        <v>5</v>
      </c>
      <c r="BW313" s="260">
        <v>320</v>
      </c>
      <c r="BX313" s="260"/>
      <c r="BY313" s="260"/>
      <c r="BZ313" s="260"/>
      <c r="CA313" s="260"/>
      <c r="CB313" s="260"/>
      <c r="CC313" s="260"/>
      <c r="CD313" s="260">
        <v>80</v>
      </c>
      <c r="CE313" s="260">
        <v>160</v>
      </c>
      <c r="CF313" s="272"/>
      <c r="CG313" s="260"/>
      <c r="CH313" s="260"/>
      <c r="CI313" s="260"/>
      <c r="CJ313" s="260"/>
      <c r="CK313" s="260"/>
      <c r="CL313" s="260"/>
      <c r="CM313" s="260"/>
      <c r="CN313" s="260">
        <v>10</v>
      </c>
      <c r="CO313" s="260">
        <v>80</v>
      </c>
      <c r="CP313" s="260">
        <v>20</v>
      </c>
      <c r="CQ313" s="260">
        <v>40</v>
      </c>
      <c r="CR313" s="260">
        <v>5</v>
      </c>
      <c r="CS313" s="270">
        <v>20</v>
      </c>
      <c r="CT313" s="319">
        <v>475</v>
      </c>
      <c r="CU313" s="249">
        <f>Table2821115[[#This Row],[D28 - BR/18]]/Table2821115[[#This Row],[D0 - BR/18]]</f>
        <v>2</v>
      </c>
      <c r="CV313" s="248">
        <f>Table2821115[[#This Row],[D28 - KS/17]]/Table2821115[[#This Row],[D0 - KS/17]]</f>
        <v>16</v>
      </c>
      <c r="CW313" s="248">
        <f>Table2821115[[#This Row],[D28 - Phu/13]]/Table2821115[[#This Row],[D0 - Phu/13]]</f>
        <v>2</v>
      </c>
      <c r="CX313" s="248">
        <f>Table2821115[[#This Row],[D28 - CO/17]]/Table2821115[[#This Row],[D0 - CO/17]]</f>
        <v>2</v>
      </c>
      <c r="CY313" s="248">
        <f>LOG(Table2821115[[#This Row],[BR/18 Fold]],2)</f>
        <v>1</v>
      </c>
      <c r="CZ313" s="248">
        <f>LOG(Table2821115[[#This Row],[KS/17 Fold]],2)</f>
        <v>4</v>
      </c>
      <c r="DA313" s="248">
        <f>LOG(Table2821115[[#This Row],[Phu/13 Fold]],2)</f>
        <v>1</v>
      </c>
      <c r="DB313" s="248">
        <f>LOG(Table2821115[[#This Row],[CO/17 Fold]],2)</f>
        <v>1</v>
      </c>
      <c r="DC313" s="248">
        <f>SUM(Table2821115[[#This Row],[BR/18 Log2]:[CO/17 Log2]])</f>
        <v>7</v>
      </c>
    </row>
    <row r="314" spans="1:107" ht="24" customHeight="1">
      <c r="A314" s="327">
        <v>476</v>
      </c>
      <c r="B314" s="205">
        <v>19130</v>
      </c>
      <c r="C314" s="205">
        <v>43838</v>
      </c>
      <c r="D314" s="204">
        <v>67</v>
      </c>
      <c r="E314" s="4" t="s">
        <v>58</v>
      </c>
      <c r="F314" s="143" t="s">
        <v>128</v>
      </c>
      <c r="G314" s="142">
        <v>19.708206120059348</v>
      </c>
      <c r="H314" s="11" t="s">
        <v>59</v>
      </c>
      <c r="I314" s="277" t="s">
        <v>62</v>
      </c>
      <c r="J314" s="260">
        <v>5</v>
      </c>
      <c r="K314" s="260">
        <v>5</v>
      </c>
      <c r="L314" s="260"/>
      <c r="M314" s="260"/>
      <c r="N314" s="260"/>
      <c r="O314" s="260"/>
      <c r="P314" s="260"/>
      <c r="Q314" s="260"/>
      <c r="R314" s="260"/>
      <c r="S314" s="260"/>
      <c r="T314" s="260"/>
      <c r="U314" s="260"/>
      <c r="V314" s="260">
        <v>5</v>
      </c>
      <c r="W314" s="260">
        <v>5</v>
      </c>
      <c r="X314" s="260">
        <v>5</v>
      </c>
      <c r="Y314" s="260">
        <v>5</v>
      </c>
      <c r="Z314" s="260">
        <v>5</v>
      </c>
      <c r="AA314" s="260">
        <v>5</v>
      </c>
      <c r="AB314" s="260">
        <v>5</v>
      </c>
      <c r="AC314" s="260">
        <v>20</v>
      </c>
      <c r="AD314" s="260"/>
      <c r="AE314" s="260"/>
      <c r="AF314" s="260"/>
      <c r="AG314" s="260"/>
      <c r="AH314" s="203">
        <v>476</v>
      </c>
      <c r="AI314" s="272">
        <v>5</v>
      </c>
      <c r="AJ314" s="271">
        <v>20</v>
      </c>
      <c r="AK314" s="260"/>
      <c r="AL314" s="260"/>
      <c r="AM314" s="260"/>
      <c r="AN314" s="260"/>
      <c r="AO314" s="260"/>
      <c r="AP314" s="260"/>
      <c r="AQ314" s="260"/>
      <c r="AR314" s="260"/>
      <c r="AS314" s="260"/>
      <c r="AT314" s="260"/>
      <c r="AU314" s="260">
        <v>5</v>
      </c>
      <c r="AV314" s="271">
        <v>20</v>
      </c>
      <c r="AW314" s="260">
        <v>5</v>
      </c>
      <c r="AX314" s="271">
        <v>80</v>
      </c>
      <c r="AY314" s="260">
        <v>5</v>
      </c>
      <c r="AZ314" s="271">
        <v>5</v>
      </c>
      <c r="BA314" s="276">
        <v>5</v>
      </c>
      <c r="BB314" s="276">
        <v>10</v>
      </c>
      <c r="BC314" s="276"/>
      <c r="BD314" s="276"/>
      <c r="BE314" s="276">
        <v>5</v>
      </c>
      <c r="BF314" s="276">
        <v>20</v>
      </c>
      <c r="BG314" s="260">
        <v>5</v>
      </c>
      <c r="BH314" s="271">
        <v>40</v>
      </c>
      <c r="BI314" s="276"/>
      <c r="BJ314" s="276"/>
      <c r="BK314" s="276"/>
      <c r="BL314" s="275"/>
      <c r="BM314" s="326">
        <v>476</v>
      </c>
      <c r="BN314" s="272">
        <v>40</v>
      </c>
      <c r="BO314" s="270">
        <v>160</v>
      </c>
      <c r="BP314" s="272"/>
      <c r="BQ314" s="260"/>
      <c r="BR314" s="260"/>
      <c r="BS314" s="260"/>
      <c r="BT314" s="260"/>
      <c r="BU314" s="260"/>
      <c r="BV314" s="260">
        <v>5</v>
      </c>
      <c r="BW314" s="260">
        <v>5</v>
      </c>
      <c r="BX314" s="260"/>
      <c r="BY314" s="260"/>
      <c r="BZ314" s="260"/>
      <c r="CA314" s="260"/>
      <c r="CB314" s="260"/>
      <c r="CC314" s="260"/>
      <c r="CD314" s="260">
        <v>80</v>
      </c>
      <c r="CE314" s="260">
        <v>160</v>
      </c>
      <c r="CF314" s="272"/>
      <c r="CG314" s="260"/>
      <c r="CH314" s="260"/>
      <c r="CI314" s="260"/>
      <c r="CJ314" s="260"/>
      <c r="CK314" s="260"/>
      <c r="CL314" s="260"/>
      <c r="CM314" s="260"/>
      <c r="CN314" s="260">
        <v>5</v>
      </c>
      <c r="CO314" s="260">
        <v>40</v>
      </c>
      <c r="CP314" s="260">
        <v>5</v>
      </c>
      <c r="CQ314" s="260">
        <v>40</v>
      </c>
      <c r="CR314" s="260">
        <v>5</v>
      </c>
      <c r="CS314" s="270">
        <v>40</v>
      </c>
      <c r="CT314" s="325">
        <v>476</v>
      </c>
      <c r="CU314" s="249">
        <f>Table2821115[[#This Row],[D28 - BR/18]]/Table2821115[[#This Row],[D0 - BR/18]]</f>
        <v>4</v>
      </c>
      <c r="CV314" s="248">
        <f>Table2821115[[#This Row],[D28 - KS/17]]/Table2821115[[#This Row],[D0 - KS/17]]</f>
        <v>4</v>
      </c>
      <c r="CW314" s="248">
        <f>Table2821115[[#This Row],[D28 - Phu/13]]/Table2821115[[#This Row],[D0 - Phu/13]]</f>
        <v>2</v>
      </c>
      <c r="CX314" s="248">
        <f>Table2821115[[#This Row],[D28 - CO/17]]/Table2821115[[#This Row],[D0 - CO/17]]</f>
        <v>8</v>
      </c>
      <c r="CY314" s="248">
        <f>LOG(Table2821115[[#This Row],[BR/18 Fold]],2)</f>
        <v>2</v>
      </c>
      <c r="CZ314" s="248">
        <f>LOG(Table2821115[[#This Row],[KS/17 Fold]],2)</f>
        <v>2</v>
      </c>
      <c r="DA314" s="248">
        <f>LOG(Table2821115[[#This Row],[Phu/13 Fold]],2)</f>
        <v>1</v>
      </c>
      <c r="DB314" s="248">
        <f>LOG(Table2821115[[#This Row],[CO/17 Fold]],2)</f>
        <v>3</v>
      </c>
      <c r="DC314" s="248">
        <f>SUM(Table2821115[[#This Row],[BR/18 Log2]:[CO/17 Log2]])</f>
        <v>8</v>
      </c>
    </row>
    <row r="315" spans="1:107" ht="24" customHeight="1">
      <c r="A315" s="321">
        <v>477</v>
      </c>
      <c r="B315" s="183">
        <v>32450</v>
      </c>
      <c r="C315" s="183">
        <v>43836</v>
      </c>
      <c r="D315" s="182">
        <v>31</v>
      </c>
      <c r="E315" s="4" t="s">
        <v>58</v>
      </c>
      <c r="F315" s="143" t="s">
        <v>117</v>
      </c>
      <c r="G315" s="142">
        <v>24.463667820069208</v>
      </c>
      <c r="H315" s="11" t="s">
        <v>59</v>
      </c>
      <c r="I315" s="277" t="s">
        <v>60</v>
      </c>
      <c r="J315" s="260">
        <v>5</v>
      </c>
      <c r="K315" s="260">
        <v>5</v>
      </c>
      <c r="L315" s="260"/>
      <c r="M315" s="260"/>
      <c r="N315" s="260"/>
      <c r="O315" s="260"/>
      <c r="P315" s="260"/>
      <c r="Q315" s="260"/>
      <c r="R315" s="260"/>
      <c r="S315" s="260"/>
      <c r="T315" s="260"/>
      <c r="U315" s="260"/>
      <c r="V315" s="260">
        <v>5</v>
      </c>
      <c r="W315" s="260">
        <v>5</v>
      </c>
      <c r="X315" s="260">
        <v>5</v>
      </c>
      <c r="Y315" s="260">
        <v>160</v>
      </c>
      <c r="Z315" s="260">
        <v>5</v>
      </c>
      <c r="AA315" s="260">
        <v>320</v>
      </c>
      <c r="AB315" s="260">
        <v>20</v>
      </c>
      <c r="AC315" s="260">
        <v>160</v>
      </c>
      <c r="AD315" s="260"/>
      <c r="AE315" s="260"/>
      <c r="AF315" s="260"/>
      <c r="AG315" s="260"/>
      <c r="AH315" s="32">
        <v>477</v>
      </c>
      <c r="AI315" s="272">
        <v>20</v>
      </c>
      <c r="AJ315" s="271">
        <v>40</v>
      </c>
      <c r="AK315" s="260"/>
      <c r="AL315" s="260"/>
      <c r="AM315" s="260"/>
      <c r="AN315" s="260"/>
      <c r="AO315" s="260"/>
      <c r="AP315" s="260"/>
      <c r="AQ315" s="260"/>
      <c r="AR315" s="260"/>
      <c r="AS315" s="260"/>
      <c r="AT315" s="260"/>
      <c r="AU315" s="260">
        <v>10</v>
      </c>
      <c r="AV315" s="271">
        <v>40</v>
      </c>
      <c r="AW315" s="260">
        <v>5</v>
      </c>
      <c r="AX315" s="271">
        <v>40</v>
      </c>
      <c r="AY315" s="260">
        <v>5</v>
      </c>
      <c r="AZ315" s="271">
        <v>5</v>
      </c>
      <c r="BA315" s="276">
        <v>5</v>
      </c>
      <c r="BB315" s="276">
        <v>20</v>
      </c>
      <c r="BC315" s="276"/>
      <c r="BD315" s="276"/>
      <c r="BE315" s="276">
        <v>10</v>
      </c>
      <c r="BF315" s="276">
        <v>40</v>
      </c>
      <c r="BG315" s="260">
        <v>20</v>
      </c>
      <c r="BH315" s="271">
        <v>40</v>
      </c>
      <c r="BI315" s="276"/>
      <c r="BJ315" s="276"/>
      <c r="BK315" s="276"/>
      <c r="BL315" s="275"/>
      <c r="BM315" s="320">
        <v>477</v>
      </c>
      <c r="BN315" s="272">
        <v>20</v>
      </c>
      <c r="BO315" s="270">
        <v>320</v>
      </c>
      <c r="BP315" s="272"/>
      <c r="BQ315" s="260"/>
      <c r="BR315" s="260"/>
      <c r="BS315" s="260"/>
      <c r="BT315" s="260"/>
      <c r="BU315" s="260"/>
      <c r="BV315" s="260">
        <v>5</v>
      </c>
      <c r="BW315" s="260">
        <v>160</v>
      </c>
      <c r="BX315" s="260"/>
      <c r="BY315" s="260"/>
      <c r="BZ315" s="260"/>
      <c r="CA315" s="260"/>
      <c r="CB315" s="260"/>
      <c r="CC315" s="260"/>
      <c r="CD315" s="260">
        <v>10</v>
      </c>
      <c r="CE315" s="260">
        <v>160</v>
      </c>
      <c r="CF315" s="272"/>
      <c r="CG315" s="260"/>
      <c r="CH315" s="260"/>
      <c r="CI315" s="260"/>
      <c r="CJ315" s="260"/>
      <c r="CK315" s="260"/>
      <c r="CL315" s="260"/>
      <c r="CM315" s="260"/>
      <c r="CN315" s="260">
        <v>5</v>
      </c>
      <c r="CO315" s="260">
        <v>40</v>
      </c>
      <c r="CP315" s="260">
        <v>5</v>
      </c>
      <c r="CQ315" s="260">
        <v>40</v>
      </c>
      <c r="CR315" s="260">
        <v>5</v>
      </c>
      <c r="CS315" s="270">
        <v>20</v>
      </c>
      <c r="CT315" s="319">
        <v>477</v>
      </c>
      <c r="CU315" s="249">
        <f>Table2821115[[#This Row],[D28 - BR/18]]/Table2821115[[#This Row],[D0 - BR/18]]</f>
        <v>8</v>
      </c>
      <c r="CV315" s="248">
        <f>Table2821115[[#This Row],[D28 - KS/17]]/Table2821115[[#This Row],[D0 - KS/17]]</f>
        <v>4</v>
      </c>
      <c r="CW315" s="248">
        <f>Table2821115[[#This Row],[D28 - Phu/13]]/Table2821115[[#This Row],[D0 - Phu/13]]</f>
        <v>16</v>
      </c>
      <c r="CX315" s="248">
        <f>Table2821115[[#This Row],[D28 - CO/17]]/Table2821115[[#This Row],[D0 - CO/17]]</f>
        <v>8</v>
      </c>
      <c r="CY315" s="248">
        <f>LOG(Table2821115[[#This Row],[BR/18 Fold]],2)</f>
        <v>3</v>
      </c>
      <c r="CZ315" s="248">
        <f>LOG(Table2821115[[#This Row],[KS/17 Fold]],2)</f>
        <v>2</v>
      </c>
      <c r="DA315" s="248">
        <f>LOG(Table2821115[[#This Row],[Phu/13 Fold]],2)</f>
        <v>4</v>
      </c>
      <c r="DB315" s="248">
        <f>LOG(Table2821115[[#This Row],[CO/17 Fold]],2)</f>
        <v>3</v>
      </c>
      <c r="DC315" s="248">
        <f>SUM(Table2821115[[#This Row],[BR/18 Log2]:[CO/17 Log2]])</f>
        <v>12</v>
      </c>
    </row>
    <row r="316" spans="1:107" ht="24" customHeight="1">
      <c r="A316" s="318">
        <v>478</v>
      </c>
      <c r="B316" s="180">
        <v>22070</v>
      </c>
      <c r="C316" s="180">
        <v>43837</v>
      </c>
      <c r="D316" s="179">
        <v>59</v>
      </c>
      <c r="E316" s="4" t="s">
        <v>58</v>
      </c>
      <c r="F316" s="143" t="s">
        <v>116</v>
      </c>
      <c r="G316" s="142">
        <v>26.952380862103336</v>
      </c>
      <c r="H316" s="11" t="s">
        <v>59</v>
      </c>
      <c r="I316" s="277" t="s">
        <v>62</v>
      </c>
      <c r="J316" s="260">
        <v>5</v>
      </c>
      <c r="K316" s="260">
        <v>5</v>
      </c>
      <c r="L316" s="260"/>
      <c r="M316" s="260"/>
      <c r="N316" s="260"/>
      <c r="O316" s="260"/>
      <c r="P316" s="260"/>
      <c r="Q316" s="260"/>
      <c r="R316" s="260"/>
      <c r="S316" s="260"/>
      <c r="T316" s="260"/>
      <c r="U316" s="260"/>
      <c r="V316" s="260">
        <v>5</v>
      </c>
      <c r="W316" s="260">
        <v>5</v>
      </c>
      <c r="X316" s="260">
        <v>5</v>
      </c>
      <c r="Y316" s="260">
        <v>80</v>
      </c>
      <c r="Z316" s="260">
        <v>5</v>
      </c>
      <c r="AA316" s="260">
        <v>80</v>
      </c>
      <c r="AB316" s="260">
        <v>5</v>
      </c>
      <c r="AC316" s="260">
        <v>40</v>
      </c>
      <c r="AD316" s="260"/>
      <c r="AE316" s="260"/>
      <c r="AF316" s="260"/>
      <c r="AG316" s="260"/>
      <c r="AH316" s="195">
        <v>478</v>
      </c>
      <c r="AI316" s="272">
        <v>20</v>
      </c>
      <c r="AJ316" s="271">
        <v>20</v>
      </c>
      <c r="AK316" s="260"/>
      <c r="AL316" s="260"/>
      <c r="AM316" s="260"/>
      <c r="AN316" s="260"/>
      <c r="AO316" s="260"/>
      <c r="AP316" s="260"/>
      <c r="AQ316" s="260"/>
      <c r="AR316" s="260"/>
      <c r="AS316" s="260"/>
      <c r="AT316" s="260"/>
      <c r="AU316" s="260">
        <v>20</v>
      </c>
      <c r="AV316" s="271">
        <v>320</v>
      </c>
      <c r="AW316" s="260">
        <v>10</v>
      </c>
      <c r="AX316" s="271">
        <v>160</v>
      </c>
      <c r="AY316" s="260">
        <v>5</v>
      </c>
      <c r="AZ316" s="271">
        <v>160</v>
      </c>
      <c r="BA316" s="276">
        <v>10</v>
      </c>
      <c r="BB316" s="276">
        <v>160</v>
      </c>
      <c r="BC316" s="276"/>
      <c r="BD316" s="276"/>
      <c r="BE316" s="276">
        <v>5</v>
      </c>
      <c r="BF316" s="276">
        <v>320</v>
      </c>
      <c r="BG316" s="260">
        <v>80</v>
      </c>
      <c r="BH316" s="271">
        <v>320</v>
      </c>
      <c r="BI316" s="276"/>
      <c r="BJ316" s="276"/>
      <c r="BK316" s="276"/>
      <c r="BL316" s="275"/>
      <c r="BM316" s="316">
        <v>478</v>
      </c>
      <c r="BN316" s="272">
        <v>160</v>
      </c>
      <c r="BO316" s="270">
        <v>160</v>
      </c>
      <c r="BP316" s="272"/>
      <c r="BQ316" s="260"/>
      <c r="BR316" s="260"/>
      <c r="BS316" s="260"/>
      <c r="BT316" s="260"/>
      <c r="BU316" s="260"/>
      <c r="BV316" s="260">
        <v>5</v>
      </c>
      <c r="BW316" s="260">
        <v>5</v>
      </c>
      <c r="BX316" s="260"/>
      <c r="BY316" s="260"/>
      <c r="BZ316" s="260"/>
      <c r="CA316" s="260"/>
      <c r="CB316" s="260"/>
      <c r="CC316" s="260"/>
      <c r="CD316" s="260">
        <v>20</v>
      </c>
      <c r="CE316" s="260">
        <v>40</v>
      </c>
      <c r="CF316" s="272"/>
      <c r="CG316" s="260"/>
      <c r="CH316" s="260"/>
      <c r="CI316" s="260"/>
      <c r="CJ316" s="260"/>
      <c r="CK316" s="260"/>
      <c r="CL316" s="260"/>
      <c r="CM316" s="260"/>
      <c r="CN316" s="260">
        <v>40</v>
      </c>
      <c r="CO316" s="260">
        <v>80</v>
      </c>
      <c r="CP316" s="260">
        <v>80</v>
      </c>
      <c r="CQ316" s="260">
        <v>80</v>
      </c>
      <c r="CR316" s="260">
        <v>80</v>
      </c>
      <c r="CS316" s="270">
        <v>160</v>
      </c>
      <c r="CT316" s="315">
        <v>478</v>
      </c>
      <c r="CU316" s="249">
        <f>Table2821115[[#This Row],[D28 - BR/18]]/Table2821115[[#This Row],[D0 - BR/18]]</f>
        <v>8</v>
      </c>
      <c r="CV316" s="248">
        <f>Table2821115[[#This Row],[D28 - KS/17]]/Table2821115[[#This Row],[D0 - KS/17]]</f>
        <v>64</v>
      </c>
      <c r="CW316" s="248">
        <f>Table2821115[[#This Row],[D28 - Phu/13]]/Table2821115[[#This Row],[D0 - Phu/13]]</f>
        <v>2</v>
      </c>
      <c r="CX316" s="248">
        <f>Table2821115[[#This Row],[D28 - CO/17]]/Table2821115[[#This Row],[D0 - CO/17]]</f>
        <v>1</v>
      </c>
      <c r="CY316" s="248">
        <f>LOG(Table2821115[[#This Row],[BR/18 Fold]],2)</f>
        <v>3</v>
      </c>
      <c r="CZ316" s="248">
        <f>LOG(Table2821115[[#This Row],[KS/17 Fold]],2)</f>
        <v>6</v>
      </c>
      <c r="DA316" s="248">
        <f>LOG(Table2821115[[#This Row],[Phu/13 Fold]],2)</f>
        <v>1</v>
      </c>
      <c r="DB316" s="248">
        <f>LOG(Table2821115[[#This Row],[CO/17 Fold]],2)</f>
        <v>0</v>
      </c>
      <c r="DC316" s="248">
        <f>SUM(Table2821115[[#This Row],[BR/18 Log2]:[CO/17 Log2]])</f>
        <v>10</v>
      </c>
    </row>
    <row r="317" spans="1:107" ht="24" customHeight="1">
      <c r="A317" s="324">
        <v>479</v>
      </c>
      <c r="B317" s="190">
        <v>28902</v>
      </c>
      <c r="C317" s="190">
        <v>43834</v>
      </c>
      <c r="D317" s="189">
        <v>40</v>
      </c>
      <c r="E317" s="4" t="s">
        <v>58</v>
      </c>
      <c r="F317" s="143" t="s">
        <v>116</v>
      </c>
      <c r="G317" s="142">
        <v>29.726135075557785</v>
      </c>
      <c r="H317" s="11" t="s">
        <v>59</v>
      </c>
      <c r="I317" s="277" t="s">
        <v>60</v>
      </c>
      <c r="J317" s="260">
        <v>5</v>
      </c>
      <c r="K317" s="260">
        <v>5</v>
      </c>
      <c r="L317" s="260"/>
      <c r="M317" s="260"/>
      <c r="N317" s="260"/>
      <c r="O317" s="260"/>
      <c r="P317" s="260"/>
      <c r="Q317" s="260"/>
      <c r="R317" s="260"/>
      <c r="S317" s="260"/>
      <c r="T317" s="260"/>
      <c r="U317" s="260"/>
      <c r="V317" s="260">
        <v>5</v>
      </c>
      <c r="W317" s="260">
        <v>5</v>
      </c>
      <c r="X317" s="260">
        <v>160</v>
      </c>
      <c r="Y317" s="260">
        <v>160</v>
      </c>
      <c r="Z317" s="260">
        <v>160</v>
      </c>
      <c r="AA317" s="260">
        <v>160</v>
      </c>
      <c r="AB317" s="260">
        <v>80</v>
      </c>
      <c r="AC317" s="260">
        <v>80</v>
      </c>
      <c r="AD317" s="260"/>
      <c r="AE317" s="260"/>
      <c r="AF317" s="260"/>
      <c r="AG317" s="260"/>
      <c r="AH317" s="198">
        <v>479</v>
      </c>
      <c r="AI317" s="272">
        <v>5</v>
      </c>
      <c r="AJ317" s="271">
        <v>5</v>
      </c>
      <c r="AK317" s="260"/>
      <c r="AL317" s="260"/>
      <c r="AM317" s="260"/>
      <c r="AN317" s="260"/>
      <c r="AO317" s="260"/>
      <c r="AP317" s="260"/>
      <c r="AQ317" s="260"/>
      <c r="AR317" s="260"/>
      <c r="AS317" s="260"/>
      <c r="AT317" s="260"/>
      <c r="AU317" s="260">
        <v>160</v>
      </c>
      <c r="AV317" s="271">
        <v>160</v>
      </c>
      <c r="AW317" s="260">
        <v>80</v>
      </c>
      <c r="AX317" s="271">
        <v>80</v>
      </c>
      <c r="AY317" s="260">
        <v>80</v>
      </c>
      <c r="AZ317" s="271">
        <v>80</v>
      </c>
      <c r="BA317" s="276">
        <v>160</v>
      </c>
      <c r="BB317" s="276">
        <v>160</v>
      </c>
      <c r="BC317" s="276"/>
      <c r="BD317" s="276"/>
      <c r="BE317" s="276">
        <v>160</v>
      </c>
      <c r="BF317" s="276">
        <v>80</v>
      </c>
      <c r="BG317" s="260">
        <v>160</v>
      </c>
      <c r="BH317" s="271">
        <v>160</v>
      </c>
      <c r="BI317" s="276"/>
      <c r="BJ317" s="276"/>
      <c r="BK317" s="276"/>
      <c r="BL317" s="275"/>
      <c r="BM317" s="323">
        <v>479</v>
      </c>
      <c r="BN317" s="272">
        <v>20</v>
      </c>
      <c r="BO317" s="270">
        <v>40</v>
      </c>
      <c r="BP317" s="272"/>
      <c r="BQ317" s="260"/>
      <c r="BR317" s="260"/>
      <c r="BS317" s="260"/>
      <c r="BT317" s="260"/>
      <c r="BU317" s="260"/>
      <c r="BV317" s="260">
        <v>5</v>
      </c>
      <c r="BW317" s="260">
        <v>5</v>
      </c>
      <c r="BX317" s="260"/>
      <c r="BY317" s="260"/>
      <c r="BZ317" s="260"/>
      <c r="CA317" s="260"/>
      <c r="CB317" s="260"/>
      <c r="CC317" s="260"/>
      <c r="CD317" s="260">
        <v>5</v>
      </c>
      <c r="CE317" s="260">
        <v>40</v>
      </c>
      <c r="CF317" s="272"/>
      <c r="CG317" s="260"/>
      <c r="CH317" s="260"/>
      <c r="CI317" s="260"/>
      <c r="CJ317" s="260"/>
      <c r="CK317" s="260"/>
      <c r="CL317" s="260"/>
      <c r="CM317" s="260"/>
      <c r="CN317" s="260">
        <v>20</v>
      </c>
      <c r="CO317" s="260">
        <v>40</v>
      </c>
      <c r="CP317" s="260">
        <v>80</v>
      </c>
      <c r="CQ317" s="260">
        <v>80</v>
      </c>
      <c r="CR317" s="260">
        <v>40</v>
      </c>
      <c r="CS317" s="270">
        <v>80</v>
      </c>
      <c r="CT317" s="322">
        <v>479</v>
      </c>
      <c r="CU317" s="249">
        <f>Table2821115[[#This Row],[D28 - BR/18]]/Table2821115[[#This Row],[D0 - BR/18]]</f>
        <v>1</v>
      </c>
      <c r="CV317" s="248">
        <f>Table2821115[[#This Row],[D28 - KS/17]]/Table2821115[[#This Row],[D0 - KS/17]]</f>
        <v>0.5</v>
      </c>
      <c r="CW317" s="248">
        <f>Table2821115[[#This Row],[D28 - Phu/13]]/Table2821115[[#This Row],[D0 - Phu/13]]</f>
        <v>8</v>
      </c>
      <c r="CX317" s="248">
        <f>Table2821115[[#This Row],[D28 - CO/17]]/Table2821115[[#This Row],[D0 - CO/17]]</f>
        <v>1</v>
      </c>
      <c r="CY317" s="248">
        <f>LOG(Table2821115[[#This Row],[BR/18 Fold]],2)</f>
        <v>0</v>
      </c>
      <c r="CZ317" s="248">
        <f>LOG(Table2821115[[#This Row],[KS/17 Fold]],2)</f>
        <v>-1</v>
      </c>
      <c r="DA317" s="248">
        <f>LOG(Table2821115[[#This Row],[Phu/13 Fold]],2)</f>
        <v>3</v>
      </c>
      <c r="DB317" s="248">
        <f>LOG(Table2821115[[#This Row],[CO/17 Fold]],2)</f>
        <v>0</v>
      </c>
      <c r="DC317" s="248">
        <f>SUM(Table2821115[[#This Row],[BR/18 Log2]:[CO/17 Log2]])</f>
        <v>2</v>
      </c>
    </row>
    <row r="318" spans="1:107" ht="24" customHeight="1">
      <c r="A318" s="318">
        <v>480</v>
      </c>
      <c r="B318" s="180">
        <v>24874</v>
      </c>
      <c r="C318" s="180">
        <v>43837</v>
      </c>
      <c r="D318" s="179">
        <v>51</v>
      </c>
      <c r="E318" s="3" t="s">
        <v>61</v>
      </c>
      <c r="F318" s="143" t="s">
        <v>116</v>
      </c>
      <c r="G318" s="142">
        <v>24.769011330244449</v>
      </c>
      <c r="H318" s="11" t="s">
        <v>59</v>
      </c>
      <c r="I318" s="277" t="s">
        <v>62</v>
      </c>
      <c r="J318" s="260">
        <v>5</v>
      </c>
      <c r="K318" s="260">
        <v>5</v>
      </c>
      <c r="L318" s="260"/>
      <c r="M318" s="260"/>
      <c r="N318" s="260"/>
      <c r="O318" s="260"/>
      <c r="P318" s="260"/>
      <c r="Q318" s="260"/>
      <c r="R318" s="260"/>
      <c r="S318" s="260"/>
      <c r="T318" s="260"/>
      <c r="U318" s="260"/>
      <c r="V318" s="260">
        <v>5</v>
      </c>
      <c r="W318" s="260">
        <v>5</v>
      </c>
      <c r="X318" s="260">
        <v>5</v>
      </c>
      <c r="Y318" s="260">
        <v>10</v>
      </c>
      <c r="Z318" s="260">
        <v>5</v>
      </c>
      <c r="AA318" s="260">
        <v>20</v>
      </c>
      <c r="AB318" s="260">
        <v>5</v>
      </c>
      <c r="AC318" s="260">
        <v>40</v>
      </c>
      <c r="AD318" s="260"/>
      <c r="AE318" s="260"/>
      <c r="AF318" s="260"/>
      <c r="AG318" s="260"/>
      <c r="AH318" s="195">
        <v>480</v>
      </c>
      <c r="AI318" s="272">
        <v>5</v>
      </c>
      <c r="AJ318" s="271">
        <v>5</v>
      </c>
      <c r="AK318" s="260"/>
      <c r="AL318" s="260"/>
      <c r="AM318" s="260"/>
      <c r="AN318" s="260"/>
      <c r="AO318" s="260"/>
      <c r="AP318" s="260"/>
      <c r="AQ318" s="260"/>
      <c r="AR318" s="260"/>
      <c r="AS318" s="260"/>
      <c r="AT318" s="260"/>
      <c r="AU318" s="260">
        <v>5</v>
      </c>
      <c r="AV318" s="271">
        <v>5</v>
      </c>
      <c r="AW318" s="260">
        <v>5</v>
      </c>
      <c r="AX318" s="271">
        <v>5</v>
      </c>
      <c r="AY318" s="260">
        <v>5</v>
      </c>
      <c r="AZ318" s="271">
        <v>5</v>
      </c>
      <c r="BA318" s="276">
        <v>5</v>
      </c>
      <c r="BB318" s="276">
        <v>5</v>
      </c>
      <c r="BC318" s="276"/>
      <c r="BD318" s="276"/>
      <c r="BE318" s="276">
        <v>5</v>
      </c>
      <c r="BF318" s="276">
        <v>5</v>
      </c>
      <c r="BG318" s="260">
        <v>40</v>
      </c>
      <c r="BH318" s="271">
        <v>5</v>
      </c>
      <c r="BI318" s="276"/>
      <c r="BJ318" s="276"/>
      <c r="BK318" s="276"/>
      <c r="BL318" s="275"/>
      <c r="BM318" s="316">
        <v>480</v>
      </c>
      <c r="BN318" s="272">
        <v>10</v>
      </c>
      <c r="BO318" s="270">
        <v>640</v>
      </c>
      <c r="BP318" s="272"/>
      <c r="BQ318" s="260"/>
      <c r="BR318" s="260"/>
      <c r="BS318" s="260"/>
      <c r="BT318" s="260"/>
      <c r="BU318" s="260"/>
      <c r="BV318" s="260">
        <v>5</v>
      </c>
      <c r="BW318" s="260">
        <v>5</v>
      </c>
      <c r="BX318" s="260"/>
      <c r="BY318" s="260"/>
      <c r="BZ318" s="260"/>
      <c r="CA318" s="260"/>
      <c r="CB318" s="260"/>
      <c r="CC318" s="260"/>
      <c r="CD318" s="260">
        <v>5</v>
      </c>
      <c r="CE318" s="260">
        <v>40</v>
      </c>
      <c r="CF318" s="272"/>
      <c r="CG318" s="260"/>
      <c r="CH318" s="260"/>
      <c r="CI318" s="260"/>
      <c r="CJ318" s="260"/>
      <c r="CK318" s="260"/>
      <c r="CL318" s="260"/>
      <c r="CM318" s="260"/>
      <c r="CN318" s="260">
        <v>5</v>
      </c>
      <c r="CO318" s="260">
        <v>320</v>
      </c>
      <c r="CP318" s="260">
        <v>20</v>
      </c>
      <c r="CQ318" s="260">
        <v>320</v>
      </c>
      <c r="CR318" s="260">
        <v>5</v>
      </c>
      <c r="CS318" s="270">
        <v>320</v>
      </c>
      <c r="CT318" s="315">
        <v>480</v>
      </c>
      <c r="CU318" s="249">
        <f>Table2821115[[#This Row],[D28 - BR/18]]/Table2821115[[#This Row],[D0 - BR/18]]</f>
        <v>8</v>
      </c>
      <c r="CV318" s="248">
        <f>Table2821115[[#This Row],[D28 - KS/17]]/Table2821115[[#This Row],[D0 - KS/17]]</f>
        <v>1</v>
      </c>
      <c r="CW318" s="248">
        <f>Table2821115[[#This Row],[D28 - Phu/13]]/Table2821115[[#This Row],[D0 - Phu/13]]</f>
        <v>8</v>
      </c>
      <c r="CX318" s="248">
        <f>Table2821115[[#This Row],[D28 - CO/17]]/Table2821115[[#This Row],[D0 - CO/17]]</f>
        <v>16</v>
      </c>
      <c r="CY318" s="248">
        <f>LOG(Table2821115[[#This Row],[BR/18 Fold]],2)</f>
        <v>3</v>
      </c>
      <c r="CZ318" s="248">
        <f>LOG(Table2821115[[#This Row],[KS/17 Fold]],2)</f>
        <v>0</v>
      </c>
      <c r="DA318" s="248">
        <f>LOG(Table2821115[[#This Row],[Phu/13 Fold]],2)</f>
        <v>3</v>
      </c>
      <c r="DB318" s="248">
        <f>LOG(Table2821115[[#This Row],[CO/17 Fold]],2)</f>
        <v>4</v>
      </c>
      <c r="DC318" s="248">
        <f>SUM(Table2821115[[#This Row],[BR/18 Log2]:[CO/17 Log2]])</f>
        <v>10</v>
      </c>
    </row>
    <row r="319" spans="1:107" ht="24" customHeight="1">
      <c r="A319" s="327">
        <v>481</v>
      </c>
      <c r="B319" s="205">
        <v>19120</v>
      </c>
      <c r="C319" s="205">
        <v>43838</v>
      </c>
      <c r="D319" s="204">
        <v>67</v>
      </c>
      <c r="E319" s="3" t="s">
        <v>61</v>
      </c>
      <c r="F319" s="143" t="s">
        <v>117</v>
      </c>
      <c r="G319" s="142">
        <v>40.936639120000002</v>
      </c>
      <c r="H319" s="11" t="s">
        <v>59</v>
      </c>
      <c r="I319" s="277" t="s">
        <v>60</v>
      </c>
      <c r="J319" s="260">
        <v>5</v>
      </c>
      <c r="K319" s="260">
        <v>20</v>
      </c>
      <c r="L319" s="260"/>
      <c r="M319" s="260"/>
      <c r="N319" s="260"/>
      <c r="O319" s="260"/>
      <c r="P319" s="260"/>
      <c r="Q319" s="260"/>
      <c r="R319" s="260"/>
      <c r="S319" s="260"/>
      <c r="T319" s="260"/>
      <c r="U319" s="260"/>
      <c r="V319" s="260">
        <v>5</v>
      </c>
      <c r="W319" s="260">
        <v>10</v>
      </c>
      <c r="X319" s="260">
        <v>5</v>
      </c>
      <c r="Y319" s="260">
        <v>160</v>
      </c>
      <c r="Z319" s="260">
        <v>5</v>
      </c>
      <c r="AA319" s="260">
        <v>320</v>
      </c>
      <c r="AB319" s="260">
        <v>5</v>
      </c>
      <c r="AC319" s="260">
        <v>160</v>
      </c>
      <c r="AD319" s="260"/>
      <c r="AE319" s="260"/>
      <c r="AF319" s="260"/>
      <c r="AG319" s="260"/>
      <c r="AH319" s="203">
        <v>481</v>
      </c>
      <c r="AI319" s="272">
        <v>10</v>
      </c>
      <c r="AJ319" s="271">
        <v>80</v>
      </c>
      <c r="AK319" s="260"/>
      <c r="AL319" s="260"/>
      <c r="AM319" s="260"/>
      <c r="AN319" s="260"/>
      <c r="AO319" s="260"/>
      <c r="AP319" s="260"/>
      <c r="AQ319" s="260"/>
      <c r="AR319" s="260"/>
      <c r="AS319" s="260"/>
      <c r="AT319" s="260"/>
      <c r="AU319" s="260">
        <v>20</v>
      </c>
      <c r="AV319" s="271">
        <v>320</v>
      </c>
      <c r="AW319" s="260">
        <v>10</v>
      </c>
      <c r="AX319" s="271">
        <v>160</v>
      </c>
      <c r="AY319" s="260">
        <v>10</v>
      </c>
      <c r="AZ319" s="271">
        <v>160</v>
      </c>
      <c r="BA319" s="276">
        <v>10</v>
      </c>
      <c r="BB319" s="276">
        <v>320</v>
      </c>
      <c r="BC319" s="276"/>
      <c r="BD319" s="276"/>
      <c r="BE319" s="276">
        <v>5</v>
      </c>
      <c r="BF319" s="276">
        <v>160</v>
      </c>
      <c r="BG319" s="260">
        <v>20</v>
      </c>
      <c r="BH319" s="271">
        <v>320</v>
      </c>
      <c r="BI319" s="276"/>
      <c r="BJ319" s="276"/>
      <c r="BK319" s="276"/>
      <c r="BL319" s="275"/>
      <c r="BM319" s="326">
        <v>481</v>
      </c>
      <c r="BN319" s="272">
        <v>5</v>
      </c>
      <c r="BO319" s="270">
        <v>160</v>
      </c>
      <c r="BP319" s="272"/>
      <c r="BQ319" s="260"/>
      <c r="BR319" s="260"/>
      <c r="BS319" s="260"/>
      <c r="BT319" s="260"/>
      <c r="BU319" s="260"/>
      <c r="BV319" s="260">
        <v>5</v>
      </c>
      <c r="BW319" s="260">
        <v>5</v>
      </c>
      <c r="BX319" s="260"/>
      <c r="BY319" s="260"/>
      <c r="BZ319" s="260"/>
      <c r="CA319" s="260"/>
      <c r="CB319" s="260"/>
      <c r="CC319" s="260"/>
      <c r="CD319" s="260">
        <v>5</v>
      </c>
      <c r="CE319" s="260">
        <v>40</v>
      </c>
      <c r="CF319" s="272"/>
      <c r="CG319" s="260"/>
      <c r="CH319" s="260"/>
      <c r="CI319" s="260"/>
      <c r="CJ319" s="260"/>
      <c r="CK319" s="260"/>
      <c r="CL319" s="260"/>
      <c r="CM319" s="260"/>
      <c r="CN319" s="260">
        <v>5</v>
      </c>
      <c r="CO319" s="260">
        <v>80</v>
      </c>
      <c r="CP319" s="260">
        <v>5</v>
      </c>
      <c r="CQ319" s="260">
        <v>160</v>
      </c>
      <c r="CR319" s="260">
        <v>5</v>
      </c>
      <c r="CS319" s="270">
        <v>160</v>
      </c>
      <c r="CT319" s="325">
        <v>481</v>
      </c>
      <c r="CU319" s="249">
        <f>Table2821115[[#This Row],[D28 - BR/18]]/Table2821115[[#This Row],[D0 - BR/18]]</f>
        <v>32</v>
      </c>
      <c r="CV319" s="248">
        <f>Table2821115[[#This Row],[D28 - KS/17]]/Table2821115[[#This Row],[D0 - KS/17]]</f>
        <v>32</v>
      </c>
      <c r="CW319" s="248">
        <f>Table2821115[[#This Row],[D28 - Phu/13]]/Table2821115[[#This Row],[D0 - Phu/13]]</f>
        <v>8</v>
      </c>
      <c r="CX319" s="248">
        <f>Table2821115[[#This Row],[D28 - CO/17]]/Table2821115[[#This Row],[D0 - CO/17]]</f>
        <v>32</v>
      </c>
      <c r="CY319" s="248">
        <f>LOG(Table2821115[[#This Row],[BR/18 Fold]],2)</f>
        <v>5</v>
      </c>
      <c r="CZ319" s="248">
        <f>LOG(Table2821115[[#This Row],[KS/17 Fold]],2)</f>
        <v>5</v>
      </c>
      <c r="DA319" s="248">
        <f>LOG(Table2821115[[#This Row],[Phu/13 Fold]],2)</f>
        <v>3</v>
      </c>
      <c r="DB319" s="248">
        <f>LOG(Table2821115[[#This Row],[CO/17 Fold]],2)</f>
        <v>5</v>
      </c>
      <c r="DC319" s="248">
        <f>SUM(Table2821115[[#This Row],[BR/18 Log2]:[CO/17 Log2]])</f>
        <v>18</v>
      </c>
    </row>
    <row r="320" spans="1:107" ht="24" customHeight="1">
      <c r="A320" s="318">
        <v>482</v>
      </c>
      <c r="B320" s="180">
        <v>24482</v>
      </c>
      <c r="C320" s="180">
        <v>43839</v>
      </c>
      <c r="D320" s="179">
        <v>52</v>
      </c>
      <c r="E320" s="4" t="s">
        <v>58</v>
      </c>
      <c r="F320" s="143" t="s">
        <v>117</v>
      </c>
      <c r="G320" s="142">
        <v>31.796491395420137</v>
      </c>
      <c r="H320" s="11" t="s">
        <v>59</v>
      </c>
      <c r="I320" s="277" t="s">
        <v>60</v>
      </c>
      <c r="J320" s="260">
        <v>5</v>
      </c>
      <c r="K320" s="260">
        <v>5</v>
      </c>
      <c r="L320" s="260"/>
      <c r="M320" s="260"/>
      <c r="N320" s="260"/>
      <c r="O320" s="260"/>
      <c r="P320" s="260"/>
      <c r="Q320" s="260"/>
      <c r="R320" s="260"/>
      <c r="S320" s="260"/>
      <c r="T320" s="260"/>
      <c r="U320" s="260"/>
      <c r="V320" s="260">
        <v>5</v>
      </c>
      <c r="W320" s="260">
        <v>5</v>
      </c>
      <c r="X320" s="260">
        <v>5</v>
      </c>
      <c r="Y320" s="260">
        <v>5</v>
      </c>
      <c r="Z320" s="260">
        <v>5</v>
      </c>
      <c r="AA320" s="260">
        <v>5</v>
      </c>
      <c r="AB320" s="260">
        <v>5</v>
      </c>
      <c r="AC320" s="260">
        <v>5</v>
      </c>
      <c r="AD320" s="260"/>
      <c r="AE320" s="260"/>
      <c r="AF320" s="260"/>
      <c r="AG320" s="260"/>
      <c r="AH320" s="195">
        <v>482</v>
      </c>
      <c r="AI320" s="272">
        <v>5</v>
      </c>
      <c r="AJ320" s="271">
        <v>5</v>
      </c>
      <c r="AK320" s="260"/>
      <c r="AL320" s="260"/>
      <c r="AM320" s="260"/>
      <c r="AN320" s="260"/>
      <c r="AO320" s="260"/>
      <c r="AP320" s="260"/>
      <c r="AQ320" s="260"/>
      <c r="AR320" s="260"/>
      <c r="AS320" s="260"/>
      <c r="AT320" s="260"/>
      <c r="AU320" s="260">
        <v>5</v>
      </c>
      <c r="AV320" s="271">
        <v>80</v>
      </c>
      <c r="AW320" s="260">
        <v>5</v>
      </c>
      <c r="AX320" s="271">
        <v>80</v>
      </c>
      <c r="AY320" s="260">
        <v>5</v>
      </c>
      <c r="AZ320" s="271">
        <v>5</v>
      </c>
      <c r="BA320" s="276">
        <v>5</v>
      </c>
      <c r="BB320" s="276">
        <v>160</v>
      </c>
      <c r="BC320" s="276"/>
      <c r="BD320" s="276"/>
      <c r="BE320" s="276">
        <v>5</v>
      </c>
      <c r="BF320" s="276">
        <v>5</v>
      </c>
      <c r="BG320" s="260">
        <v>5</v>
      </c>
      <c r="BH320" s="271">
        <v>80</v>
      </c>
      <c r="BI320" s="276"/>
      <c r="BJ320" s="276"/>
      <c r="BK320" s="276"/>
      <c r="BL320" s="275"/>
      <c r="BM320" s="316">
        <v>482</v>
      </c>
      <c r="BN320" s="272">
        <v>5</v>
      </c>
      <c r="BO320" s="270">
        <v>5</v>
      </c>
      <c r="BP320" s="272"/>
      <c r="BQ320" s="260"/>
      <c r="BR320" s="260"/>
      <c r="BS320" s="260"/>
      <c r="BT320" s="260"/>
      <c r="BU320" s="260"/>
      <c r="BV320" s="260">
        <v>5</v>
      </c>
      <c r="BW320" s="260">
        <v>5</v>
      </c>
      <c r="BX320" s="260"/>
      <c r="BY320" s="260"/>
      <c r="BZ320" s="260"/>
      <c r="CA320" s="260"/>
      <c r="CB320" s="260"/>
      <c r="CC320" s="260"/>
      <c r="CD320" s="260">
        <v>5</v>
      </c>
      <c r="CE320" s="260">
        <v>5</v>
      </c>
      <c r="CF320" s="272"/>
      <c r="CG320" s="260"/>
      <c r="CH320" s="260"/>
      <c r="CI320" s="260"/>
      <c r="CJ320" s="260"/>
      <c r="CK320" s="260"/>
      <c r="CL320" s="260"/>
      <c r="CM320" s="260"/>
      <c r="CN320" s="260">
        <v>5</v>
      </c>
      <c r="CO320" s="260">
        <v>80</v>
      </c>
      <c r="CP320" s="260">
        <v>5</v>
      </c>
      <c r="CQ320" s="260">
        <v>5</v>
      </c>
      <c r="CR320" s="260">
        <v>5</v>
      </c>
      <c r="CS320" s="270">
        <v>40</v>
      </c>
      <c r="CT320" s="315">
        <v>482</v>
      </c>
      <c r="CU320" s="249">
        <f>Table2821115[[#This Row],[D28 - BR/18]]/Table2821115[[#This Row],[D0 - BR/18]]</f>
        <v>1</v>
      </c>
      <c r="CV320" s="248">
        <f>Table2821115[[#This Row],[D28 - KS/17]]/Table2821115[[#This Row],[D0 - KS/17]]</f>
        <v>1</v>
      </c>
      <c r="CW320" s="248">
        <f>Table2821115[[#This Row],[D28 - Phu/13]]/Table2821115[[#This Row],[D0 - Phu/13]]</f>
        <v>1</v>
      </c>
      <c r="CX320" s="248">
        <f>Table2821115[[#This Row],[D28 - CO/17]]/Table2821115[[#This Row],[D0 - CO/17]]</f>
        <v>1</v>
      </c>
      <c r="CY320" s="248">
        <f>LOG(Table2821115[[#This Row],[BR/18 Fold]],2)</f>
        <v>0</v>
      </c>
      <c r="CZ320" s="248">
        <f>LOG(Table2821115[[#This Row],[KS/17 Fold]],2)</f>
        <v>0</v>
      </c>
      <c r="DA320" s="248">
        <f>LOG(Table2821115[[#This Row],[Phu/13 Fold]],2)</f>
        <v>0</v>
      </c>
      <c r="DB320" s="248">
        <f>LOG(Table2821115[[#This Row],[CO/17 Fold]],2)</f>
        <v>0</v>
      </c>
      <c r="DC320" s="248">
        <f>SUM(Table2821115[[#This Row],[BR/18 Log2]:[CO/17 Log2]])</f>
        <v>0</v>
      </c>
    </row>
    <row r="321" spans="1:107" ht="24" customHeight="1">
      <c r="A321" s="321">
        <v>483</v>
      </c>
      <c r="B321" s="183">
        <v>36405</v>
      </c>
      <c r="C321" s="183">
        <v>43843</v>
      </c>
      <c r="D321" s="182">
        <v>20</v>
      </c>
      <c r="E321" s="3" t="s">
        <v>61</v>
      </c>
      <c r="F321" s="143" t="s">
        <v>129</v>
      </c>
      <c r="G321" s="142">
        <v>19.584775086505193</v>
      </c>
      <c r="H321" s="11" t="s">
        <v>59</v>
      </c>
      <c r="I321" s="277" t="s">
        <v>60</v>
      </c>
      <c r="J321" s="260">
        <v>5</v>
      </c>
      <c r="K321" s="260">
        <v>5</v>
      </c>
      <c r="L321" s="260"/>
      <c r="M321" s="260"/>
      <c r="N321" s="260"/>
      <c r="O321" s="260"/>
      <c r="P321" s="260"/>
      <c r="Q321" s="260"/>
      <c r="R321" s="260"/>
      <c r="S321" s="260"/>
      <c r="T321" s="260"/>
      <c r="U321" s="260"/>
      <c r="V321" s="260">
        <v>20</v>
      </c>
      <c r="W321" s="260">
        <v>40</v>
      </c>
      <c r="X321" s="260">
        <v>10</v>
      </c>
      <c r="Y321" s="260">
        <v>160</v>
      </c>
      <c r="Z321" s="260">
        <v>20</v>
      </c>
      <c r="AA321" s="260">
        <v>320</v>
      </c>
      <c r="AB321" s="260">
        <v>10</v>
      </c>
      <c r="AC321" s="260">
        <v>160</v>
      </c>
      <c r="AD321" s="260"/>
      <c r="AE321" s="260"/>
      <c r="AF321" s="260"/>
      <c r="AG321" s="260"/>
      <c r="AH321" s="32">
        <v>483</v>
      </c>
      <c r="AI321" s="272">
        <v>20</v>
      </c>
      <c r="AJ321" s="271">
        <v>40</v>
      </c>
      <c r="AK321" s="260"/>
      <c r="AL321" s="260"/>
      <c r="AM321" s="260"/>
      <c r="AN321" s="260"/>
      <c r="AO321" s="260"/>
      <c r="AP321" s="260"/>
      <c r="AQ321" s="260"/>
      <c r="AR321" s="260"/>
      <c r="AS321" s="260"/>
      <c r="AT321" s="260"/>
      <c r="AU321" s="260">
        <v>20</v>
      </c>
      <c r="AV321" s="271">
        <v>20</v>
      </c>
      <c r="AW321" s="260">
        <v>10</v>
      </c>
      <c r="AX321" s="271">
        <v>20</v>
      </c>
      <c r="AY321" s="260">
        <v>10</v>
      </c>
      <c r="AZ321" s="271">
        <v>10</v>
      </c>
      <c r="BA321" s="276">
        <v>20</v>
      </c>
      <c r="BB321" s="276">
        <v>20</v>
      </c>
      <c r="BC321" s="276"/>
      <c r="BD321" s="276"/>
      <c r="BE321" s="276">
        <v>5</v>
      </c>
      <c r="BF321" s="276">
        <v>160</v>
      </c>
      <c r="BG321" s="260">
        <v>20</v>
      </c>
      <c r="BH321" s="271">
        <v>20</v>
      </c>
      <c r="BI321" s="276"/>
      <c r="BJ321" s="276"/>
      <c r="BK321" s="276"/>
      <c r="BL321" s="275"/>
      <c r="BM321" s="320">
        <v>483</v>
      </c>
      <c r="BN321" s="272">
        <v>20</v>
      </c>
      <c r="BO321" s="270">
        <v>40</v>
      </c>
      <c r="BP321" s="272"/>
      <c r="BQ321" s="260"/>
      <c r="BR321" s="260"/>
      <c r="BS321" s="260"/>
      <c r="BT321" s="260"/>
      <c r="BU321" s="260"/>
      <c r="BV321" s="260">
        <v>10</v>
      </c>
      <c r="BW321" s="260">
        <v>10</v>
      </c>
      <c r="BX321" s="260"/>
      <c r="BY321" s="260"/>
      <c r="BZ321" s="260"/>
      <c r="CA321" s="260"/>
      <c r="CB321" s="260"/>
      <c r="CC321" s="260"/>
      <c r="CD321" s="260">
        <v>20</v>
      </c>
      <c r="CE321" s="260">
        <v>80</v>
      </c>
      <c r="CF321" s="272"/>
      <c r="CG321" s="260"/>
      <c r="CH321" s="260"/>
      <c r="CI321" s="260"/>
      <c r="CJ321" s="260"/>
      <c r="CK321" s="260"/>
      <c r="CL321" s="260"/>
      <c r="CM321" s="260"/>
      <c r="CN321" s="260">
        <v>10</v>
      </c>
      <c r="CO321" s="260">
        <v>80</v>
      </c>
      <c r="CP321" s="260">
        <v>20</v>
      </c>
      <c r="CQ321" s="260">
        <v>40</v>
      </c>
      <c r="CR321" s="260">
        <v>10</v>
      </c>
      <c r="CS321" s="270">
        <v>80</v>
      </c>
      <c r="CT321" s="319">
        <v>483</v>
      </c>
      <c r="CU321" s="249">
        <f>Table2821115[[#This Row],[D28 - BR/18]]/Table2821115[[#This Row],[D0 - BR/18]]</f>
        <v>16</v>
      </c>
      <c r="CV321" s="248">
        <f>Table2821115[[#This Row],[D28 - KS/17]]/Table2821115[[#This Row],[D0 - KS/17]]</f>
        <v>32</v>
      </c>
      <c r="CW321" s="248">
        <f>Table2821115[[#This Row],[D28 - Phu/13]]/Table2821115[[#This Row],[D0 - Phu/13]]</f>
        <v>4</v>
      </c>
      <c r="CX321" s="248">
        <f>Table2821115[[#This Row],[D28 - CO/17]]/Table2821115[[#This Row],[D0 - CO/17]]</f>
        <v>2</v>
      </c>
      <c r="CY321" s="248">
        <f>LOG(Table2821115[[#This Row],[BR/18 Fold]],2)</f>
        <v>4</v>
      </c>
      <c r="CZ321" s="248">
        <f>LOG(Table2821115[[#This Row],[KS/17 Fold]],2)</f>
        <v>5</v>
      </c>
      <c r="DA321" s="248">
        <f>LOG(Table2821115[[#This Row],[Phu/13 Fold]],2)</f>
        <v>2</v>
      </c>
      <c r="DB321" s="248">
        <f>LOG(Table2821115[[#This Row],[CO/17 Fold]],2)</f>
        <v>1</v>
      </c>
      <c r="DC321" s="248">
        <f>SUM(Table2821115[[#This Row],[BR/18 Log2]:[CO/17 Log2]])</f>
        <v>12</v>
      </c>
    </row>
    <row r="322" spans="1:107" ht="24" customHeight="1">
      <c r="A322" s="327">
        <v>484</v>
      </c>
      <c r="B322" s="205">
        <v>17949</v>
      </c>
      <c r="C322" s="205">
        <v>43845</v>
      </c>
      <c r="D322" s="204">
        <v>70</v>
      </c>
      <c r="E322" s="4" t="s">
        <v>58</v>
      </c>
      <c r="F322" s="143" t="s">
        <v>116</v>
      </c>
      <c r="G322" s="142">
        <v>29.771870660583218</v>
      </c>
      <c r="H322" s="11" t="s">
        <v>59</v>
      </c>
      <c r="I322" s="277" t="s">
        <v>60</v>
      </c>
      <c r="J322" s="260">
        <v>5</v>
      </c>
      <c r="K322" s="260">
        <v>5</v>
      </c>
      <c r="L322" s="260"/>
      <c r="M322" s="260"/>
      <c r="N322" s="260"/>
      <c r="O322" s="260"/>
      <c r="P322" s="260"/>
      <c r="Q322" s="260"/>
      <c r="R322" s="260"/>
      <c r="S322" s="260"/>
      <c r="T322" s="260"/>
      <c r="U322" s="260"/>
      <c r="V322" s="260">
        <v>5</v>
      </c>
      <c r="W322" s="260">
        <v>5</v>
      </c>
      <c r="X322" s="260">
        <v>20</v>
      </c>
      <c r="Y322" s="260">
        <v>20</v>
      </c>
      <c r="Z322" s="260">
        <v>40</v>
      </c>
      <c r="AA322" s="260">
        <v>20</v>
      </c>
      <c r="AB322" s="260">
        <v>20</v>
      </c>
      <c r="AC322" s="260">
        <v>10</v>
      </c>
      <c r="AD322" s="260"/>
      <c r="AE322" s="260"/>
      <c r="AF322" s="260"/>
      <c r="AG322" s="260"/>
      <c r="AH322" s="203">
        <v>484</v>
      </c>
      <c r="AI322" s="272">
        <v>80</v>
      </c>
      <c r="AJ322" s="271">
        <v>80</v>
      </c>
      <c r="AK322" s="260"/>
      <c r="AL322" s="260"/>
      <c r="AM322" s="260"/>
      <c r="AN322" s="260"/>
      <c r="AO322" s="260"/>
      <c r="AP322" s="260"/>
      <c r="AQ322" s="260"/>
      <c r="AR322" s="260"/>
      <c r="AS322" s="260"/>
      <c r="AT322" s="260"/>
      <c r="AU322" s="260">
        <v>160</v>
      </c>
      <c r="AV322" s="271">
        <v>160</v>
      </c>
      <c r="AW322" s="260">
        <v>160</v>
      </c>
      <c r="AX322" s="271">
        <v>80</v>
      </c>
      <c r="AY322" s="260">
        <v>40</v>
      </c>
      <c r="AZ322" s="271">
        <v>40</v>
      </c>
      <c r="BA322" s="276">
        <v>80</v>
      </c>
      <c r="BB322" s="276">
        <v>40</v>
      </c>
      <c r="BC322" s="276"/>
      <c r="BD322" s="276"/>
      <c r="BE322" s="276">
        <v>10</v>
      </c>
      <c r="BF322" s="276">
        <v>10</v>
      </c>
      <c r="BG322" s="260">
        <v>160</v>
      </c>
      <c r="BH322" s="271">
        <v>80</v>
      </c>
      <c r="BI322" s="276"/>
      <c r="BJ322" s="276"/>
      <c r="BK322" s="276"/>
      <c r="BL322" s="275"/>
      <c r="BM322" s="326">
        <v>484</v>
      </c>
      <c r="BN322" s="272">
        <v>40</v>
      </c>
      <c r="BO322" s="270">
        <v>40</v>
      </c>
      <c r="BP322" s="272"/>
      <c r="BQ322" s="260"/>
      <c r="BR322" s="260"/>
      <c r="BS322" s="260"/>
      <c r="BT322" s="260"/>
      <c r="BU322" s="260"/>
      <c r="BV322" s="260">
        <v>5</v>
      </c>
      <c r="BW322" s="260">
        <v>5</v>
      </c>
      <c r="BX322" s="260"/>
      <c r="BY322" s="260"/>
      <c r="BZ322" s="260"/>
      <c r="CA322" s="260"/>
      <c r="CB322" s="260"/>
      <c r="CC322" s="260"/>
      <c r="CD322" s="260">
        <v>10</v>
      </c>
      <c r="CE322" s="260">
        <v>10</v>
      </c>
      <c r="CF322" s="272"/>
      <c r="CG322" s="260"/>
      <c r="CH322" s="260"/>
      <c r="CI322" s="260"/>
      <c r="CJ322" s="260"/>
      <c r="CK322" s="260"/>
      <c r="CL322" s="260"/>
      <c r="CM322" s="260"/>
      <c r="CN322" s="260">
        <v>20</v>
      </c>
      <c r="CO322" s="260">
        <v>20</v>
      </c>
      <c r="CP322" s="260">
        <v>80</v>
      </c>
      <c r="CQ322" s="260">
        <v>20</v>
      </c>
      <c r="CR322" s="260">
        <v>40</v>
      </c>
      <c r="CS322" s="270">
        <v>40</v>
      </c>
      <c r="CT322" s="325">
        <v>484</v>
      </c>
      <c r="CU322" s="249">
        <f>Table2821115[[#This Row],[D28 - BR/18]]/Table2821115[[#This Row],[D0 - BR/18]]</f>
        <v>0.5</v>
      </c>
      <c r="CV322" s="248">
        <f>Table2821115[[#This Row],[D28 - KS/17]]/Table2821115[[#This Row],[D0 - KS/17]]</f>
        <v>1</v>
      </c>
      <c r="CW322" s="248">
        <f>Table2821115[[#This Row],[D28 - Phu/13]]/Table2821115[[#This Row],[D0 - Phu/13]]</f>
        <v>1</v>
      </c>
      <c r="CX322" s="248">
        <f>Table2821115[[#This Row],[D28 - CO/17]]/Table2821115[[#This Row],[D0 - CO/17]]</f>
        <v>0.25</v>
      </c>
      <c r="CY322" s="248">
        <f>LOG(Table2821115[[#This Row],[BR/18 Fold]],2)</f>
        <v>-1</v>
      </c>
      <c r="CZ322" s="248">
        <f>LOG(Table2821115[[#This Row],[KS/17 Fold]],2)</f>
        <v>0</v>
      </c>
      <c r="DA322" s="248">
        <f>LOG(Table2821115[[#This Row],[Phu/13 Fold]],2)</f>
        <v>0</v>
      </c>
      <c r="DB322" s="248">
        <f>LOG(Table2821115[[#This Row],[CO/17 Fold]],2)</f>
        <v>-2</v>
      </c>
      <c r="DC322" s="248">
        <f>SUM(Table2821115[[#This Row],[BR/18 Log2]:[CO/17 Log2]])</f>
        <v>-3</v>
      </c>
    </row>
    <row r="323" spans="1:107" ht="24" customHeight="1">
      <c r="A323" s="318">
        <v>485</v>
      </c>
      <c r="B323" s="180">
        <v>22432</v>
      </c>
      <c r="C323" s="180">
        <v>43855</v>
      </c>
      <c r="D323" s="179">
        <v>58</v>
      </c>
      <c r="E323" s="3" t="s">
        <v>61</v>
      </c>
      <c r="F323" s="143" t="s">
        <v>116</v>
      </c>
      <c r="G323" s="142">
        <v>26.298385122925421</v>
      </c>
      <c r="H323" s="11" t="s">
        <v>59</v>
      </c>
      <c r="I323" s="277" t="s">
        <v>60</v>
      </c>
      <c r="J323" s="260">
        <v>5</v>
      </c>
      <c r="K323" s="260">
        <v>5</v>
      </c>
      <c r="L323" s="260"/>
      <c r="M323" s="260"/>
      <c r="N323" s="260"/>
      <c r="O323" s="260"/>
      <c r="P323" s="260"/>
      <c r="Q323" s="260"/>
      <c r="R323" s="260"/>
      <c r="S323" s="260"/>
      <c r="T323" s="260"/>
      <c r="U323" s="260"/>
      <c r="V323" s="260">
        <v>5</v>
      </c>
      <c r="W323" s="260">
        <v>5</v>
      </c>
      <c r="X323" s="260">
        <v>5</v>
      </c>
      <c r="Y323" s="260">
        <v>40</v>
      </c>
      <c r="Z323" s="260">
        <v>80</v>
      </c>
      <c r="AA323" s="260">
        <v>80</v>
      </c>
      <c r="AB323" s="260">
        <v>40</v>
      </c>
      <c r="AC323" s="260">
        <v>40</v>
      </c>
      <c r="AD323" s="260"/>
      <c r="AE323" s="260"/>
      <c r="AF323" s="260"/>
      <c r="AG323" s="260"/>
      <c r="AH323" s="195">
        <v>485</v>
      </c>
      <c r="AI323" s="272">
        <v>5</v>
      </c>
      <c r="AJ323" s="271">
        <v>20</v>
      </c>
      <c r="AK323" s="260"/>
      <c r="AL323" s="260"/>
      <c r="AM323" s="260"/>
      <c r="AN323" s="260"/>
      <c r="AO323" s="260"/>
      <c r="AP323" s="260"/>
      <c r="AQ323" s="260"/>
      <c r="AR323" s="260"/>
      <c r="AS323" s="260"/>
      <c r="AT323" s="260"/>
      <c r="AU323" s="260">
        <v>80</v>
      </c>
      <c r="AV323" s="271">
        <v>320</v>
      </c>
      <c r="AW323" s="260">
        <v>40</v>
      </c>
      <c r="AX323" s="271">
        <v>320</v>
      </c>
      <c r="AY323" s="260">
        <v>5</v>
      </c>
      <c r="AZ323" s="271">
        <v>5</v>
      </c>
      <c r="BA323" s="276">
        <v>40</v>
      </c>
      <c r="BB323" s="276">
        <v>160</v>
      </c>
      <c r="BC323" s="276"/>
      <c r="BD323" s="276"/>
      <c r="BE323" s="276">
        <v>20</v>
      </c>
      <c r="BF323" s="276">
        <v>160</v>
      </c>
      <c r="BG323" s="260">
        <v>80</v>
      </c>
      <c r="BH323" s="271">
        <v>160</v>
      </c>
      <c r="BI323" s="276"/>
      <c r="BJ323" s="276"/>
      <c r="BK323" s="276"/>
      <c r="BL323" s="275"/>
      <c r="BM323" s="316">
        <v>485</v>
      </c>
      <c r="BN323" s="272">
        <v>40</v>
      </c>
      <c r="BO323" s="270">
        <v>80</v>
      </c>
      <c r="BP323" s="272"/>
      <c r="BQ323" s="260"/>
      <c r="BR323" s="260"/>
      <c r="BS323" s="260"/>
      <c r="BT323" s="260"/>
      <c r="BU323" s="260"/>
      <c r="BV323" s="260">
        <v>5</v>
      </c>
      <c r="BW323" s="260">
        <v>5</v>
      </c>
      <c r="BX323" s="260"/>
      <c r="BY323" s="260"/>
      <c r="BZ323" s="260"/>
      <c r="CA323" s="260"/>
      <c r="CB323" s="260"/>
      <c r="CC323" s="260"/>
      <c r="CD323" s="260">
        <v>40</v>
      </c>
      <c r="CE323" s="260">
        <v>80</v>
      </c>
      <c r="CF323" s="272"/>
      <c r="CG323" s="260"/>
      <c r="CH323" s="260"/>
      <c r="CI323" s="260"/>
      <c r="CJ323" s="260"/>
      <c r="CK323" s="260"/>
      <c r="CL323" s="260"/>
      <c r="CM323" s="260"/>
      <c r="CN323" s="260">
        <v>160</v>
      </c>
      <c r="CO323" s="260">
        <v>160</v>
      </c>
      <c r="CP323" s="260">
        <v>160</v>
      </c>
      <c r="CQ323" s="260">
        <v>80</v>
      </c>
      <c r="CR323" s="260">
        <v>80</v>
      </c>
      <c r="CS323" s="270">
        <v>160</v>
      </c>
      <c r="CT323" s="315">
        <v>485</v>
      </c>
      <c r="CU323" s="249">
        <f>Table2821115[[#This Row],[D28 - BR/18]]/Table2821115[[#This Row],[D0 - BR/18]]</f>
        <v>1</v>
      </c>
      <c r="CV323" s="248">
        <f>Table2821115[[#This Row],[D28 - KS/17]]/Table2821115[[#This Row],[D0 - KS/17]]</f>
        <v>8</v>
      </c>
      <c r="CW323" s="248">
        <f>Table2821115[[#This Row],[D28 - Phu/13]]/Table2821115[[#This Row],[D0 - Phu/13]]</f>
        <v>2</v>
      </c>
      <c r="CX323" s="248">
        <f>Table2821115[[#This Row],[D28 - CO/17]]/Table2821115[[#This Row],[D0 - CO/17]]</f>
        <v>0.5</v>
      </c>
      <c r="CY323" s="248">
        <f>LOG(Table2821115[[#This Row],[BR/18 Fold]],2)</f>
        <v>0</v>
      </c>
      <c r="CZ323" s="248">
        <f>LOG(Table2821115[[#This Row],[KS/17 Fold]],2)</f>
        <v>3</v>
      </c>
      <c r="DA323" s="248">
        <f>LOG(Table2821115[[#This Row],[Phu/13 Fold]],2)</f>
        <v>1</v>
      </c>
      <c r="DB323" s="248">
        <f>LOG(Table2821115[[#This Row],[CO/17 Fold]],2)</f>
        <v>-1</v>
      </c>
      <c r="DC323" s="248">
        <f>SUM(Table2821115[[#This Row],[BR/18 Log2]:[CO/17 Log2]])</f>
        <v>3</v>
      </c>
    </row>
    <row r="324" spans="1:107" ht="24" customHeight="1">
      <c r="A324" s="324">
        <v>486</v>
      </c>
      <c r="B324" s="190">
        <v>29596</v>
      </c>
      <c r="C324" s="190">
        <v>43843</v>
      </c>
      <c r="D324" s="189">
        <v>39</v>
      </c>
      <c r="E324" s="3" t="s">
        <v>61</v>
      </c>
      <c r="F324" s="143" t="s">
        <v>116</v>
      </c>
      <c r="G324" s="142">
        <v>30.217217648834069</v>
      </c>
      <c r="H324" s="11" t="s">
        <v>59</v>
      </c>
      <c r="I324" s="277" t="s">
        <v>62</v>
      </c>
      <c r="J324" s="260">
        <v>5</v>
      </c>
      <c r="K324" s="260">
        <v>5</v>
      </c>
      <c r="L324" s="260"/>
      <c r="M324" s="260"/>
      <c r="N324" s="260"/>
      <c r="O324" s="260"/>
      <c r="P324" s="260"/>
      <c r="Q324" s="260"/>
      <c r="R324" s="260"/>
      <c r="S324" s="260"/>
      <c r="T324" s="260"/>
      <c r="U324" s="260"/>
      <c r="V324" s="260">
        <v>5</v>
      </c>
      <c r="W324" s="260">
        <v>10</v>
      </c>
      <c r="X324" s="260">
        <v>80</v>
      </c>
      <c r="Y324" s="260">
        <v>80</v>
      </c>
      <c r="Z324" s="260">
        <v>160</v>
      </c>
      <c r="AA324" s="260">
        <v>5</v>
      </c>
      <c r="AB324" s="260">
        <v>80</v>
      </c>
      <c r="AC324" s="260">
        <v>80</v>
      </c>
      <c r="AD324" s="260"/>
      <c r="AE324" s="260"/>
      <c r="AF324" s="260"/>
      <c r="AG324" s="260"/>
      <c r="AH324" s="198">
        <v>486</v>
      </c>
      <c r="AI324" s="272">
        <v>80</v>
      </c>
      <c r="AJ324" s="271">
        <v>80</v>
      </c>
      <c r="AK324" s="260"/>
      <c r="AL324" s="260"/>
      <c r="AM324" s="260"/>
      <c r="AN324" s="260"/>
      <c r="AO324" s="260"/>
      <c r="AP324" s="260"/>
      <c r="AQ324" s="260"/>
      <c r="AR324" s="260"/>
      <c r="AS324" s="260"/>
      <c r="AT324" s="260"/>
      <c r="AU324" s="260">
        <v>80</v>
      </c>
      <c r="AV324" s="271">
        <v>160</v>
      </c>
      <c r="AW324" s="260">
        <v>40</v>
      </c>
      <c r="AX324" s="271">
        <v>160</v>
      </c>
      <c r="AY324" s="260">
        <v>20</v>
      </c>
      <c r="AZ324" s="271">
        <v>5</v>
      </c>
      <c r="BA324" s="276">
        <v>80</v>
      </c>
      <c r="BB324" s="276">
        <v>40</v>
      </c>
      <c r="BC324" s="276"/>
      <c r="BD324" s="276"/>
      <c r="BE324" s="276">
        <v>20</v>
      </c>
      <c r="BF324" s="276">
        <v>80</v>
      </c>
      <c r="BG324" s="260">
        <v>160</v>
      </c>
      <c r="BH324" s="271">
        <v>160</v>
      </c>
      <c r="BI324" s="276"/>
      <c r="BJ324" s="276"/>
      <c r="BK324" s="276"/>
      <c r="BL324" s="275"/>
      <c r="BM324" s="323">
        <v>486</v>
      </c>
      <c r="BN324" s="272">
        <v>80</v>
      </c>
      <c r="BO324" s="270">
        <v>160</v>
      </c>
      <c r="BP324" s="272"/>
      <c r="BQ324" s="260"/>
      <c r="BR324" s="260"/>
      <c r="BS324" s="260"/>
      <c r="BT324" s="260"/>
      <c r="BU324" s="260"/>
      <c r="BV324" s="260">
        <v>5</v>
      </c>
      <c r="BW324" s="260">
        <v>5</v>
      </c>
      <c r="BX324" s="260"/>
      <c r="BY324" s="260"/>
      <c r="BZ324" s="260"/>
      <c r="CA324" s="260"/>
      <c r="CB324" s="260"/>
      <c r="CC324" s="260"/>
      <c r="CD324" s="260">
        <v>20</v>
      </c>
      <c r="CE324" s="260">
        <v>80</v>
      </c>
      <c r="CF324" s="272"/>
      <c r="CG324" s="260"/>
      <c r="CH324" s="260"/>
      <c r="CI324" s="260"/>
      <c r="CJ324" s="260"/>
      <c r="CK324" s="260"/>
      <c r="CL324" s="260"/>
      <c r="CM324" s="260"/>
      <c r="CN324" s="260">
        <v>80</v>
      </c>
      <c r="CO324" s="260">
        <v>80</v>
      </c>
      <c r="CP324" s="260">
        <v>160</v>
      </c>
      <c r="CQ324" s="260">
        <v>80</v>
      </c>
      <c r="CR324" s="260">
        <v>80</v>
      </c>
      <c r="CS324" s="270">
        <v>160</v>
      </c>
      <c r="CT324" s="322">
        <v>486</v>
      </c>
      <c r="CU324" s="249">
        <f>Table2821115[[#This Row],[D28 - BR/18]]/Table2821115[[#This Row],[D0 - BR/18]]</f>
        <v>1</v>
      </c>
      <c r="CV324" s="248">
        <f>Table2821115[[#This Row],[D28 - KS/17]]/Table2821115[[#This Row],[D0 - KS/17]]</f>
        <v>4</v>
      </c>
      <c r="CW324" s="248">
        <f>Table2821115[[#This Row],[D28 - Phu/13]]/Table2821115[[#This Row],[D0 - Phu/13]]</f>
        <v>4</v>
      </c>
      <c r="CX324" s="248">
        <f>Table2821115[[#This Row],[D28 - CO/17]]/Table2821115[[#This Row],[D0 - CO/17]]</f>
        <v>0.5</v>
      </c>
      <c r="CY324" s="248">
        <f>LOG(Table2821115[[#This Row],[BR/18 Fold]],2)</f>
        <v>0</v>
      </c>
      <c r="CZ324" s="248">
        <f>LOG(Table2821115[[#This Row],[KS/17 Fold]],2)</f>
        <v>2</v>
      </c>
      <c r="DA324" s="248">
        <f>LOG(Table2821115[[#This Row],[Phu/13 Fold]],2)</f>
        <v>2</v>
      </c>
      <c r="DB324" s="248">
        <f>LOG(Table2821115[[#This Row],[CO/17 Fold]],2)</f>
        <v>-1</v>
      </c>
      <c r="DC324" s="248">
        <f>SUM(Table2821115[[#This Row],[BR/18 Log2]:[CO/17 Log2]])</f>
        <v>3</v>
      </c>
    </row>
    <row r="325" spans="1:107" ht="24" customHeight="1">
      <c r="A325" s="321">
        <v>487</v>
      </c>
      <c r="B325" s="183">
        <v>34478</v>
      </c>
      <c r="C325" s="183">
        <v>43845</v>
      </c>
      <c r="D325" s="182">
        <v>25</v>
      </c>
      <c r="E325" s="4" t="s">
        <v>58</v>
      </c>
      <c r="F325" s="143" t="s">
        <v>117</v>
      </c>
      <c r="G325" s="142">
        <v>23.719271908425597</v>
      </c>
      <c r="H325" s="11" t="s">
        <v>59</v>
      </c>
      <c r="I325" s="277" t="s">
        <v>62</v>
      </c>
      <c r="J325" s="260">
        <v>5</v>
      </c>
      <c r="K325" s="260">
        <v>5</v>
      </c>
      <c r="L325" s="260"/>
      <c r="M325" s="260"/>
      <c r="N325" s="260"/>
      <c r="O325" s="260"/>
      <c r="P325" s="260"/>
      <c r="Q325" s="260"/>
      <c r="R325" s="260"/>
      <c r="S325" s="260"/>
      <c r="T325" s="260"/>
      <c r="U325" s="260"/>
      <c r="V325" s="260">
        <v>5</v>
      </c>
      <c r="W325" s="260">
        <v>5</v>
      </c>
      <c r="X325" s="260">
        <v>10</v>
      </c>
      <c r="Y325" s="260">
        <v>80</v>
      </c>
      <c r="Z325" s="260">
        <v>20</v>
      </c>
      <c r="AA325" s="260">
        <v>160</v>
      </c>
      <c r="AB325" s="260">
        <v>10</v>
      </c>
      <c r="AC325" s="260">
        <v>80</v>
      </c>
      <c r="AD325" s="260"/>
      <c r="AE325" s="260"/>
      <c r="AF325" s="260"/>
      <c r="AG325" s="260"/>
      <c r="AH325" s="32">
        <v>487</v>
      </c>
      <c r="AI325" s="272">
        <v>20</v>
      </c>
      <c r="AJ325" s="271">
        <v>20</v>
      </c>
      <c r="AK325" s="260"/>
      <c r="AL325" s="260"/>
      <c r="AM325" s="260"/>
      <c r="AN325" s="260"/>
      <c r="AO325" s="260"/>
      <c r="AP325" s="260"/>
      <c r="AQ325" s="260"/>
      <c r="AR325" s="260"/>
      <c r="AS325" s="260"/>
      <c r="AT325" s="260"/>
      <c r="AU325" s="260">
        <v>80</v>
      </c>
      <c r="AV325" s="271">
        <v>160</v>
      </c>
      <c r="AW325" s="260">
        <v>40</v>
      </c>
      <c r="AX325" s="271">
        <v>80</v>
      </c>
      <c r="AY325" s="260">
        <v>20</v>
      </c>
      <c r="AZ325" s="271">
        <v>40</v>
      </c>
      <c r="BA325" s="276">
        <v>40</v>
      </c>
      <c r="BB325" s="276">
        <v>40</v>
      </c>
      <c r="BC325" s="276"/>
      <c r="BD325" s="276"/>
      <c r="BE325" s="276">
        <v>5</v>
      </c>
      <c r="BF325" s="276">
        <v>5</v>
      </c>
      <c r="BG325" s="260">
        <v>80</v>
      </c>
      <c r="BH325" s="271">
        <v>80</v>
      </c>
      <c r="BI325" s="276"/>
      <c r="BJ325" s="276"/>
      <c r="BK325" s="276"/>
      <c r="BL325" s="275"/>
      <c r="BM325" s="320">
        <v>487</v>
      </c>
      <c r="BN325" s="272">
        <v>5</v>
      </c>
      <c r="BO325" s="270">
        <v>20</v>
      </c>
      <c r="BP325" s="272"/>
      <c r="BQ325" s="260"/>
      <c r="BR325" s="260"/>
      <c r="BS325" s="260"/>
      <c r="BT325" s="260"/>
      <c r="BU325" s="260"/>
      <c r="BV325" s="260">
        <v>5</v>
      </c>
      <c r="BW325" s="260">
        <v>160</v>
      </c>
      <c r="BX325" s="260"/>
      <c r="BY325" s="260"/>
      <c r="BZ325" s="260"/>
      <c r="CA325" s="260"/>
      <c r="CB325" s="260"/>
      <c r="CC325" s="260"/>
      <c r="CD325" s="260">
        <v>20</v>
      </c>
      <c r="CE325" s="260">
        <v>80</v>
      </c>
      <c r="CF325" s="272"/>
      <c r="CG325" s="260"/>
      <c r="CH325" s="260"/>
      <c r="CI325" s="260"/>
      <c r="CJ325" s="260"/>
      <c r="CK325" s="260"/>
      <c r="CL325" s="260"/>
      <c r="CM325" s="260"/>
      <c r="CN325" s="260">
        <v>5</v>
      </c>
      <c r="CO325" s="260">
        <v>20</v>
      </c>
      <c r="CP325" s="260">
        <v>5</v>
      </c>
      <c r="CQ325" s="260">
        <v>10</v>
      </c>
      <c r="CR325" s="260">
        <v>5</v>
      </c>
      <c r="CS325" s="270">
        <v>20</v>
      </c>
      <c r="CT325" s="319">
        <v>487</v>
      </c>
      <c r="CU325" s="249">
        <f>Table2821115[[#This Row],[D28 - BR/18]]/Table2821115[[#This Row],[D0 - BR/18]]</f>
        <v>8</v>
      </c>
      <c r="CV325" s="248">
        <f>Table2821115[[#This Row],[D28 - KS/17]]/Table2821115[[#This Row],[D0 - KS/17]]</f>
        <v>1</v>
      </c>
      <c r="CW325" s="248">
        <f>Table2821115[[#This Row],[D28 - Phu/13]]/Table2821115[[#This Row],[D0 - Phu/13]]</f>
        <v>4</v>
      </c>
      <c r="CX325" s="248">
        <f>Table2821115[[#This Row],[D28 - CO/17]]/Table2821115[[#This Row],[D0 - CO/17]]</f>
        <v>2</v>
      </c>
      <c r="CY325" s="248">
        <f>LOG(Table2821115[[#This Row],[BR/18 Fold]],2)</f>
        <v>3</v>
      </c>
      <c r="CZ325" s="248">
        <f>LOG(Table2821115[[#This Row],[KS/17 Fold]],2)</f>
        <v>0</v>
      </c>
      <c r="DA325" s="248">
        <f>LOG(Table2821115[[#This Row],[Phu/13 Fold]],2)</f>
        <v>2</v>
      </c>
      <c r="DB325" s="248">
        <f>LOG(Table2821115[[#This Row],[CO/17 Fold]],2)</f>
        <v>1</v>
      </c>
      <c r="DC325" s="248">
        <f>SUM(Table2821115[[#This Row],[BR/18 Log2]:[CO/17 Log2]])</f>
        <v>6</v>
      </c>
    </row>
    <row r="326" spans="1:107" ht="24" customHeight="1">
      <c r="A326" s="324">
        <v>488</v>
      </c>
      <c r="B326" s="190">
        <v>27803</v>
      </c>
      <c r="C326" s="190">
        <v>43845</v>
      </c>
      <c r="D326" s="189">
        <v>43</v>
      </c>
      <c r="E326" s="3" t="s">
        <v>61</v>
      </c>
      <c r="F326" s="143" t="s">
        <v>117</v>
      </c>
      <c r="G326" s="142">
        <v>24.20601733571138</v>
      </c>
      <c r="H326" s="11" t="s">
        <v>59</v>
      </c>
      <c r="I326" s="277" t="s">
        <v>62</v>
      </c>
      <c r="J326" s="260">
        <v>5</v>
      </c>
      <c r="K326" s="260">
        <v>5</v>
      </c>
      <c r="L326" s="260"/>
      <c r="M326" s="260"/>
      <c r="N326" s="260"/>
      <c r="O326" s="260"/>
      <c r="P326" s="260"/>
      <c r="Q326" s="260"/>
      <c r="R326" s="260"/>
      <c r="S326" s="260"/>
      <c r="T326" s="260"/>
      <c r="U326" s="260"/>
      <c r="V326" s="260">
        <v>5</v>
      </c>
      <c r="W326" s="260">
        <v>5</v>
      </c>
      <c r="X326" s="260">
        <v>5</v>
      </c>
      <c r="Y326" s="260">
        <v>320</v>
      </c>
      <c r="Z326" s="260">
        <v>5</v>
      </c>
      <c r="AA326" s="260">
        <v>640</v>
      </c>
      <c r="AB326" s="260">
        <v>5</v>
      </c>
      <c r="AC326" s="260">
        <v>160</v>
      </c>
      <c r="AD326" s="260"/>
      <c r="AE326" s="260"/>
      <c r="AF326" s="260"/>
      <c r="AG326" s="260"/>
      <c r="AH326" s="198">
        <v>488</v>
      </c>
      <c r="AI326" s="272">
        <v>5</v>
      </c>
      <c r="AJ326" s="271">
        <v>5</v>
      </c>
      <c r="AK326" s="260"/>
      <c r="AL326" s="260"/>
      <c r="AM326" s="260"/>
      <c r="AN326" s="260"/>
      <c r="AO326" s="260"/>
      <c r="AP326" s="260"/>
      <c r="AQ326" s="260"/>
      <c r="AR326" s="260"/>
      <c r="AS326" s="260"/>
      <c r="AT326" s="260"/>
      <c r="AU326" s="260">
        <v>20</v>
      </c>
      <c r="AV326" s="271">
        <v>160</v>
      </c>
      <c r="AW326" s="260">
        <v>40</v>
      </c>
      <c r="AX326" s="271">
        <v>160</v>
      </c>
      <c r="AY326" s="260">
        <v>20</v>
      </c>
      <c r="AZ326" s="271">
        <v>80</v>
      </c>
      <c r="BA326" s="276">
        <v>20</v>
      </c>
      <c r="BB326" s="276">
        <v>80</v>
      </c>
      <c r="BC326" s="276"/>
      <c r="BD326" s="276"/>
      <c r="BE326" s="276">
        <v>20</v>
      </c>
      <c r="BF326" s="276">
        <v>80</v>
      </c>
      <c r="BG326" s="260">
        <v>40</v>
      </c>
      <c r="BH326" s="271">
        <v>160</v>
      </c>
      <c r="BI326" s="276"/>
      <c r="BJ326" s="276"/>
      <c r="BK326" s="276"/>
      <c r="BL326" s="275"/>
      <c r="BM326" s="323">
        <v>488</v>
      </c>
      <c r="BN326" s="272">
        <v>5</v>
      </c>
      <c r="BO326" s="270">
        <v>40</v>
      </c>
      <c r="BP326" s="272"/>
      <c r="BQ326" s="260"/>
      <c r="BR326" s="260"/>
      <c r="BS326" s="260"/>
      <c r="BT326" s="260"/>
      <c r="BU326" s="260"/>
      <c r="BV326" s="260">
        <v>5</v>
      </c>
      <c r="BW326" s="260">
        <v>160</v>
      </c>
      <c r="BX326" s="260"/>
      <c r="BY326" s="260"/>
      <c r="BZ326" s="260"/>
      <c r="CA326" s="260"/>
      <c r="CB326" s="260"/>
      <c r="CC326" s="260"/>
      <c r="CD326" s="260">
        <v>5</v>
      </c>
      <c r="CE326" s="260">
        <v>80</v>
      </c>
      <c r="CF326" s="272"/>
      <c r="CG326" s="260"/>
      <c r="CH326" s="260"/>
      <c r="CI326" s="260"/>
      <c r="CJ326" s="260"/>
      <c r="CK326" s="260"/>
      <c r="CL326" s="260"/>
      <c r="CM326" s="260"/>
      <c r="CN326" s="260">
        <v>10</v>
      </c>
      <c r="CO326" s="260">
        <v>160</v>
      </c>
      <c r="CP326" s="260">
        <v>20</v>
      </c>
      <c r="CQ326" s="260">
        <v>160</v>
      </c>
      <c r="CR326" s="260">
        <v>20</v>
      </c>
      <c r="CS326" s="270">
        <v>320</v>
      </c>
      <c r="CT326" s="322">
        <v>488</v>
      </c>
      <c r="CU326" s="249">
        <f>Table2821115[[#This Row],[D28 - BR/18]]/Table2821115[[#This Row],[D0 - BR/18]]</f>
        <v>32</v>
      </c>
      <c r="CV326" s="248">
        <f>Table2821115[[#This Row],[D28 - KS/17]]/Table2821115[[#This Row],[D0 - KS/17]]</f>
        <v>4</v>
      </c>
      <c r="CW326" s="248">
        <f>Table2821115[[#This Row],[D28 - Phu/13]]/Table2821115[[#This Row],[D0 - Phu/13]]</f>
        <v>16</v>
      </c>
      <c r="CX326" s="248">
        <f>Table2821115[[#This Row],[D28 - CO/17]]/Table2821115[[#This Row],[D0 - CO/17]]</f>
        <v>8</v>
      </c>
      <c r="CY326" s="248">
        <f>LOG(Table2821115[[#This Row],[BR/18 Fold]],2)</f>
        <v>5</v>
      </c>
      <c r="CZ326" s="248">
        <f>LOG(Table2821115[[#This Row],[KS/17 Fold]],2)</f>
        <v>2</v>
      </c>
      <c r="DA326" s="248">
        <f>LOG(Table2821115[[#This Row],[Phu/13 Fold]],2)</f>
        <v>4</v>
      </c>
      <c r="DB326" s="248">
        <f>LOG(Table2821115[[#This Row],[CO/17 Fold]],2)</f>
        <v>3</v>
      </c>
      <c r="DC326" s="248">
        <f>SUM(Table2821115[[#This Row],[BR/18 Log2]:[CO/17 Log2]])</f>
        <v>14</v>
      </c>
    </row>
    <row r="327" spans="1:107" ht="24" customHeight="1">
      <c r="A327" s="321">
        <v>489</v>
      </c>
      <c r="B327" s="183">
        <v>33492</v>
      </c>
      <c r="C327" s="183">
        <v>43845</v>
      </c>
      <c r="D327" s="182">
        <v>28</v>
      </c>
      <c r="E327" s="4" t="s">
        <v>58</v>
      </c>
      <c r="F327" s="143" t="s">
        <v>116</v>
      </c>
      <c r="G327" s="142">
        <v>26.937169763397108</v>
      </c>
      <c r="H327" s="11" t="s">
        <v>59</v>
      </c>
      <c r="I327" s="277" t="s">
        <v>60</v>
      </c>
      <c r="J327" s="260">
        <v>5</v>
      </c>
      <c r="K327" s="260">
        <v>5</v>
      </c>
      <c r="L327" s="260"/>
      <c r="M327" s="260"/>
      <c r="N327" s="260"/>
      <c r="O327" s="260"/>
      <c r="P327" s="260"/>
      <c r="Q327" s="260"/>
      <c r="R327" s="260"/>
      <c r="S327" s="260"/>
      <c r="T327" s="260"/>
      <c r="U327" s="260"/>
      <c r="V327" s="260">
        <v>20</v>
      </c>
      <c r="W327" s="260">
        <v>10</v>
      </c>
      <c r="X327" s="260">
        <v>40</v>
      </c>
      <c r="Y327" s="260">
        <v>40</v>
      </c>
      <c r="Z327" s="260">
        <v>40</v>
      </c>
      <c r="AA327" s="260">
        <v>80</v>
      </c>
      <c r="AB327" s="260">
        <v>80</v>
      </c>
      <c r="AC327" s="260">
        <v>80</v>
      </c>
      <c r="AD327" s="260"/>
      <c r="AE327" s="260"/>
      <c r="AF327" s="260"/>
      <c r="AG327" s="260"/>
      <c r="AH327" s="32">
        <v>489</v>
      </c>
      <c r="AI327" s="272">
        <v>40</v>
      </c>
      <c r="AJ327" s="271">
        <v>40</v>
      </c>
      <c r="AK327" s="260"/>
      <c r="AL327" s="260"/>
      <c r="AM327" s="260"/>
      <c r="AN327" s="260"/>
      <c r="AO327" s="260"/>
      <c r="AP327" s="260"/>
      <c r="AQ327" s="260"/>
      <c r="AR327" s="260"/>
      <c r="AS327" s="260"/>
      <c r="AT327" s="260"/>
      <c r="AU327" s="260">
        <v>40</v>
      </c>
      <c r="AV327" s="271">
        <v>40</v>
      </c>
      <c r="AW327" s="260">
        <v>10</v>
      </c>
      <c r="AX327" s="271">
        <v>20</v>
      </c>
      <c r="AY327" s="260">
        <v>5</v>
      </c>
      <c r="AZ327" s="271">
        <v>5</v>
      </c>
      <c r="BA327" s="276">
        <v>20</v>
      </c>
      <c r="BB327" s="276">
        <v>20</v>
      </c>
      <c r="BC327" s="276"/>
      <c r="BD327" s="276"/>
      <c r="BE327" s="276">
        <v>5</v>
      </c>
      <c r="BF327" s="276">
        <v>5</v>
      </c>
      <c r="BG327" s="260">
        <v>10</v>
      </c>
      <c r="BH327" s="271">
        <v>10</v>
      </c>
      <c r="BI327" s="276"/>
      <c r="BJ327" s="276"/>
      <c r="BK327" s="276"/>
      <c r="BL327" s="275"/>
      <c r="BM327" s="320">
        <v>489</v>
      </c>
      <c r="BN327" s="272">
        <v>160</v>
      </c>
      <c r="BO327" s="270">
        <v>320</v>
      </c>
      <c r="BP327" s="272"/>
      <c r="BQ327" s="260"/>
      <c r="BR327" s="260"/>
      <c r="BS327" s="260"/>
      <c r="BT327" s="260"/>
      <c r="BU327" s="260"/>
      <c r="BV327" s="260">
        <v>320</v>
      </c>
      <c r="BW327" s="260">
        <v>320</v>
      </c>
      <c r="BX327" s="260"/>
      <c r="BY327" s="260"/>
      <c r="BZ327" s="260"/>
      <c r="CA327" s="260"/>
      <c r="CB327" s="260"/>
      <c r="CC327" s="260"/>
      <c r="CD327" s="260">
        <v>160</v>
      </c>
      <c r="CE327" s="260">
        <v>160</v>
      </c>
      <c r="CF327" s="272"/>
      <c r="CG327" s="260"/>
      <c r="CH327" s="260"/>
      <c r="CI327" s="260"/>
      <c r="CJ327" s="260"/>
      <c r="CK327" s="260"/>
      <c r="CL327" s="260"/>
      <c r="CM327" s="260"/>
      <c r="CN327" s="260">
        <v>40</v>
      </c>
      <c r="CO327" s="260">
        <v>40</v>
      </c>
      <c r="CP327" s="260">
        <v>40</v>
      </c>
      <c r="CQ327" s="260">
        <v>40</v>
      </c>
      <c r="CR327" s="260">
        <v>10</v>
      </c>
      <c r="CS327" s="270">
        <v>20</v>
      </c>
      <c r="CT327" s="319">
        <v>489</v>
      </c>
      <c r="CU327" s="249">
        <f>Table2821115[[#This Row],[D28 - BR/18]]/Table2821115[[#This Row],[D0 - BR/18]]</f>
        <v>1</v>
      </c>
      <c r="CV327" s="248">
        <f>Table2821115[[#This Row],[D28 - KS/17]]/Table2821115[[#This Row],[D0 - KS/17]]</f>
        <v>1</v>
      </c>
      <c r="CW327" s="248">
        <f>Table2821115[[#This Row],[D28 - Phu/13]]/Table2821115[[#This Row],[D0 - Phu/13]]</f>
        <v>1</v>
      </c>
      <c r="CX327" s="248">
        <f>Table2821115[[#This Row],[D28 - CO/17]]/Table2821115[[#This Row],[D0 - CO/17]]</f>
        <v>1</v>
      </c>
      <c r="CY327" s="248">
        <f>LOG(Table2821115[[#This Row],[BR/18 Fold]],2)</f>
        <v>0</v>
      </c>
      <c r="CZ327" s="248">
        <f>LOG(Table2821115[[#This Row],[KS/17 Fold]],2)</f>
        <v>0</v>
      </c>
      <c r="DA327" s="248">
        <f>LOG(Table2821115[[#This Row],[Phu/13 Fold]],2)</f>
        <v>0</v>
      </c>
      <c r="DB327" s="248">
        <f>LOG(Table2821115[[#This Row],[CO/17 Fold]],2)</f>
        <v>0</v>
      </c>
      <c r="DC327" s="248">
        <f>SUM(Table2821115[[#This Row],[BR/18 Log2]:[CO/17 Log2]])</f>
        <v>0</v>
      </c>
    </row>
    <row r="328" spans="1:107" ht="24" customHeight="1">
      <c r="A328" s="324">
        <v>490</v>
      </c>
      <c r="B328" s="190">
        <v>28457</v>
      </c>
      <c r="C328" s="190">
        <v>43846</v>
      </c>
      <c r="D328" s="189">
        <v>42</v>
      </c>
      <c r="E328" s="4" t="s">
        <v>58</v>
      </c>
      <c r="F328" s="143" t="s">
        <v>116</v>
      </c>
      <c r="G328" s="142">
        <v>25.479822936823659</v>
      </c>
      <c r="H328" s="11" t="s">
        <v>59</v>
      </c>
      <c r="I328" s="277" t="s">
        <v>60</v>
      </c>
      <c r="J328" s="260">
        <v>5</v>
      </c>
      <c r="K328" s="260">
        <v>5</v>
      </c>
      <c r="L328" s="260"/>
      <c r="M328" s="260"/>
      <c r="N328" s="260"/>
      <c r="O328" s="260"/>
      <c r="P328" s="260"/>
      <c r="Q328" s="260"/>
      <c r="R328" s="260"/>
      <c r="S328" s="260"/>
      <c r="T328" s="260"/>
      <c r="U328" s="260"/>
      <c r="V328" s="260">
        <v>5</v>
      </c>
      <c r="W328" s="260">
        <v>5</v>
      </c>
      <c r="X328" s="260">
        <v>5</v>
      </c>
      <c r="Y328" s="260">
        <v>40</v>
      </c>
      <c r="Z328" s="260">
        <v>40</v>
      </c>
      <c r="AA328" s="260">
        <v>160</v>
      </c>
      <c r="AB328" s="260">
        <v>40</v>
      </c>
      <c r="AC328" s="260">
        <v>80</v>
      </c>
      <c r="AD328" s="260"/>
      <c r="AE328" s="260"/>
      <c r="AF328" s="260"/>
      <c r="AG328" s="260"/>
      <c r="AH328" s="198">
        <v>490</v>
      </c>
      <c r="AI328" s="272">
        <v>5</v>
      </c>
      <c r="AJ328" s="271">
        <v>40</v>
      </c>
      <c r="AK328" s="260"/>
      <c r="AL328" s="260"/>
      <c r="AM328" s="260"/>
      <c r="AN328" s="260"/>
      <c r="AO328" s="260"/>
      <c r="AP328" s="260"/>
      <c r="AQ328" s="260"/>
      <c r="AR328" s="260"/>
      <c r="AS328" s="260"/>
      <c r="AT328" s="260"/>
      <c r="AU328" s="260">
        <v>5</v>
      </c>
      <c r="AV328" s="271">
        <v>80</v>
      </c>
      <c r="AW328" s="260">
        <v>10</v>
      </c>
      <c r="AX328" s="271">
        <v>80</v>
      </c>
      <c r="AY328" s="260">
        <v>5</v>
      </c>
      <c r="AZ328" s="271">
        <v>10</v>
      </c>
      <c r="BA328" s="276">
        <v>5</v>
      </c>
      <c r="BB328" s="276">
        <v>80</v>
      </c>
      <c r="BC328" s="276"/>
      <c r="BD328" s="276"/>
      <c r="BE328" s="276">
        <v>5</v>
      </c>
      <c r="BF328" s="276">
        <v>40</v>
      </c>
      <c r="BG328" s="260">
        <v>40</v>
      </c>
      <c r="BH328" s="271">
        <v>80</v>
      </c>
      <c r="BI328" s="276"/>
      <c r="BJ328" s="276"/>
      <c r="BK328" s="276"/>
      <c r="BL328" s="275"/>
      <c r="BM328" s="323">
        <v>490</v>
      </c>
      <c r="BN328" s="272">
        <v>40</v>
      </c>
      <c r="BO328" s="270">
        <v>80</v>
      </c>
      <c r="BP328" s="272"/>
      <c r="BQ328" s="260"/>
      <c r="BR328" s="260"/>
      <c r="BS328" s="260"/>
      <c r="BT328" s="260"/>
      <c r="BU328" s="260"/>
      <c r="BV328" s="260">
        <v>5</v>
      </c>
      <c r="BW328" s="260">
        <v>5</v>
      </c>
      <c r="BX328" s="260"/>
      <c r="BY328" s="260"/>
      <c r="BZ328" s="260"/>
      <c r="CA328" s="260"/>
      <c r="CB328" s="260"/>
      <c r="CC328" s="260"/>
      <c r="CD328" s="260">
        <v>20</v>
      </c>
      <c r="CE328" s="260">
        <v>80</v>
      </c>
      <c r="CF328" s="272"/>
      <c r="CG328" s="260"/>
      <c r="CH328" s="260"/>
      <c r="CI328" s="260"/>
      <c r="CJ328" s="260"/>
      <c r="CK328" s="260"/>
      <c r="CL328" s="260"/>
      <c r="CM328" s="260"/>
      <c r="CN328" s="260">
        <v>40</v>
      </c>
      <c r="CO328" s="260">
        <v>40</v>
      </c>
      <c r="CP328" s="260">
        <v>80</v>
      </c>
      <c r="CQ328" s="260">
        <v>80</v>
      </c>
      <c r="CR328" s="260">
        <v>80</v>
      </c>
      <c r="CS328" s="270">
        <v>80</v>
      </c>
      <c r="CT328" s="322">
        <v>490</v>
      </c>
      <c r="CU328" s="249">
        <f>Table2821115[[#This Row],[D28 - BR/18]]/Table2821115[[#This Row],[D0 - BR/18]]</f>
        <v>2</v>
      </c>
      <c r="CV328" s="248">
        <f>Table2821115[[#This Row],[D28 - KS/17]]/Table2821115[[#This Row],[D0 - KS/17]]</f>
        <v>8</v>
      </c>
      <c r="CW328" s="248">
        <f>Table2821115[[#This Row],[D28 - Phu/13]]/Table2821115[[#This Row],[D0 - Phu/13]]</f>
        <v>4</v>
      </c>
      <c r="CX328" s="248">
        <f>Table2821115[[#This Row],[D28 - CO/17]]/Table2821115[[#This Row],[D0 - CO/17]]</f>
        <v>1</v>
      </c>
      <c r="CY328" s="248">
        <f>LOG(Table2821115[[#This Row],[BR/18 Fold]],2)</f>
        <v>1</v>
      </c>
      <c r="CZ328" s="248">
        <f>LOG(Table2821115[[#This Row],[KS/17 Fold]],2)</f>
        <v>3</v>
      </c>
      <c r="DA328" s="248">
        <f>LOG(Table2821115[[#This Row],[Phu/13 Fold]],2)</f>
        <v>2</v>
      </c>
      <c r="DB328" s="248">
        <f>LOG(Table2821115[[#This Row],[CO/17 Fold]],2)</f>
        <v>0</v>
      </c>
      <c r="DC328" s="248">
        <f>SUM(Table2821115[[#This Row],[BR/18 Log2]:[CO/17 Log2]])</f>
        <v>6</v>
      </c>
    </row>
    <row r="329" spans="1:107" ht="24" customHeight="1">
      <c r="A329" s="324">
        <v>491</v>
      </c>
      <c r="B329" s="190">
        <v>30341</v>
      </c>
      <c r="C329" s="190">
        <v>43847</v>
      </c>
      <c r="D329" s="189">
        <v>36</v>
      </c>
      <c r="E329" s="4" t="s">
        <v>58</v>
      </c>
      <c r="F329" s="143" t="s">
        <v>116</v>
      </c>
      <c r="G329" s="142">
        <v>37.740842104108495</v>
      </c>
      <c r="H329" s="11" t="s">
        <v>59</v>
      </c>
      <c r="I329" s="277" t="s">
        <v>60</v>
      </c>
      <c r="J329" s="260">
        <v>5</v>
      </c>
      <c r="K329" s="260">
        <v>5</v>
      </c>
      <c r="L329" s="260"/>
      <c r="M329" s="260"/>
      <c r="N329" s="260"/>
      <c r="O329" s="260"/>
      <c r="P329" s="260"/>
      <c r="Q329" s="260"/>
      <c r="R329" s="260"/>
      <c r="S329" s="260"/>
      <c r="T329" s="260"/>
      <c r="U329" s="260"/>
      <c r="V329" s="260">
        <v>5</v>
      </c>
      <c r="W329" s="260">
        <v>5</v>
      </c>
      <c r="X329" s="260">
        <v>5</v>
      </c>
      <c r="Y329" s="260">
        <v>40</v>
      </c>
      <c r="Z329" s="260">
        <v>80</v>
      </c>
      <c r="AA329" s="260">
        <v>80</v>
      </c>
      <c r="AB329" s="260">
        <v>40</v>
      </c>
      <c r="AC329" s="260">
        <v>80</v>
      </c>
      <c r="AD329" s="260"/>
      <c r="AE329" s="260"/>
      <c r="AF329" s="260"/>
      <c r="AG329" s="260"/>
      <c r="AH329" s="198">
        <v>491</v>
      </c>
      <c r="AI329" s="272">
        <v>5</v>
      </c>
      <c r="AJ329" s="271">
        <v>10</v>
      </c>
      <c r="AK329" s="260"/>
      <c r="AL329" s="260"/>
      <c r="AM329" s="260"/>
      <c r="AN329" s="260"/>
      <c r="AO329" s="260"/>
      <c r="AP329" s="260"/>
      <c r="AQ329" s="260"/>
      <c r="AR329" s="260"/>
      <c r="AS329" s="260"/>
      <c r="AT329" s="260"/>
      <c r="AU329" s="260">
        <v>20</v>
      </c>
      <c r="AV329" s="271">
        <v>80</v>
      </c>
      <c r="AW329" s="260">
        <v>20</v>
      </c>
      <c r="AX329" s="271">
        <v>160</v>
      </c>
      <c r="AY329" s="260">
        <v>5</v>
      </c>
      <c r="AZ329" s="271">
        <v>5</v>
      </c>
      <c r="BA329" s="276">
        <v>10</v>
      </c>
      <c r="BB329" s="276">
        <v>40</v>
      </c>
      <c r="BC329" s="276"/>
      <c r="BD329" s="276"/>
      <c r="BE329" s="276">
        <v>10</v>
      </c>
      <c r="BF329" s="276">
        <v>40</v>
      </c>
      <c r="BG329" s="260">
        <v>20</v>
      </c>
      <c r="BH329" s="271">
        <v>40</v>
      </c>
      <c r="BI329" s="276"/>
      <c r="BJ329" s="276"/>
      <c r="BK329" s="276"/>
      <c r="BL329" s="275"/>
      <c r="BM329" s="323">
        <v>491</v>
      </c>
      <c r="BN329" s="272">
        <v>40</v>
      </c>
      <c r="BO329" s="270">
        <v>80</v>
      </c>
      <c r="BP329" s="272"/>
      <c r="BQ329" s="260"/>
      <c r="BR329" s="260"/>
      <c r="BS329" s="260"/>
      <c r="BT329" s="260"/>
      <c r="BU329" s="260"/>
      <c r="BV329" s="260">
        <v>5</v>
      </c>
      <c r="BW329" s="260">
        <v>5</v>
      </c>
      <c r="BX329" s="260"/>
      <c r="BY329" s="260"/>
      <c r="BZ329" s="260"/>
      <c r="CA329" s="260"/>
      <c r="CB329" s="260"/>
      <c r="CC329" s="260"/>
      <c r="CD329" s="260">
        <v>20</v>
      </c>
      <c r="CE329" s="260">
        <v>40</v>
      </c>
      <c r="CF329" s="272"/>
      <c r="CG329" s="260"/>
      <c r="CH329" s="260"/>
      <c r="CI329" s="260"/>
      <c r="CJ329" s="260"/>
      <c r="CK329" s="260"/>
      <c r="CL329" s="260"/>
      <c r="CM329" s="260"/>
      <c r="CN329" s="260">
        <v>10</v>
      </c>
      <c r="CO329" s="260">
        <v>20</v>
      </c>
      <c r="CP329" s="260">
        <v>20</v>
      </c>
      <c r="CQ329" s="260">
        <v>40</v>
      </c>
      <c r="CR329" s="260">
        <v>20</v>
      </c>
      <c r="CS329" s="270">
        <v>40</v>
      </c>
      <c r="CT329" s="322">
        <v>491</v>
      </c>
      <c r="CU329" s="249">
        <f>Table2821115[[#This Row],[D28 - BR/18]]/Table2821115[[#This Row],[D0 - BR/18]]</f>
        <v>2</v>
      </c>
      <c r="CV329" s="248">
        <f>Table2821115[[#This Row],[D28 - KS/17]]/Table2821115[[#This Row],[D0 - KS/17]]</f>
        <v>4</v>
      </c>
      <c r="CW329" s="248">
        <f>Table2821115[[#This Row],[D28 - Phu/13]]/Table2821115[[#This Row],[D0 - Phu/13]]</f>
        <v>2</v>
      </c>
      <c r="CX329" s="248">
        <f>Table2821115[[#This Row],[D28 - CO/17]]/Table2821115[[#This Row],[D0 - CO/17]]</f>
        <v>2</v>
      </c>
      <c r="CY329" s="248">
        <f>LOG(Table2821115[[#This Row],[BR/18 Fold]],2)</f>
        <v>1</v>
      </c>
      <c r="CZ329" s="248">
        <f>LOG(Table2821115[[#This Row],[KS/17 Fold]],2)</f>
        <v>2</v>
      </c>
      <c r="DA329" s="248">
        <f>LOG(Table2821115[[#This Row],[Phu/13 Fold]],2)</f>
        <v>1</v>
      </c>
      <c r="DB329" s="248">
        <f>LOG(Table2821115[[#This Row],[CO/17 Fold]],2)</f>
        <v>1</v>
      </c>
      <c r="DC329" s="248">
        <f>SUM(Table2821115[[#This Row],[BR/18 Log2]:[CO/17 Log2]])</f>
        <v>5</v>
      </c>
    </row>
    <row r="330" spans="1:107" ht="24" customHeight="1">
      <c r="A330" s="324">
        <v>492</v>
      </c>
      <c r="B330" s="190">
        <v>28322</v>
      </c>
      <c r="C330" s="190">
        <v>43859</v>
      </c>
      <c r="D330" s="189">
        <v>42</v>
      </c>
      <c r="E330" s="4" t="s">
        <v>58</v>
      </c>
      <c r="F330" s="143" t="s">
        <v>116</v>
      </c>
      <c r="G330" s="142">
        <v>26.463115359096509</v>
      </c>
      <c r="H330" s="11" t="s">
        <v>59</v>
      </c>
      <c r="I330" s="277" t="s">
        <v>62</v>
      </c>
      <c r="J330" s="260">
        <v>5</v>
      </c>
      <c r="K330" s="260">
        <v>5</v>
      </c>
      <c r="L330" s="260"/>
      <c r="M330" s="260"/>
      <c r="N330" s="260"/>
      <c r="O330" s="260"/>
      <c r="P330" s="260"/>
      <c r="Q330" s="260"/>
      <c r="R330" s="260"/>
      <c r="S330" s="260"/>
      <c r="T330" s="260"/>
      <c r="U330" s="260"/>
      <c r="V330" s="260">
        <v>5</v>
      </c>
      <c r="W330" s="260">
        <v>5</v>
      </c>
      <c r="X330" s="260">
        <v>5</v>
      </c>
      <c r="Y330" s="260">
        <v>5</v>
      </c>
      <c r="Z330" s="260">
        <v>5</v>
      </c>
      <c r="AA330" s="260">
        <v>5</v>
      </c>
      <c r="AB330" s="260">
        <v>5</v>
      </c>
      <c r="AC330" s="260">
        <v>10</v>
      </c>
      <c r="AD330" s="260"/>
      <c r="AE330" s="260"/>
      <c r="AF330" s="260"/>
      <c r="AG330" s="260"/>
      <c r="AH330" s="198">
        <v>492</v>
      </c>
      <c r="AI330" s="272">
        <v>5</v>
      </c>
      <c r="AJ330" s="271">
        <v>5</v>
      </c>
      <c r="AK330" s="260"/>
      <c r="AL330" s="260"/>
      <c r="AM330" s="260"/>
      <c r="AN330" s="260"/>
      <c r="AO330" s="260"/>
      <c r="AP330" s="260"/>
      <c r="AQ330" s="260"/>
      <c r="AR330" s="260"/>
      <c r="AS330" s="260"/>
      <c r="AT330" s="260"/>
      <c r="AU330" s="260">
        <v>5</v>
      </c>
      <c r="AV330" s="271">
        <v>5</v>
      </c>
      <c r="AW330" s="260">
        <v>5</v>
      </c>
      <c r="AX330" s="271">
        <v>20</v>
      </c>
      <c r="AY330" s="260">
        <v>5</v>
      </c>
      <c r="AZ330" s="271">
        <v>5</v>
      </c>
      <c r="BA330" s="276">
        <v>5</v>
      </c>
      <c r="BB330" s="276">
        <v>10</v>
      </c>
      <c r="BC330" s="276"/>
      <c r="BD330" s="276"/>
      <c r="BE330" s="276">
        <v>5</v>
      </c>
      <c r="BF330" s="276">
        <v>10</v>
      </c>
      <c r="BG330" s="260">
        <v>5</v>
      </c>
      <c r="BH330" s="271">
        <v>10</v>
      </c>
      <c r="BI330" s="276"/>
      <c r="BJ330" s="276"/>
      <c r="BK330" s="276"/>
      <c r="BL330" s="275"/>
      <c r="BM330" s="323">
        <v>492</v>
      </c>
      <c r="BN330" s="272">
        <v>5</v>
      </c>
      <c r="BO330" s="270">
        <v>20</v>
      </c>
      <c r="BP330" s="272"/>
      <c r="BQ330" s="260"/>
      <c r="BR330" s="260"/>
      <c r="BS330" s="260"/>
      <c r="BT330" s="260"/>
      <c r="BU330" s="260"/>
      <c r="BV330" s="260">
        <v>5</v>
      </c>
      <c r="BW330" s="260">
        <v>5</v>
      </c>
      <c r="BX330" s="260"/>
      <c r="BY330" s="260"/>
      <c r="BZ330" s="260"/>
      <c r="CA330" s="260"/>
      <c r="CB330" s="260"/>
      <c r="CC330" s="260"/>
      <c r="CD330" s="260">
        <v>5</v>
      </c>
      <c r="CE330" s="260">
        <v>20</v>
      </c>
      <c r="CF330" s="272"/>
      <c r="CG330" s="260"/>
      <c r="CH330" s="260"/>
      <c r="CI330" s="260"/>
      <c r="CJ330" s="260"/>
      <c r="CK330" s="260"/>
      <c r="CL330" s="260"/>
      <c r="CM330" s="260"/>
      <c r="CN330" s="260">
        <v>80</v>
      </c>
      <c r="CO330" s="260">
        <v>80</v>
      </c>
      <c r="CP330" s="260">
        <v>320</v>
      </c>
      <c r="CQ330" s="260">
        <v>160</v>
      </c>
      <c r="CR330" s="260">
        <v>160</v>
      </c>
      <c r="CS330" s="270">
        <v>160</v>
      </c>
      <c r="CT330" s="322">
        <v>492</v>
      </c>
      <c r="CU330" s="249">
        <f>Table2821115[[#This Row],[D28 - BR/18]]/Table2821115[[#This Row],[D0 - BR/18]]</f>
        <v>2</v>
      </c>
      <c r="CV330" s="248">
        <f>Table2821115[[#This Row],[D28 - KS/17]]/Table2821115[[#This Row],[D0 - KS/17]]</f>
        <v>2</v>
      </c>
      <c r="CW330" s="248">
        <f>Table2821115[[#This Row],[D28 - Phu/13]]/Table2821115[[#This Row],[D0 - Phu/13]]</f>
        <v>4</v>
      </c>
      <c r="CX330" s="248">
        <f>Table2821115[[#This Row],[D28 - CO/17]]/Table2821115[[#This Row],[D0 - CO/17]]</f>
        <v>0.5</v>
      </c>
      <c r="CY330" s="248">
        <f>LOG(Table2821115[[#This Row],[BR/18 Fold]],2)</f>
        <v>1</v>
      </c>
      <c r="CZ330" s="248">
        <f>LOG(Table2821115[[#This Row],[KS/17 Fold]],2)</f>
        <v>1</v>
      </c>
      <c r="DA330" s="248">
        <f>LOG(Table2821115[[#This Row],[Phu/13 Fold]],2)</f>
        <v>2</v>
      </c>
      <c r="DB330" s="248">
        <f>LOG(Table2821115[[#This Row],[CO/17 Fold]],2)</f>
        <v>-1</v>
      </c>
      <c r="DC330" s="248">
        <f>SUM(Table2821115[[#This Row],[BR/18 Log2]:[CO/17 Log2]])</f>
        <v>3</v>
      </c>
    </row>
    <row r="331" spans="1:107" ht="24" customHeight="1">
      <c r="A331" s="324">
        <v>493</v>
      </c>
      <c r="B331" s="190">
        <v>30435</v>
      </c>
      <c r="C331" s="190">
        <v>43851</v>
      </c>
      <c r="D331" s="189">
        <v>36</v>
      </c>
      <c r="E331" s="4" t="s">
        <v>58</v>
      </c>
      <c r="F331" s="143" t="s">
        <v>116</v>
      </c>
      <c r="G331" s="142">
        <v>28.608465803385585</v>
      </c>
      <c r="H331" s="11" t="s">
        <v>59</v>
      </c>
      <c r="I331" s="277" t="s">
        <v>60</v>
      </c>
      <c r="J331" s="260">
        <v>5</v>
      </c>
      <c r="K331" s="260">
        <v>5</v>
      </c>
      <c r="L331" s="260"/>
      <c r="M331" s="260"/>
      <c r="N331" s="260"/>
      <c r="O331" s="260"/>
      <c r="P331" s="260"/>
      <c r="Q331" s="260"/>
      <c r="R331" s="260"/>
      <c r="S331" s="260"/>
      <c r="T331" s="260"/>
      <c r="U331" s="260"/>
      <c r="V331" s="260">
        <v>5</v>
      </c>
      <c r="W331" s="260">
        <v>5</v>
      </c>
      <c r="X331" s="260">
        <v>10</v>
      </c>
      <c r="Y331" s="260">
        <v>80</v>
      </c>
      <c r="Z331" s="260">
        <v>20</v>
      </c>
      <c r="AA331" s="260">
        <v>160</v>
      </c>
      <c r="AB331" s="260">
        <v>20</v>
      </c>
      <c r="AC331" s="260">
        <v>80</v>
      </c>
      <c r="AD331" s="260"/>
      <c r="AE331" s="260"/>
      <c r="AF331" s="260"/>
      <c r="AG331" s="260"/>
      <c r="AH331" s="198">
        <v>493</v>
      </c>
      <c r="AI331" s="272">
        <v>10</v>
      </c>
      <c r="AJ331" s="271">
        <v>10</v>
      </c>
      <c r="AK331" s="260"/>
      <c r="AL331" s="260"/>
      <c r="AM331" s="260"/>
      <c r="AN331" s="260"/>
      <c r="AO331" s="260"/>
      <c r="AP331" s="260"/>
      <c r="AQ331" s="260"/>
      <c r="AR331" s="260"/>
      <c r="AS331" s="260"/>
      <c r="AT331" s="260"/>
      <c r="AU331" s="260">
        <v>5</v>
      </c>
      <c r="AV331" s="271">
        <v>20</v>
      </c>
      <c r="AW331" s="260">
        <v>5</v>
      </c>
      <c r="AX331" s="271">
        <v>20</v>
      </c>
      <c r="AY331" s="260">
        <v>5</v>
      </c>
      <c r="AZ331" s="271">
        <v>20</v>
      </c>
      <c r="BA331" s="276">
        <v>5</v>
      </c>
      <c r="BB331" s="276">
        <v>10</v>
      </c>
      <c r="BC331" s="276"/>
      <c r="BD331" s="276"/>
      <c r="BE331" s="276">
        <v>5</v>
      </c>
      <c r="BF331" s="276">
        <v>10</v>
      </c>
      <c r="BG331" s="260">
        <v>20</v>
      </c>
      <c r="BH331" s="271">
        <v>20</v>
      </c>
      <c r="BI331" s="276"/>
      <c r="BJ331" s="276"/>
      <c r="BK331" s="276"/>
      <c r="BL331" s="275"/>
      <c r="BM331" s="323">
        <v>493</v>
      </c>
      <c r="BN331" s="272">
        <v>5</v>
      </c>
      <c r="BO331" s="270">
        <v>320</v>
      </c>
      <c r="BP331" s="272"/>
      <c r="BQ331" s="260"/>
      <c r="BR331" s="260"/>
      <c r="BS331" s="260"/>
      <c r="BT331" s="260"/>
      <c r="BU331" s="260"/>
      <c r="BV331" s="260">
        <v>5</v>
      </c>
      <c r="BW331" s="260">
        <v>320</v>
      </c>
      <c r="BX331" s="260"/>
      <c r="BY331" s="260"/>
      <c r="BZ331" s="260"/>
      <c r="CA331" s="260"/>
      <c r="CB331" s="260"/>
      <c r="CC331" s="260"/>
      <c r="CD331" s="260">
        <v>5</v>
      </c>
      <c r="CE331" s="260">
        <v>160</v>
      </c>
      <c r="CF331" s="272"/>
      <c r="CG331" s="260"/>
      <c r="CH331" s="260"/>
      <c r="CI331" s="260"/>
      <c r="CJ331" s="260"/>
      <c r="CK331" s="260"/>
      <c r="CL331" s="260"/>
      <c r="CM331" s="260"/>
      <c r="CN331" s="260">
        <v>5</v>
      </c>
      <c r="CO331" s="260">
        <v>40</v>
      </c>
      <c r="CP331" s="260">
        <v>10</v>
      </c>
      <c r="CQ331" s="260">
        <v>40</v>
      </c>
      <c r="CR331" s="260">
        <v>10</v>
      </c>
      <c r="CS331" s="270">
        <v>80</v>
      </c>
      <c r="CT331" s="322">
        <v>493</v>
      </c>
      <c r="CU331" s="249">
        <f>Table2821115[[#This Row],[D28 - BR/18]]/Table2821115[[#This Row],[D0 - BR/18]]</f>
        <v>4</v>
      </c>
      <c r="CV331" s="248">
        <f>Table2821115[[#This Row],[D28 - KS/17]]/Table2821115[[#This Row],[D0 - KS/17]]</f>
        <v>2</v>
      </c>
      <c r="CW331" s="248">
        <f>Table2821115[[#This Row],[D28 - Phu/13]]/Table2821115[[#This Row],[D0 - Phu/13]]</f>
        <v>32</v>
      </c>
      <c r="CX331" s="248">
        <f>Table2821115[[#This Row],[D28 - CO/17]]/Table2821115[[#This Row],[D0 - CO/17]]</f>
        <v>4</v>
      </c>
      <c r="CY331" s="248">
        <f>LOG(Table2821115[[#This Row],[BR/18 Fold]],2)</f>
        <v>2</v>
      </c>
      <c r="CZ331" s="248">
        <f>LOG(Table2821115[[#This Row],[KS/17 Fold]],2)</f>
        <v>1</v>
      </c>
      <c r="DA331" s="248">
        <f>LOG(Table2821115[[#This Row],[Phu/13 Fold]],2)</f>
        <v>5</v>
      </c>
      <c r="DB331" s="248">
        <f>LOG(Table2821115[[#This Row],[CO/17 Fold]],2)</f>
        <v>2</v>
      </c>
      <c r="DC331" s="248">
        <f>SUM(Table2821115[[#This Row],[BR/18 Log2]:[CO/17 Log2]])</f>
        <v>10</v>
      </c>
    </row>
    <row r="332" spans="1:107" ht="24" customHeight="1">
      <c r="A332" s="324">
        <v>494</v>
      </c>
      <c r="B332" s="190">
        <v>29253</v>
      </c>
      <c r="C332" s="190">
        <v>43852</v>
      </c>
      <c r="D332" s="189">
        <v>39</v>
      </c>
      <c r="E332" s="3" t="s">
        <v>61</v>
      </c>
      <c r="F332" s="143" t="s">
        <v>116</v>
      </c>
      <c r="G332" s="142">
        <v>32.367763217701672</v>
      </c>
      <c r="H332" s="11" t="s">
        <v>59</v>
      </c>
      <c r="I332" s="277" t="s">
        <v>60</v>
      </c>
      <c r="J332" s="260">
        <v>5</v>
      </c>
      <c r="K332" s="260">
        <v>5</v>
      </c>
      <c r="L332" s="260"/>
      <c r="M332" s="260"/>
      <c r="N332" s="260"/>
      <c r="O332" s="260"/>
      <c r="P332" s="260"/>
      <c r="Q332" s="260"/>
      <c r="R332" s="260"/>
      <c r="S332" s="260"/>
      <c r="T332" s="260"/>
      <c r="U332" s="260"/>
      <c r="V332" s="260">
        <v>5</v>
      </c>
      <c r="W332" s="260">
        <v>5</v>
      </c>
      <c r="X332" s="260">
        <v>5</v>
      </c>
      <c r="Y332" s="260">
        <v>40</v>
      </c>
      <c r="Z332" s="260">
        <v>5</v>
      </c>
      <c r="AA332" s="260">
        <v>5</v>
      </c>
      <c r="AB332" s="260">
        <v>5</v>
      </c>
      <c r="AC332" s="260">
        <v>80</v>
      </c>
      <c r="AD332" s="260"/>
      <c r="AE332" s="260"/>
      <c r="AF332" s="260"/>
      <c r="AG332" s="260"/>
      <c r="AH332" s="198">
        <v>494</v>
      </c>
      <c r="AI332" s="272">
        <v>5</v>
      </c>
      <c r="AJ332" s="271">
        <v>5</v>
      </c>
      <c r="AK332" s="260"/>
      <c r="AL332" s="260"/>
      <c r="AM332" s="260"/>
      <c r="AN332" s="260"/>
      <c r="AO332" s="260"/>
      <c r="AP332" s="260"/>
      <c r="AQ332" s="260"/>
      <c r="AR332" s="260"/>
      <c r="AS332" s="260"/>
      <c r="AT332" s="260"/>
      <c r="AU332" s="260">
        <v>5</v>
      </c>
      <c r="AV332" s="271">
        <v>80</v>
      </c>
      <c r="AW332" s="260">
        <v>5</v>
      </c>
      <c r="AX332" s="271">
        <v>160</v>
      </c>
      <c r="AY332" s="260">
        <v>5</v>
      </c>
      <c r="AZ332" s="271">
        <v>40</v>
      </c>
      <c r="BA332" s="276">
        <v>5</v>
      </c>
      <c r="BB332" s="276">
        <v>40</v>
      </c>
      <c r="BC332" s="276"/>
      <c r="BD332" s="276"/>
      <c r="BE332" s="276">
        <v>5</v>
      </c>
      <c r="BF332" s="276">
        <v>80</v>
      </c>
      <c r="BG332" s="260">
        <v>80</v>
      </c>
      <c r="BH332" s="271">
        <v>80</v>
      </c>
      <c r="BI332" s="276"/>
      <c r="BJ332" s="276"/>
      <c r="BK332" s="276"/>
      <c r="BL332" s="275"/>
      <c r="BM332" s="323">
        <v>494</v>
      </c>
      <c r="BN332" s="272">
        <v>5</v>
      </c>
      <c r="BO332" s="270">
        <v>80</v>
      </c>
      <c r="BP332" s="272"/>
      <c r="BQ332" s="260"/>
      <c r="BR332" s="260"/>
      <c r="BS332" s="260"/>
      <c r="BT332" s="260"/>
      <c r="BU332" s="260"/>
      <c r="BV332" s="260">
        <v>5</v>
      </c>
      <c r="BW332" s="260">
        <v>5</v>
      </c>
      <c r="BX332" s="260"/>
      <c r="BY332" s="260"/>
      <c r="BZ332" s="260"/>
      <c r="CA332" s="260"/>
      <c r="CB332" s="260"/>
      <c r="CC332" s="260"/>
      <c r="CD332" s="260">
        <v>5</v>
      </c>
      <c r="CE332" s="260">
        <v>40</v>
      </c>
      <c r="CF332" s="272"/>
      <c r="CG332" s="260"/>
      <c r="CH332" s="260"/>
      <c r="CI332" s="260"/>
      <c r="CJ332" s="260"/>
      <c r="CK332" s="260"/>
      <c r="CL332" s="260"/>
      <c r="CM332" s="260"/>
      <c r="CN332" s="260">
        <v>10</v>
      </c>
      <c r="CO332" s="260">
        <v>80</v>
      </c>
      <c r="CP332" s="260">
        <v>20</v>
      </c>
      <c r="CQ332" s="260">
        <v>160</v>
      </c>
      <c r="CR332" s="260">
        <v>10</v>
      </c>
      <c r="CS332" s="270">
        <v>160</v>
      </c>
      <c r="CT332" s="322">
        <v>494</v>
      </c>
      <c r="CU332" s="249">
        <f>Table2821115[[#This Row],[D28 - BR/18]]/Table2821115[[#This Row],[D0 - BR/18]]</f>
        <v>16</v>
      </c>
      <c r="CV332" s="248">
        <f>Table2821115[[#This Row],[D28 - KS/17]]/Table2821115[[#This Row],[D0 - KS/17]]</f>
        <v>16</v>
      </c>
      <c r="CW332" s="248">
        <f>Table2821115[[#This Row],[D28 - Phu/13]]/Table2821115[[#This Row],[D0 - Phu/13]]</f>
        <v>8</v>
      </c>
      <c r="CX332" s="248">
        <f>Table2821115[[#This Row],[D28 - CO/17]]/Table2821115[[#This Row],[D0 - CO/17]]</f>
        <v>8</v>
      </c>
      <c r="CY332" s="248">
        <f>LOG(Table2821115[[#This Row],[BR/18 Fold]],2)</f>
        <v>4</v>
      </c>
      <c r="CZ332" s="248">
        <f>LOG(Table2821115[[#This Row],[KS/17 Fold]],2)</f>
        <v>4</v>
      </c>
      <c r="DA332" s="248">
        <f>LOG(Table2821115[[#This Row],[Phu/13 Fold]],2)</f>
        <v>3</v>
      </c>
      <c r="DB332" s="248">
        <f>LOG(Table2821115[[#This Row],[CO/17 Fold]],2)</f>
        <v>3</v>
      </c>
      <c r="DC332" s="248">
        <f>SUM(Table2821115[[#This Row],[BR/18 Log2]:[CO/17 Log2]])</f>
        <v>14</v>
      </c>
    </row>
    <row r="333" spans="1:107" ht="24" customHeight="1">
      <c r="A333" s="324">
        <v>495</v>
      </c>
      <c r="B333" s="190">
        <v>28959</v>
      </c>
      <c r="C333" s="190">
        <v>43853</v>
      </c>
      <c r="D333" s="189">
        <v>40</v>
      </c>
      <c r="E333" s="3" t="s">
        <v>61</v>
      </c>
      <c r="F333" s="143" t="s">
        <v>117</v>
      </c>
      <c r="G333" s="142">
        <v>45.820312499999993</v>
      </c>
      <c r="H333" s="11" t="s">
        <v>59</v>
      </c>
      <c r="I333" s="277" t="s">
        <v>62</v>
      </c>
      <c r="J333" s="260">
        <v>5</v>
      </c>
      <c r="K333" s="260">
        <v>5</v>
      </c>
      <c r="L333" s="260"/>
      <c r="M333" s="260"/>
      <c r="N333" s="260"/>
      <c r="O333" s="260"/>
      <c r="P333" s="260"/>
      <c r="Q333" s="260"/>
      <c r="R333" s="260"/>
      <c r="S333" s="260"/>
      <c r="T333" s="260"/>
      <c r="U333" s="260"/>
      <c r="V333" s="260">
        <v>5</v>
      </c>
      <c r="W333" s="260">
        <v>5</v>
      </c>
      <c r="X333" s="260">
        <v>320</v>
      </c>
      <c r="Y333" s="260">
        <v>320</v>
      </c>
      <c r="Z333" s="260">
        <v>640</v>
      </c>
      <c r="AA333" s="260">
        <v>640</v>
      </c>
      <c r="AB333" s="260">
        <v>640</v>
      </c>
      <c r="AC333" s="260">
        <v>640</v>
      </c>
      <c r="AD333" s="260"/>
      <c r="AE333" s="260"/>
      <c r="AF333" s="260"/>
      <c r="AG333" s="260"/>
      <c r="AH333" s="198">
        <v>495</v>
      </c>
      <c r="AI333" s="272">
        <v>20</v>
      </c>
      <c r="AJ333" s="271">
        <v>20</v>
      </c>
      <c r="AK333" s="260"/>
      <c r="AL333" s="260"/>
      <c r="AM333" s="260"/>
      <c r="AN333" s="260"/>
      <c r="AO333" s="260"/>
      <c r="AP333" s="260"/>
      <c r="AQ333" s="260"/>
      <c r="AR333" s="260"/>
      <c r="AS333" s="260"/>
      <c r="AT333" s="260"/>
      <c r="AU333" s="260">
        <v>20</v>
      </c>
      <c r="AV333" s="271">
        <v>20</v>
      </c>
      <c r="AW333" s="260">
        <v>20</v>
      </c>
      <c r="AX333" s="271">
        <v>40</v>
      </c>
      <c r="AY333" s="260">
        <v>5</v>
      </c>
      <c r="AZ333" s="271">
        <v>10</v>
      </c>
      <c r="BA333" s="276">
        <v>5</v>
      </c>
      <c r="BB333" s="276">
        <v>20</v>
      </c>
      <c r="BC333" s="276"/>
      <c r="BD333" s="276"/>
      <c r="BE333" s="276">
        <v>40</v>
      </c>
      <c r="BF333" s="276">
        <v>40</v>
      </c>
      <c r="BG333" s="260">
        <v>20</v>
      </c>
      <c r="BH333" s="271">
        <v>20</v>
      </c>
      <c r="BI333" s="276"/>
      <c r="BJ333" s="276"/>
      <c r="BK333" s="276"/>
      <c r="BL333" s="275"/>
      <c r="BM333" s="323">
        <v>495</v>
      </c>
      <c r="BN333" s="272">
        <v>5</v>
      </c>
      <c r="BO333" s="270">
        <v>40</v>
      </c>
      <c r="BP333" s="272"/>
      <c r="BQ333" s="260"/>
      <c r="BR333" s="260"/>
      <c r="BS333" s="260"/>
      <c r="BT333" s="260"/>
      <c r="BU333" s="260"/>
      <c r="BV333" s="260">
        <v>5</v>
      </c>
      <c r="BW333" s="260">
        <v>5</v>
      </c>
      <c r="BX333" s="260"/>
      <c r="BY333" s="260"/>
      <c r="BZ333" s="260"/>
      <c r="CA333" s="260"/>
      <c r="CB333" s="260"/>
      <c r="CC333" s="260"/>
      <c r="CD333" s="260">
        <v>40</v>
      </c>
      <c r="CE333" s="260">
        <v>160</v>
      </c>
      <c r="CF333" s="272"/>
      <c r="CG333" s="260"/>
      <c r="CH333" s="260"/>
      <c r="CI333" s="260"/>
      <c r="CJ333" s="260"/>
      <c r="CK333" s="260"/>
      <c r="CL333" s="260"/>
      <c r="CM333" s="260"/>
      <c r="CN333" s="260">
        <v>20</v>
      </c>
      <c r="CO333" s="260">
        <v>20</v>
      </c>
      <c r="CP333" s="260">
        <v>40</v>
      </c>
      <c r="CQ333" s="260">
        <v>40</v>
      </c>
      <c r="CR333" s="260">
        <v>20</v>
      </c>
      <c r="CS333" s="270">
        <v>40</v>
      </c>
      <c r="CT333" s="322">
        <v>495</v>
      </c>
      <c r="CU333" s="249">
        <f>Table2821115[[#This Row],[D28 - BR/18]]/Table2821115[[#This Row],[D0 - BR/18]]</f>
        <v>1</v>
      </c>
      <c r="CV333" s="248">
        <f>Table2821115[[#This Row],[D28 - KS/17]]/Table2821115[[#This Row],[D0 - KS/17]]</f>
        <v>1</v>
      </c>
      <c r="CW333" s="248">
        <f>Table2821115[[#This Row],[D28 - Phu/13]]/Table2821115[[#This Row],[D0 - Phu/13]]</f>
        <v>4</v>
      </c>
      <c r="CX333" s="248">
        <f>Table2821115[[#This Row],[D28 - CO/17]]/Table2821115[[#This Row],[D0 - CO/17]]</f>
        <v>1</v>
      </c>
      <c r="CY333" s="248">
        <f>LOG(Table2821115[[#This Row],[BR/18 Fold]],2)</f>
        <v>0</v>
      </c>
      <c r="CZ333" s="248">
        <f>LOG(Table2821115[[#This Row],[KS/17 Fold]],2)</f>
        <v>0</v>
      </c>
      <c r="DA333" s="248">
        <f>LOG(Table2821115[[#This Row],[Phu/13 Fold]],2)</f>
        <v>2</v>
      </c>
      <c r="DB333" s="248">
        <f>LOG(Table2821115[[#This Row],[CO/17 Fold]],2)</f>
        <v>0</v>
      </c>
      <c r="DC333" s="248">
        <f>SUM(Table2821115[[#This Row],[BR/18 Log2]:[CO/17 Log2]])</f>
        <v>2</v>
      </c>
    </row>
    <row r="334" spans="1:107" ht="24" customHeight="1">
      <c r="A334" s="324">
        <v>496</v>
      </c>
      <c r="B334" s="190">
        <v>28280</v>
      </c>
      <c r="C334" s="190">
        <v>43853</v>
      </c>
      <c r="D334" s="189">
        <v>42</v>
      </c>
      <c r="E334" s="3" t="s">
        <v>61</v>
      </c>
      <c r="F334" s="143" t="s">
        <v>123</v>
      </c>
      <c r="G334" s="142">
        <v>44.232938670150361</v>
      </c>
      <c r="H334" s="11" t="s">
        <v>59</v>
      </c>
      <c r="I334" s="277" t="s">
        <v>60</v>
      </c>
      <c r="J334" s="260">
        <v>5</v>
      </c>
      <c r="K334" s="260">
        <v>5</v>
      </c>
      <c r="L334" s="260"/>
      <c r="M334" s="260"/>
      <c r="N334" s="260"/>
      <c r="O334" s="260"/>
      <c r="P334" s="260"/>
      <c r="Q334" s="260"/>
      <c r="R334" s="260"/>
      <c r="S334" s="260"/>
      <c r="T334" s="260"/>
      <c r="U334" s="260"/>
      <c r="V334" s="260">
        <v>5</v>
      </c>
      <c r="W334" s="260">
        <v>5</v>
      </c>
      <c r="X334" s="260">
        <v>80</v>
      </c>
      <c r="Y334" s="260">
        <v>80</v>
      </c>
      <c r="Z334" s="260">
        <v>160</v>
      </c>
      <c r="AA334" s="260">
        <v>160</v>
      </c>
      <c r="AB334" s="260">
        <v>80</v>
      </c>
      <c r="AC334" s="260">
        <v>80</v>
      </c>
      <c r="AD334" s="260"/>
      <c r="AE334" s="260"/>
      <c r="AF334" s="260"/>
      <c r="AG334" s="260"/>
      <c r="AH334" s="198">
        <v>496</v>
      </c>
      <c r="AI334" s="272">
        <v>5</v>
      </c>
      <c r="AJ334" s="271">
        <v>5</v>
      </c>
      <c r="AK334" s="260"/>
      <c r="AL334" s="260"/>
      <c r="AM334" s="260"/>
      <c r="AN334" s="260"/>
      <c r="AO334" s="260"/>
      <c r="AP334" s="260"/>
      <c r="AQ334" s="260"/>
      <c r="AR334" s="260"/>
      <c r="AS334" s="260"/>
      <c r="AT334" s="260"/>
      <c r="AU334" s="260">
        <v>80</v>
      </c>
      <c r="AV334" s="271">
        <v>80</v>
      </c>
      <c r="AW334" s="260">
        <v>80</v>
      </c>
      <c r="AX334" s="271">
        <v>160</v>
      </c>
      <c r="AY334" s="260">
        <v>20</v>
      </c>
      <c r="AZ334" s="271">
        <v>40</v>
      </c>
      <c r="BA334" s="276">
        <v>80</v>
      </c>
      <c r="BB334" s="276">
        <v>40</v>
      </c>
      <c r="BC334" s="276"/>
      <c r="BD334" s="276"/>
      <c r="BE334" s="276">
        <v>80</v>
      </c>
      <c r="BF334" s="276">
        <v>80</v>
      </c>
      <c r="BG334" s="260">
        <v>160</v>
      </c>
      <c r="BH334" s="271">
        <v>80</v>
      </c>
      <c r="BI334" s="276"/>
      <c r="BJ334" s="276"/>
      <c r="BK334" s="276"/>
      <c r="BL334" s="275"/>
      <c r="BM334" s="323">
        <v>496</v>
      </c>
      <c r="BN334" s="272">
        <v>10</v>
      </c>
      <c r="BO334" s="270">
        <v>20</v>
      </c>
      <c r="BP334" s="272"/>
      <c r="BQ334" s="260"/>
      <c r="BR334" s="260"/>
      <c r="BS334" s="260"/>
      <c r="BT334" s="260"/>
      <c r="BU334" s="260"/>
      <c r="BV334" s="260">
        <v>5</v>
      </c>
      <c r="BW334" s="260">
        <v>5</v>
      </c>
      <c r="BX334" s="260"/>
      <c r="BY334" s="260"/>
      <c r="BZ334" s="260"/>
      <c r="CA334" s="260"/>
      <c r="CB334" s="260"/>
      <c r="CC334" s="260"/>
      <c r="CD334" s="260">
        <v>40</v>
      </c>
      <c r="CE334" s="260">
        <v>80</v>
      </c>
      <c r="CF334" s="272"/>
      <c r="CG334" s="260"/>
      <c r="CH334" s="260"/>
      <c r="CI334" s="260"/>
      <c r="CJ334" s="260"/>
      <c r="CK334" s="260"/>
      <c r="CL334" s="260"/>
      <c r="CM334" s="260"/>
      <c r="CN334" s="260">
        <v>80</v>
      </c>
      <c r="CO334" s="260">
        <v>80</v>
      </c>
      <c r="CP334" s="260">
        <v>160</v>
      </c>
      <c r="CQ334" s="260">
        <v>80</v>
      </c>
      <c r="CR334" s="260">
        <v>160</v>
      </c>
      <c r="CS334" s="270">
        <v>80</v>
      </c>
      <c r="CT334" s="322">
        <v>496</v>
      </c>
      <c r="CU334" s="249">
        <f>Table2821115[[#This Row],[D28 - BR/18]]/Table2821115[[#This Row],[D0 - BR/18]]</f>
        <v>1</v>
      </c>
      <c r="CV334" s="248">
        <f>Table2821115[[#This Row],[D28 - KS/17]]/Table2821115[[#This Row],[D0 - KS/17]]</f>
        <v>1</v>
      </c>
      <c r="CW334" s="248">
        <f>Table2821115[[#This Row],[D28 - Phu/13]]/Table2821115[[#This Row],[D0 - Phu/13]]</f>
        <v>2</v>
      </c>
      <c r="CX334" s="248">
        <f>Table2821115[[#This Row],[D28 - CO/17]]/Table2821115[[#This Row],[D0 - CO/17]]</f>
        <v>0.5</v>
      </c>
      <c r="CY334" s="248">
        <f>LOG(Table2821115[[#This Row],[BR/18 Fold]],2)</f>
        <v>0</v>
      </c>
      <c r="CZ334" s="248">
        <f>LOG(Table2821115[[#This Row],[KS/17 Fold]],2)</f>
        <v>0</v>
      </c>
      <c r="DA334" s="248">
        <f>LOG(Table2821115[[#This Row],[Phu/13 Fold]],2)</f>
        <v>1</v>
      </c>
      <c r="DB334" s="248">
        <f>LOG(Table2821115[[#This Row],[CO/17 Fold]],2)</f>
        <v>-1</v>
      </c>
      <c r="DC334" s="248">
        <f>SUM(Table2821115[[#This Row],[BR/18 Log2]:[CO/17 Log2]])</f>
        <v>0</v>
      </c>
    </row>
    <row r="335" spans="1:107" ht="24" customHeight="1">
      <c r="A335" s="321">
        <v>497</v>
      </c>
      <c r="B335" s="183">
        <v>32345</v>
      </c>
      <c r="C335" s="183">
        <v>43851</v>
      </c>
      <c r="D335" s="182">
        <v>31</v>
      </c>
      <c r="E335" s="3" t="s">
        <v>61</v>
      </c>
      <c r="F335" s="143" t="s">
        <v>118</v>
      </c>
      <c r="G335" s="142">
        <v>35.381714411101349</v>
      </c>
      <c r="H335" s="11" t="s">
        <v>59</v>
      </c>
      <c r="I335" s="277" t="s">
        <v>60</v>
      </c>
      <c r="J335" s="260">
        <v>5</v>
      </c>
      <c r="K335" s="260">
        <v>5</v>
      </c>
      <c r="L335" s="260"/>
      <c r="M335" s="260"/>
      <c r="N335" s="260"/>
      <c r="O335" s="260"/>
      <c r="P335" s="260"/>
      <c r="Q335" s="260"/>
      <c r="R335" s="260"/>
      <c r="S335" s="260"/>
      <c r="T335" s="260"/>
      <c r="U335" s="260"/>
      <c r="V335" s="260">
        <v>5</v>
      </c>
      <c r="W335" s="260">
        <v>5</v>
      </c>
      <c r="X335" s="260">
        <v>80</v>
      </c>
      <c r="Y335" s="260">
        <v>80</v>
      </c>
      <c r="Z335" s="260">
        <v>160</v>
      </c>
      <c r="AA335" s="260">
        <v>160</v>
      </c>
      <c r="AB335" s="260">
        <v>80</v>
      </c>
      <c r="AC335" s="260">
        <v>80</v>
      </c>
      <c r="AD335" s="260"/>
      <c r="AE335" s="260"/>
      <c r="AF335" s="260"/>
      <c r="AG335" s="260"/>
      <c r="AH335" s="32">
        <v>497</v>
      </c>
      <c r="AI335" s="272">
        <v>40</v>
      </c>
      <c r="AJ335" s="271">
        <v>40</v>
      </c>
      <c r="AK335" s="260"/>
      <c r="AL335" s="260"/>
      <c r="AM335" s="260"/>
      <c r="AN335" s="260"/>
      <c r="AO335" s="260"/>
      <c r="AP335" s="260"/>
      <c r="AQ335" s="260"/>
      <c r="AR335" s="260"/>
      <c r="AS335" s="260"/>
      <c r="AT335" s="260"/>
      <c r="AU335" s="260">
        <v>80</v>
      </c>
      <c r="AV335" s="271">
        <v>80</v>
      </c>
      <c r="AW335" s="260">
        <v>40</v>
      </c>
      <c r="AX335" s="271">
        <v>40</v>
      </c>
      <c r="AY335" s="260">
        <v>5</v>
      </c>
      <c r="AZ335" s="271">
        <v>20</v>
      </c>
      <c r="BA335" s="276">
        <v>40</v>
      </c>
      <c r="BB335" s="276">
        <v>40</v>
      </c>
      <c r="BC335" s="276"/>
      <c r="BD335" s="276"/>
      <c r="BE335" s="276">
        <v>10</v>
      </c>
      <c r="BF335" s="276">
        <v>10</v>
      </c>
      <c r="BG335" s="260">
        <v>80</v>
      </c>
      <c r="BH335" s="271">
        <v>80</v>
      </c>
      <c r="BI335" s="276"/>
      <c r="BJ335" s="276"/>
      <c r="BK335" s="276"/>
      <c r="BL335" s="275"/>
      <c r="BM335" s="320">
        <v>497</v>
      </c>
      <c r="BN335" s="272">
        <v>80</v>
      </c>
      <c r="BO335" s="270">
        <v>160</v>
      </c>
      <c r="BP335" s="272"/>
      <c r="BQ335" s="260"/>
      <c r="BR335" s="260"/>
      <c r="BS335" s="260"/>
      <c r="BT335" s="260"/>
      <c r="BU335" s="260"/>
      <c r="BV335" s="260">
        <v>5</v>
      </c>
      <c r="BW335" s="260">
        <v>5</v>
      </c>
      <c r="BX335" s="260"/>
      <c r="BY335" s="260"/>
      <c r="BZ335" s="260"/>
      <c r="CA335" s="260"/>
      <c r="CB335" s="260"/>
      <c r="CC335" s="260"/>
      <c r="CD335" s="260">
        <v>80</v>
      </c>
      <c r="CE335" s="260">
        <v>80</v>
      </c>
      <c r="CF335" s="272"/>
      <c r="CG335" s="260"/>
      <c r="CH335" s="260"/>
      <c r="CI335" s="260"/>
      <c r="CJ335" s="260"/>
      <c r="CK335" s="260"/>
      <c r="CL335" s="260"/>
      <c r="CM335" s="260"/>
      <c r="CN335" s="260">
        <v>20</v>
      </c>
      <c r="CO335" s="260">
        <v>40</v>
      </c>
      <c r="CP335" s="260">
        <v>20</v>
      </c>
      <c r="CQ335" s="260">
        <v>40</v>
      </c>
      <c r="CR335" s="260">
        <v>10</v>
      </c>
      <c r="CS335" s="270">
        <v>40</v>
      </c>
      <c r="CT335" s="319">
        <v>497</v>
      </c>
      <c r="CU335" s="249">
        <f>Table2821115[[#This Row],[D28 - BR/18]]/Table2821115[[#This Row],[D0 - BR/18]]</f>
        <v>1</v>
      </c>
      <c r="CV335" s="248">
        <f>Table2821115[[#This Row],[D28 - KS/17]]/Table2821115[[#This Row],[D0 - KS/17]]</f>
        <v>1</v>
      </c>
      <c r="CW335" s="248">
        <f>Table2821115[[#This Row],[D28 - Phu/13]]/Table2821115[[#This Row],[D0 - Phu/13]]</f>
        <v>1</v>
      </c>
      <c r="CX335" s="248">
        <f>Table2821115[[#This Row],[D28 - CO/17]]/Table2821115[[#This Row],[D0 - CO/17]]</f>
        <v>2</v>
      </c>
      <c r="CY335" s="248">
        <f>LOG(Table2821115[[#This Row],[BR/18 Fold]],2)</f>
        <v>0</v>
      </c>
      <c r="CZ335" s="248">
        <f>LOG(Table2821115[[#This Row],[KS/17 Fold]],2)</f>
        <v>0</v>
      </c>
      <c r="DA335" s="248">
        <f>LOG(Table2821115[[#This Row],[Phu/13 Fold]],2)</f>
        <v>0</v>
      </c>
      <c r="DB335" s="248">
        <f>LOG(Table2821115[[#This Row],[CO/17 Fold]],2)</f>
        <v>1</v>
      </c>
      <c r="DC335" s="248">
        <f>SUM(Table2821115[[#This Row],[BR/18 Log2]:[CO/17 Log2]])</f>
        <v>1</v>
      </c>
    </row>
    <row r="336" spans="1:107" ht="24" customHeight="1">
      <c r="A336" s="321">
        <v>498</v>
      </c>
      <c r="B336" s="183">
        <v>36326</v>
      </c>
      <c r="C336" s="183">
        <v>43857</v>
      </c>
      <c r="D336" s="182">
        <v>20</v>
      </c>
      <c r="E336" s="4" t="s">
        <v>58</v>
      </c>
      <c r="F336" s="143" t="s">
        <v>63</v>
      </c>
      <c r="G336" s="142">
        <v>30.791659646821017</v>
      </c>
      <c r="H336" s="11" t="s">
        <v>59</v>
      </c>
      <c r="I336" s="277" t="s">
        <v>62</v>
      </c>
      <c r="J336" s="260">
        <v>5</v>
      </c>
      <c r="K336" s="260">
        <v>5</v>
      </c>
      <c r="L336" s="260"/>
      <c r="M336" s="260"/>
      <c r="N336" s="260"/>
      <c r="O336" s="260"/>
      <c r="P336" s="260"/>
      <c r="Q336" s="260"/>
      <c r="R336" s="260"/>
      <c r="S336" s="260"/>
      <c r="T336" s="260"/>
      <c r="U336" s="260"/>
      <c r="V336" s="260">
        <v>20</v>
      </c>
      <c r="W336" s="260">
        <v>20</v>
      </c>
      <c r="X336" s="260">
        <v>40</v>
      </c>
      <c r="Y336" s="260">
        <v>80</v>
      </c>
      <c r="Z336" s="260">
        <v>80</v>
      </c>
      <c r="AA336" s="260">
        <v>160</v>
      </c>
      <c r="AB336" s="260">
        <v>40</v>
      </c>
      <c r="AC336" s="260">
        <v>160</v>
      </c>
      <c r="AD336" s="260"/>
      <c r="AE336" s="260"/>
      <c r="AF336" s="260"/>
      <c r="AG336" s="260"/>
      <c r="AH336" s="32">
        <v>498</v>
      </c>
      <c r="AI336" s="272">
        <v>40</v>
      </c>
      <c r="AJ336" s="271">
        <v>80</v>
      </c>
      <c r="AK336" s="260"/>
      <c r="AL336" s="260"/>
      <c r="AM336" s="260"/>
      <c r="AN336" s="260"/>
      <c r="AO336" s="260"/>
      <c r="AP336" s="260"/>
      <c r="AQ336" s="260"/>
      <c r="AR336" s="260"/>
      <c r="AS336" s="260"/>
      <c r="AT336" s="260"/>
      <c r="AU336" s="260">
        <v>160</v>
      </c>
      <c r="AV336" s="271">
        <v>320</v>
      </c>
      <c r="AW336" s="260">
        <v>40</v>
      </c>
      <c r="AX336" s="271">
        <v>320</v>
      </c>
      <c r="AY336" s="260">
        <v>5</v>
      </c>
      <c r="AZ336" s="271">
        <v>160</v>
      </c>
      <c r="BA336" s="276">
        <v>160</v>
      </c>
      <c r="BB336" s="276">
        <v>320</v>
      </c>
      <c r="BC336" s="276"/>
      <c r="BD336" s="276"/>
      <c r="BE336" s="276">
        <v>20</v>
      </c>
      <c r="BF336" s="276">
        <v>160</v>
      </c>
      <c r="BG336" s="260">
        <v>320</v>
      </c>
      <c r="BH336" s="271">
        <v>320</v>
      </c>
      <c r="BI336" s="276"/>
      <c r="BJ336" s="276"/>
      <c r="BK336" s="276"/>
      <c r="BL336" s="275"/>
      <c r="BM336" s="320">
        <v>498</v>
      </c>
      <c r="BN336" s="272">
        <v>40</v>
      </c>
      <c r="BO336" s="270">
        <v>640</v>
      </c>
      <c r="BP336" s="272"/>
      <c r="BQ336" s="260"/>
      <c r="BR336" s="260"/>
      <c r="BS336" s="260"/>
      <c r="BT336" s="260"/>
      <c r="BU336" s="260"/>
      <c r="BV336" s="260">
        <v>5</v>
      </c>
      <c r="BW336" s="260">
        <v>1280</v>
      </c>
      <c r="BX336" s="260"/>
      <c r="BY336" s="260"/>
      <c r="BZ336" s="260"/>
      <c r="CA336" s="260"/>
      <c r="CB336" s="260"/>
      <c r="CC336" s="260"/>
      <c r="CD336" s="260">
        <v>80</v>
      </c>
      <c r="CE336" s="260">
        <v>640</v>
      </c>
      <c r="CF336" s="272"/>
      <c r="CG336" s="260"/>
      <c r="CH336" s="260"/>
      <c r="CI336" s="260"/>
      <c r="CJ336" s="260"/>
      <c r="CK336" s="260"/>
      <c r="CL336" s="260"/>
      <c r="CM336" s="260"/>
      <c r="CN336" s="260">
        <v>20</v>
      </c>
      <c r="CO336" s="260">
        <v>160</v>
      </c>
      <c r="CP336" s="260">
        <v>5</v>
      </c>
      <c r="CQ336" s="260">
        <v>160</v>
      </c>
      <c r="CR336" s="260">
        <v>5</v>
      </c>
      <c r="CS336" s="270">
        <v>80</v>
      </c>
      <c r="CT336" s="319">
        <v>498</v>
      </c>
      <c r="CU336" s="249">
        <f>Table2821115[[#This Row],[D28 - BR/18]]/Table2821115[[#This Row],[D0 - BR/18]]</f>
        <v>4</v>
      </c>
      <c r="CV336" s="248">
        <f>Table2821115[[#This Row],[D28 - KS/17]]/Table2821115[[#This Row],[D0 - KS/17]]</f>
        <v>8</v>
      </c>
      <c r="CW336" s="248">
        <f>Table2821115[[#This Row],[D28 - Phu/13]]/Table2821115[[#This Row],[D0 - Phu/13]]</f>
        <v>8</v>
      </c>
      <c r="CX336" s="248">
        <f>Table2821115[[#This Row],[D28 - CO/17]]/Table2821115[[#This Row],[D0 - CO/17]]</f>
        <v>32</v>
      </c>
      <c r="CY336" s="248">
        <f>LOG(Table2821115[[#This Row],[BR/18 Fold]],2)</f>
        <v>2</v>
      </c>
      <c r="CZ336" s="248">
        <f>LOG(Table2821115[[#This Row],[KS/17 Fold]],2)</f>
        <v>3</v>
      </c>
      <c r="DA336" s="248">
        <f>LOG(Table2821115[[#This Row],[Phu/13 Fold]],2)</f>
        <v>3</v>
      </c>
      <c r="DB336" s="248">
        <f>LOG(Table2821115[[#This Row],[CO/17 Fold]],2)</f>
        <v>5</v>
      </c>
      <c r="DC336" s="248">
        <f>SUM(Table2821115[[#This Row],[BR/18 Log2]:[CO/17 Log2]])</f>
        <v>13</v>
      </c>
    </row>
    <row r="337" spans="1:107" ht="24" customHeight="1">
      <c r="A337" s="324">
        <v>499</v>
      </c>
      <c r="B337" s="190">
        <v>28785</v>
      </c>
      <c r="C337" s="190">
        <v>43858</v>
      </c>
      <c r="D337" s="189">
        <v>41</v>
      </c>
      <c r="E337" s="3" t="s">
        <v>61</v>
      </c>
      <c r="F337" s="143" t="s">
        <v>123</v>
      </c>
      <c r="G337" s="142">
        <v>28.93733026626283</v>
      </c>
      <c r="H337" s="11" t="s">
        <v>59</v>
      </c>
      <c r="I337" s="277" t="s">
        <v>62</v>
      </c>
      <c r="J337" s="260">
        <v>5</v>
      </c>
      <c r="K337" s="260">
        <v>5</v>
      </c>
      <c r="L337" s="260"/>
      <c r="M337" s="260"/>
      <c r="N337" s="260"/>
      <c r="O337" s="260"/>
      <c r="P337" s="260"/>
      <c r="Q337" s="260"/>
      <c r="R337" s="260"/>
      <c r="S337" s="260"/>
      <c r="T337" s="260"/>
      <c r="U337" s="260"/>
      <c r="V337" s="260">
        <v>5</v>
      </c>
      <c r="W337" s="260">
        <v>5</v>
      </c>
      <c r="X337" s="260">
        <v>160</v>
      </c>
      <c r="Y337" s="260">
        <v>160</v>
      </c>
      <c r="Z337" s="260">
        <v>160</v>
      </c>
      <c r="AA337" s="260">
        <v>320</v>
      </c>
      <c r="AB337" s="260">
        <v>80</v>
      </c>
      <c r="AC337" s="260">
        <v>80</v>
      </c>
      <c r="AD337" s="260"/>
      <c r="AE337" s="260"/>
      <c r="AF337" s="260"/>
      <c r="AG337" s="260"/>
      <c r="AH337" s="198">
        <v>499</v>
      </c>
      <c r="AI337" s="272">
        <v>20</v>
      </c>
      <c r="AJ337" s="271">
        <v>20</v>
      </c>
      <c r="AK337" s="260"/>
      <c r="AL337" s="260"/>
      <c r="AM337" s="260"/>
      <c r="AN337" s="260"/>
      <c r="AO337" s="260"/>
      <c r="AP337" s="260"/>
      <c r="AQ337" s="260"/>
      <c r="AR337" s="260"/>
      <c r="AS337" s="260"/>
      <c r="AT337" s="260"/>
      <c r="AU337" s="260">
        <v>20</v>
      </c>
      <c r="AV337" s="271">
        <v>20</v>
      </c>
      <c r="AW337" s="260">
        <v>40</v>
      </c>
      <c r="AX337" s="271">
        <v>40</v>
      </c>
      <c r="AY337" s="260">
        <v>20</v>
      </c>
      <c r="AZ337" s="271">
        <v>20</v>
      </c>
      <c r="BA337" s="276">
        <v>20</v>
      </c>
      <c r="BB337" s="276">
        <v>20</v>
      </c>
      <c r="BC337" s="276"/>
      <c r="BD337" s="276"/>
      <c r="BE337" s="276">
        <v>5</v>
      </c>
      <c r="BF337" s="276">
        <v>20</v>
      </c>
      <c r="BG337" s="260">
        <v>40</v>
      </c>
      <c r="BH337" s="271">
        <v>20</v>
      </c>
      <c r="BI337" s="276"/>
      <c r="BJ337" s="276"/>
      <c r="BK337" s="276"/>
      <c r="BL337" s="275"/>
      <c r="BM337" s="323">
        <v>499</v>
      </c>
      <c r="BN337" s="272">
        <v>320</v>
      </c>
      <c r="BO337" s="270">
        <v>320</v>
      </c>
      <c r="BP337" s="272"/>
      <c r="BQ337" s="260"/>
      <c r="BR337" s="260"/>
      <c r="BS337" s="260"/>
      <c r="BT337" s="260"/>
      <c r="BU337" s="260"/>
      <c r="BV337" s="260">
        <v>5</v>
      </c>
      <c r="BW337" s="260">
        <v>5</v>
      </c>
      <c r="BX337" s="260"/>
      <c r="BY337" s="260"/>
      <c r="BZ337" s="260"/>
      <c r="CA337" s="260"/>
      <c r="CB337" s="260"/>
      <c r="CC337" s="260"/>
      <c r="CD337" s="260">
        <v>160</v>
      </c>
      <c r="CE337" s="260">
        <v>160</v>
      </c>
      <c r="CF337" s="272"/>
      <c r="CG337" s="260"/>
      <c r="CH337" s="260"/>
      <c r="CI337" s="260"/>
      <c r="CJ337" s="260"/>
      <c r="CK337" s="260"/>
      <c r="CL337" s="260"/>
      <c r="CM337" s="260"/>
      <c r="CN337" s="260">
        <v>160</v>
      </c>
      <c r="CO337" s="260">
        <v>160</v>
      </c>
      <c r="CP337" s="260">
        <v>320</v>
      </c>
      <c r="CQ337" s="260">
        <v>320</v>
      </c>
      <c r="CR337" s="260">
        <v>320</v>
      </c>
      <c r="CS337" s="270">
        <v>320</v>
      </c>
      <c r="CT337" s="322">
        <v>499</v>
      </c>
      <c r="CU337" s="249">
        <f>Table2821115[[#This Row],[D28 - BR/18]]/Table2821115[[#This Row],[D0 - BR/18]]</f>
        <v>1</v>
      </c>
      <c r="CV337" s="248">
        <f>Table2821115[[#This Row],[D28 - KS/17]]/Table2821115[[#This Row],[D0 - KS/17]]</f>
        <v>4</v>
      </c>
      <c r="CW337" s="248">
        <f>Table2821115[[#This Row],[D28 - Phu/13]]/Table2821115[[#This Row],[D0 - Phu/13]]</f>
        <v>1</v>
      </c>
      <c r="CX337" s="248">
        <f>Table2821115[[#This Row],[D28 - CO/17]]/Table2821115[[#This Row],[D0 - CO/17]]</f>
        <v>1</v>
      </c>
      <c r="CY337" s="248">
        <f>LOG(Table2821115[[#This Row],[BR/18 Fold]],2)</f>
        <v>0</v>
      </c>
      <c r="CZ337" s="248">
        <f>LOG(Table2821115[[#This Row],[KS/17 Fold]],2)</f>
        <v>2</v>
      </c>
      <c r="DA337" s="248">
        <f>LOG(Table2821115[[#This Row],[Phu/13 Fold]],2)</f>
        <v>0</v>
      </c>
      <c r="DB337" s="248">
        <f>LOG(Table2821115[[#This Row],[CO/17 Fold]],2)</f>
        <v>0</v>
      </c>
      <c r="DC337" s="248">
        <f>SUM(Table2821115[[#This Row],[BR/18 Log2]:[CO/17 Log2]])</f>
        <v>2</v>
      </c>
    </row>
    <row r="338" spans="1:107" ht="24" customHeight="1">
      <c r="A338" s="321">
        <v>500</v>
      </c>
      <c r="B338" s="183">
        <v>33959</v>
      </c>
      <c r="C338" s="183">
        <v>43866</v>
      </c>
      <c r="D338" s="182">
        <v>27</v>
      </c>
      <c r="E338" s="4" t="s">
        <v>58</v>
      </c>
      <c r="F338" s="143" t="s">
        <v>123</v>
      </c>
      <c r="G338" s="142">
        <v>31.943166295263971</v>
      </c>
      <c r="H338" s="11" t="s">
        <v>59</v>
      </c>
      <c r="I338" s="277" t="s">
        <v>62</v>
      </c>
      <c r="J338" s="260">
        <v>5</v>
      </c>
      <c r="K338" s="260">
        <v>5</v>
      </c>
      <c r="L338" s="260"/>
      <c r="M338" s="260"/>
      <c r="N338" s="260"/>
      <c r="O338" s="260"/>
      <c r="P338" s="260"/>
      <c r="Q338" s="260"/>
      <c r="R338" s="260"/>
      <c r="S338" s="260"/>
      <c r="T338" s="260"/>
      <c r="U338" s="260"/>
      <c r="V338" s="260">
        <v>40</v>
      </c>
      <c r="W338" s="260">
        <v>40</v>
      </c>
      <c r="X338" s="260">
        <v>160</v>
      </c>
      <c r="Y338" s="260">
        <v>160</v>
      </c>
      <c r="Z338" s="260">
        <v>320</v>
      </c>
      <c r="AA338" s="260">
        <v>320</v>
      </c>
      <c r="AB338" s="260">
        <v>160</v>
      </c>
      <c r="AC338" s="260">
        <v>160</v>
      </c>
      <c r="AD338" s="260"/>
      <c r="AE338" s="260"/>
      <c r="AF338" s="260"/>
      <c r="AG338" s="260"/>
      <c r="AH338" s="32">
        <v>500</v>
      </c>
      <c r="AI338" s="272">
        <v>80</v>
      </c>
      <c r="AJ338" s="271">
        <v>160</v>
      </c>
      <c r="AK338" s="260"/>
      <c r="AL338" s="260"/>
      <c r="AM338" s="260"/>
      <c r="AN338" s="260"/>
      <c r="AO338" s="260"/>
      <c r="AP338" s="260"/>
      <c r="AQ338" s="260"/>
      <c r="AR338" s="260"/>
      <c r="AS338" s="260"/>
      <c r="AT338" s="260"/>
      <c r="AU338" s="260">
        <v>160</v>
      </c>
      <c r="AV338" s="271">
        <v>320</v>
      </c>
      <c r="AW338" s="260">
        <v>80</v>
      </c>
      <c r="AX338" s="271">
        <v>320</v>
      </c>
      <c r="AY338" s="260">
        <v>80</v>
      </c>
      <c r="AZ338" s="271">
        <v>80</v>
      </c>
      <c r="BA338" s="276">
        <v>160</v>
      </c>
      <c r="BB338" s="276">
        <v>160</v>
      </c>
      <c r="BC338" s="276"/>
      <c r="BD338" s="276"/>
      <c r="BE338" s="276">
        <v>10</v>
      </c>
      <c r="BF338" s="276">
        <v>160</v>
      </c>
      <c r="BG338" s="260">
        <v>160</v>
      </c>
      <c r="BH338" s="271">
        <v>160</v>
      </c>
      <c r="BI338" s="276"/>
      <c r="BJ338" s="276"/>
      <c r="BK338" s="276"/>
      <c r="BL338" s="275"/>
      <c r="BM338" s="320">
        <v>500</v>
      </c>
      <c r="BN338" s="272">
        <v>80</v>
      </c>
      <c r="BO338" s="270">
        <v>80</v>
      </c>
      <c r="BP338" s="272"/>
      <c r="BQ338" s="260"/>
      <c r="BR338" s="260"/>
      <c r="BS338" s="260"/>
      <c r="BT338" s="260"/>
      <c r="BU338" s="260"/>
      <c r="BV338" s="260">
        <v>5</v>
      </c>
      <c r="BW338" s="260">
        <v>5</v>
      </c>
      <c r="BX338" s="260"/>
      <c r="BY338" s="260"/>
      <c r="BZ338" s="260"/>
      <c r="CA338" s="260"/>
      <c r="CB338" s="260"/>
      <c r="CC338" s="260"/>
      <c r="CD338" s="260">
        <v>160</v>
      </c>
      <c r="CE338" s="260">
        <v>160</v>
      </c>
      <c r="CF338" s="272"/>
      <c r="CG338" s="260"/>
      <c r="CH338" s="260"/>
      <c r="CI338" s="260"/>
      <c r="CJ338" s="260"/>
      <c r="CK338" s="260"/>
      <c r="CL338" s="260"/>
      <c r="CM338" s="260"/>
      <c r="CN338" s="260">
        <v>80</v>
      </c>
      <c r="CO338" s="260">
        <v>80</v>
      </c>
      <c r="CP338" s="260">
        <v>80</v>
      </c>
      <c r="CQ338" s="260">
        <v>80</v>
      </c>
      <c r="CR338" s="260">
        <v>80</v>
      </c>
      <c r="CS338" s="270">
        <v>80</v>
      </c>
      <c r="CT338" s="319">
        <v>500</v>
      </c>
      <c r="CU338" s="249">
        <f>Table2821115[[#This Row],[D28 - BR/18]]/Table2821115[[#This Row],[D0 - BR/18]]</f>
        <v>1</v>
      </c>
      <c r="CV338" s="248">
        <f>Table2821115[[#This Row],[D28 - KS/17]]/Table2821115[[#This Row],[D0 - KS/17]]</f>
        <v>16</v>
      </c>
      <c r="CW338" s="248">
        <f>Table2821115[[#This Row],[D28 - Phu/13]]/Table2821115[[#This Row],[D0 - Phu/13]]</f>
        <v>1</v>
      </c>
      <c r="CX338" s="248">
        <f>Table2821115[[#This Row],[D28 - CO/17]]/Table2821115[[#This Row],[D0 - CO/17]]</f>
        <v>1</v>
      </c>
      <c r="CY338" s="248">
        <f>LOG(Table2821115[[#This Row],[BR/18 Fold]],2)</f>
        <v>0</v>
      </c>
      <c r="CZ338" s="248">
        <f>LOG(Table2821115[[#This Row],[KS/17 Fold]],2)</f>
        <v>4</v>
      </c>
      <c r="DA338" s="248">
        <f>LOG(Table2821115[[#This Row],[Phu/13 Fold]],2)</f>
        <v>0</v>
      </c>
      <c r="DB338" s="248">
        <f>LOG(Table2821115[[#This Row],[CO/17 Fold]],2)</f>
        <v>0</v>
      </c>
      <c r="DC338" s="248">
        <f>SUM(Table2821115[[#This Row],[BR/18 Log2]:[CO/17 Log2]])</f>
        <v>4</v>
      </c>
    </row>
    <row r="339" spans="1:107" ht="24" customHeight="1">
      <c r="A339" s="324">
        <v>501</v>
      </c>
      <c r="B339" s="190">
        <v>25901</v>
      </c>
      <c r="C339" s="190">
        <v>43853</v>
      </c>
      <c r="D339" s="189">
        <v>49</v>
      </c>
      <c r="E339" s="3" t="s">
        <v>61</v>
      </c>
      <c r="F339" s="143" t="s">
        <v>117</v>
      </c>
      <c r="G339" s="142">
        <v>34.437627778205218</v>
      </c>
      <c r="H339" s="11" t="s">
        <v>59</v>
      </c>
      <c r="I339" s="277" t="s">
        <v>62</v>
      </c>
      <c r="J339" s="260">
        <v>5</v>
      </c>
      <c r="K339" s="260">
        <v>5</v>
      </c>
      <c r="L339" s="260"/>
      <c r="M339" s="260"/>
      <c r="N339" s="260"/>
      <c r="O339" s="260"/>
      <c r="P339" s="260"/>
      <c r="Q339" s="260"/>
      <c r="R339" s="260"/>
      <c r="S339" s="260"/>
      <c r="T339" s="260"/>
      <c r="U339" s="260"/>
      <c r="V339" s="260">
        <v>5</v>
      </c>
      <c r="W339" s="260">
        <v>5</v>
      </c>
      <c r="X339" s="260">
        <v>80</v>
      </c>
      <c r="Y339" s="260">
        <v>80</v>
      </c>
      <c r="Z339" s="260">
        <v>320</v>
      </c>
      <c r="AA339" s="260">
        <v>320</v>
      </c>
      <c r="AB339" s="260">
        <v>160</v>
      </c>
      <c r="AC339" s="260">
        <v>160</v>
      </c>
      <c r="AD339" s="260"/>
      <c r="AE339" s="260"/>
      <c r="AF339" s="260"/>
      <c r="AG339" s="260"/>
      <c r="AH339" s="198">
        <v>501</v>
      </c>
      <c r="AI339" s="272">
        <v>40</v>
      </c>
      <c r="AJ339" s="271">
        <v>320</v>
      </c>
      <c r="AK339" s="260"/>
      <c r="AL339" s="260"/>
      <c r="AM339" s="260"/>
      <c r="AN339" s="260"/>
      <c r="AO339" s="260"/>
      <c r="AP339" s="260"/>
      <c r="AQ339" s="260"/>
      <c r="AR339" s="260"/>
      <c r="AS339" s="260"/>
      <c r="AT339" s="260"/>
      <c r="AU339" s="260">
        <v>40</v>
      </c>
      <c r="AV339" s="271">
        <v>320</v>
      </c>
      <c r="AW339" s="260">
        <v>80</v>
      </c>
      <c r="AX339" s="271">
        <v>640</v>
      </c>
      <c r="AY339" s="260">
        <v>5</v>
      </c>
      <c r="AZ339" s="271">
        <v>80</v>
      </c>
      <c r="BA339" s="276">
        <v>40</v>
      </c>
      <c r="BB339" s="276">
        <v>160</v>
      </c>
      <c r="BC339" s="276"/>
      <c r="BD339" s="276"/>
      <c r="BE339" s="276">
        <v>5</v>
      </c>
      <c r="BF339" s="276">
        <v>320</v>
      </c>
      <c r="BG339" s="260">
        <v>80</v>
      </c>
      <c r="BH339" s="271">
        <v>640</v>
      </c>
      <c r="BI339" s="276"/>
      <c r="BJ339" s="276"/>
      <c r="BK339" s="276"/>
      <c r="BL339" s="275"/>
      <c r="BM339" s="323">
        <v>501</v>
      </c>
      <c r="BN339" s="272">
        <v>40</v>
      </c>
      <c r="BO339" s="270">
        <v>80</v>
      </c>
      <c r="BP339" s="272"/>
      <c r="BQ339" s="260"/>
      <c r="BR339" s="260"/>
      <c r="BS339" s="260"/>
      <c r="BT339" s="260"/>
      <c r="BU339" s="260"/>
      <c r="BV339" s="260">
        <v>5</v>
      </c>
      <c r="BW339" s="260">
        <v>5</v>
      </c>
      <c r="BX339" s="260"/>
      <c r="BY339" s="260"/>
      <c r="BZ339" s="260"/>
      <c r="CA339" s="260"/>
      <c r="CB339" s="260"/>
      <c r="CC339" s="260"/>
      <c r="CD339" s="260">
        <v>5</v>
      </c>
      <c r="CE339" s="260">
        <v>160</v>
      </c>
      <c r="CF339" s="272"/>
      <c r="CG339" s="260"/>
      <c r="CH339" s="260"/>
      <c r="CI339" s="260"/>
      <c r="CJ339" s="260"/>
      <c r="CK339" s="260"/>
      <c r="CL339" s="260"/>
      <c r="CM339" s="260"/>
      <c r="CN339" s="260">
        <v>80</v>
      </c>
      <c r="CO339" s="260">
        <v>320</v>
      </c>
      <c r="CP339" s="260">
        <v>160</v>
      </c>
      <c r="CQ339" s="260">
        <v>320</v>
      </c>
      <c r="CR339" s="260">
        <v>80</v>
      </c>
      <c r="CS339" s="270">
        <v>320</v>
      </c>
      <c r="CT339" s="322">
        <v>501</v>
      </c>
      <c r="CU339" s="249">
        <f>Table2821115[[#This Row],[D28 - BR/18]]/Table2821115[[#This Row],[D0 - BR/18]]</f>
        <v>1</v>
      </c>
      <c r="CV339" s="248">
        <f>Table2821115[[#This Row],[D28 - KS/17]]/Table2821115[[#This Row],[D0 - KS/17]]</f>
        <v>64</v>
      </c>
      <c r="CW339" s="248">
        <f>Table2821115[[#This Row],[D28 - Phu/13]]/Table2821115[[#This Row],[D0 - Phu/13]]</f>
        <v>32</v>
      </c>
      <c r="CX339" s="248">
        <f>Table2821115[[#This Row],[D28 - CO/17]]/Table2821115[[#This Row],[D0 - CO/17]]</f>
        <v>2</v>
      </c>
      <c r="CY339" s="248">
        <f>LOG(Table2821115[[#This Row],[BR/18 Fold]],2)</f>
        <v>0</v>
      </c>
      <c r="CZ339" s="248">
        <f>LOG(Table2821115[[#This Row],[KS/17 Fold]],2)</f>
        <v>6</v>
      </c>
      <c r="DA339" s="248">
        <f>LOG(Table2821115[[#This Row],[Phu/13 Fold]],2)</f>
        <v>5</v>
      </c>
      <c r="DB339" s="248">
        <f>LOG(Table2821115[[#This Row],[CO/17 Fold]],2)</f>
        <v>1</v>
      </c>
      <c r="DC339" s="248">
        <f>SUM(Table2821115[[#This Row],[BR/18 Log2]:[CO/17 Log2]])</f>
        <v>12</v>
      </c>
    </row>
    <row r="340" spans="1:107" ht="24" customHeight="1">
      <c r="A340" s="318">
        <v>502</v>
      </c>
      <c r="B340" s="180">
        <v>24444</v>
      </c>
      <c r="C340" s="180">
        <v>43854</v>
      </c>
      <c r="D340" s="179">
        <v>53</v>
      </c>
      <c r="E340" s="4" t="s">
        <v>58</v>
      </c>
      <c r="F340" s="143" t="s">
        <v>116</v>
      </c>
      <c r="G340" s="142">
        <v>25.432525951557096</v>
      </c>
      <c r="H340" s="11" t="s">
        <v>59</v>
      </c>
      <c r="I340" s="277" t="s">
        <v>62</v>
      </c>
      <c r="J340" s="260">
        <v>5</v>
      </c>
      <c r="K340" s="260">
        <v>5</v>
      </c>
      <c r="L340" s="260"/>
      <c r="M340" s="260"/>
      <c r="N340" s="260"/>
      <c r="O340" s="260"/>
      <c r="P340" s="260"/>
      <c r="Q340" s="260"/>
      <c r="R340" s="260"/>
      <c r="S340" s="260"/>
      <c r="T340" s="260"/>
      <c r="U340" s="260"/>
      <c r="V340" s="260">
        <v>5</v>
      </c>
      <c r="W340" s="260">
        <v>5</v>
      </c>
      <c r="X340" s="260">
        <v>5</v>
      </c>
      <c r="Y340" s="260">
        <v>5</v>
      </c>
      <c r="Z340" s="260">
        <v>5</v>
      </c>
      <c r="AA340" s="260">
        <v>160</v>
      </c>
      <c r="AB340" s="260">
        <v>5</v>
      </c>
      <c r="AC340" s="260">
        <v>80</v>
      </c>
      <c r="AD340" s="260"/>
      <c r="AE340" s="260"/>
      <c r="AF340" s="260"/>
      <c r="AG340" s="260"/>
      <c r="AH340" s="195">
        <v>502</v>
      </c>
      <c r="AI340" s="272">
        <v>5</v>
      </c>
      <c r="AJ340" s="271">
        <v>10</v>
      </c>
      <c r="AK340" s="260"/>
      <c r="AL340" s="260"/>
      <c r="AM340" s="260"/>
      <c r="AN340" s="260"/>
      <c r="AO340" s="260"/>
      <c r="AP340" s="260"/>
      <c r="AQ340" s="260"/>
      <c r="AR340" s="260"/>
      <c r="AS340" s="260"/>
      <c r="AT340" s="260"/>
      <c r="AU340" s="260">
        <v>5</v>
      </c>
      <c r="AV340" s="271">
        <v>5</v>
      </c>
      <c r="AW340" s="260">
        <v>5</v>
      </c>
      <c r="AX340" s="271">
        <v>80</v>
      </c>
      <c r="AY340" s="260">
        <v>5</v>
      </c>
      <c r="AZ340" s="271">
        <v>5</v>
      </c>
      <c r="BA340" s="276">
        <v>5</v>
      </c>
      <c r="BB340" s="276">
        <v>10</v>
      </c>
      <c r="BC340" s="276"/>
      <c r="BD340" s="276"/>
      <c r="BE340" s="276">
        <v>5</v>
      </c>
      <c r="BF340" s="276">
        <v>20</v>
      </c>
      <c r="BG340" s="260">
        <v>5</v>
      </c>
      <c r="BH340" s="271">
        <v>10</v>
      </c>
      <c r="BI340" s="276"/>
      <c r="BJ340" s="276"/>
      <c r="BK340" s="276"/>
      <c r="BL340" s="275"/>
      <c r="BM340" s="316">
        <v>502</v>
      </c>
      <c r="BN340" s="272">
        <v>40</v>
      </c>
      <c r="BO340" s="270">
        <v>80</v>
      </c>
      <c r="BP340" s="272"/>
      <c r="BQ340" s="260"/>
      <c r="BR340" s="260"/>
      <c r="BS340" s="260"/>
      <c r="BT340" s="260"/>
      <c r="BU340" s="260"/>
      <c r="BV340" s="260">
        <v>5</v>
      </c>
      <c r="BW340" s="260">
        <v>5</v>
      </c>
      <c r="BX340" s="260"/>
      <c r="BY340" s="260"/>
      <c r="BZ340" s="260"/>
      <c r="CA340" s="260"/>
      <c r="CB340" s="260"/>
      <c r="CC340" s="260"/>
      <c r="CD340" s="260">
        <v>40</v>
      </c>
      <c r="CE340" s="260">
        <v>40</v>
      </c>
      <c r="CF340" s="272"/>
      <c r="CG340" s="260"/>
      <c r="CH340" s="260"/>
      <c r="CI340" s="260"/>
      <c r="CJ340" s="260"/>
      <c r="CK340" s="260"/>
      <c r="CL340" s="260"/>
      <c r="CM340" s="260"/>
      <c r="CN340" s="260">
        <v>80</v>
      </c>
      <c r="CO340" s="260">
        <v>80</v>
      </c>
      <c r="CP340" s="260">
        <v>160</v>
      </c>
      <c r="CQ340" s="260">
        <v>80</v>
      </c>
      <c r="CR340" s="260">
        <v>160</v>
      </c>
      <c r="CS340" s="270">
        <v>160</v>
      </c>
      <c r="CT340" s="315">
        <v>502</v>
      </c>
      <c r="CU340" s="249">
        <f>Table2821115[[#This Row],[D28 - BR/18]]/Table2821115[[#This Row],[D0 - BR/18]]</f>
        <v>16</v>
      </c>
      <c r="CV340" s="248">
        <f>Table2821115[[#This Row],[D28 - KS/17]]/Table2821115[[#This Row],[D0 - KS/17]]</f>
        <v>4</v>
      </c>
      <c r="CW340" s="248">
        <f>Table2821115[[#This Row],[D28 - Phu/13]]/Table2821115[[#This Row],[D0 - Phu/13]]</f>
        <v>1</v>
      </c>
      <c r="CX340" s="248">
        <f>Table2821115[[#This Row],[D28 - CO/17]]/Table2821115[[#This Row],[D0 - CO/17]]</f>
        <v>0.5</v>
      </c>
      <c r="CY340" s="248">
        <f>LOG(Table2821115[[#This Row],[BR/18 Fold]],2)</f>
        <v>4</v>
      </c>
      <c r="CZ340" s="248">
        <f>LOG(Table2821115[[#This Row],[KS/17 Fold]],2)</f>
        <v>2</v>
      </c>
      <c r="DA340" s="248">
        <f>LOG(Table2821115[[#This Row],[Phu/13 Fold]],2)</f>
        <v>0</v>
      </c>
      <c r="DB340" s="248">
        <f>LOG(Table2821115[[#This Row],[CO/17 Fold]],2)</f>
        <v>-1</v>
      </c>
      <c r="DC340" s="248">
        <f>SUM(Table2821115[[#This Row],[BR/18 Log2]:[CO/17 Log2]])</f>
        <v>5</v>
      </c>
    </row>
    <row r="341" spans="1:107" ht="24" customHeight="1">
      <c r="A341" s="318">
        <v>503</v>
      </c>
      <c r="B341" s="180">
        <v>22352</v>
      </c>
      <c r="C341" s="180">
        <v>43852</v>
      </c>
      <c r="D341" s="179">
        <v>58</v>
      </c>
      <c r="E341" s="4" t="s">
        <v>58</v>
      </c>
      <c r="F341" s="143" t="s">
        <v>116</v>
      </c>
      <c r="G341" s="142">
        <v>32.115082737866167</v>
      </c>
      <c r="H341" s="11" t="s">
        <v>59</v>
      </c>
      <c r="I341" s="277" t="s">
        <v>62</v>
      </c>
      <c r="J341" s="260">
        <v>5</v>
      </c>
      <c r="K341" s="260">
        <v>5</v>
      </c>
      <c r="L341" s="260"/>
      <c r="M341" s="260"/>
      <c r="N341" s="260"/>
      <c r="O341" s="260"/>
      <c r="P341" s="260"/>
      <c r="Q341" s="260"/>
      <c r="R341" s="260"/>
      <c r="S341" s="260"/>
      <c r="T341" s="260"/>
      <c r="U341" s="260"/>
      <c r="V341" s="260">
        <v>5</v>
      </c>
      <c r="W341" s="260">
        <v>5</v>
      </c>
      <c r="X341" s="260">
        <v>5</v>
      </c>
      <c r="Y341" s="260">
        <v>5</v>
      </c>
      <c r="Z341" s="260">
        <v>5</v>
      </c>
      <c r="AA341" s="260">
        <v>5</v>
      </c>
      <c r="AB341" s="260">
        <v>5</v>
      </c>
      <c r="AC341" s="260">
        <v>5</v>
      </c>
      <c r="AD341" s="260"/>
      <c r="AE341" s="260"/>
      <c r="AF341" s="260"/>
      <c r="AG341" s="260"/>
      <c r="AH341" s="195">
        <v>503</v>
      </c>
      <c r="AI341" s="272">
        <v>10</v>
      </c>
      <c r="AJ341" s="271">
        <v>40</v>
      </c>
      <c r="AK341" s="260"/>
      <c r="AL341" s="260"/>
      <c r="AM341" s="260"/>
      <c r="AN341" s="260"/>
      <c r="AO341" s="260"/>
      <c r="AP341" s="260"/>
      <c r="AQ341" s="260"/>
      <c r="AR341" s="260"/>
      <c r="AS341" s="260"/>
      <c r="AT341" s="260"/>
      <c r="AU341" s="260">
        <v>20</v>
      </c>
      <c r="AV341" s="271">
        <v>160</v>
      </c>
      <c r="AW341" s="260">
        <v>10</v>
      </c>
      <c r="AX341" s="271">
        <v>160</v>
      </c>
      <c r="AY341" s="260">
        <v>5</v>
      </c>
      <c r="AZ341" s="271">
        <v>80</v>
      </c>
      <c r="BA341" s="276">
        <v>10</v>
      </c>
      <c r="BB341" s="276">
        <v>160</v>
      </c>
      <c r="BC341" s="276"/>
      <c r="BD341" s="276"/>
      <c r="BE341" s="276">
        <v>5</v>
      </c>
      <c r="BF341" s="276">
        <v>80</v>
      </c>
      <c r="BG341" s="260">
        <v>40</v>
      </c>
      <c r="BH341" s="271">
        <v>160</v>
      </c>
      <c r="BI341" s="276"/>
      <c r="BJ341" s="276"/>
      <c r="BK341" s="276"/>
      <c r="BL341" s="275"/>
      <c r="BM341" s="316">
        <v>503</v>
      </c>
      <c r="BN341" s="272">
        <v>10</v>
      </c>
      <c r="BO341" s="270">
        <v>40</v>
      </c>
      <c r="BP341" s="272"/>
      <c r="BQ341" s="260"/>
      <c r="BR341" s="260"/>
      <c r="BS341" s="260"/>
      <c r="BT341" s="260"/>
      <c r="BU341" s="260"/>
      <c r="BV341" s="260">
        <v>5</v>
      </c>
      <c r="BW341" s="260">
        <v>5</v>
      </c>
      <c r="BX341" s="260"/>
      <c r="BY341" s="260"/>
      <c r="BZ341" s="260"/>
      <c r="CA341" s="260"/>
      <c r="CB341" s="260"/>
      <c r="CC341" s="260"/>
      <c r="CD341" s="260">
        <v>80</v>
      </c>
      <c r="CE341" s="260">
        <v>80</v>
      </c>
      <c r="CF341" s="272"/>
      <c r="CG341" s="260"/>
      <c r="CH341" s="260"/>
      <c r="CI341" s="260"/>
      <c r="CJ341" s="260"/>
      <c r="CK341" s="260"/>
      <c r="CL341" s="260"/>
      <c r="CM341" s="260"/>
      <c r="CN341" s="260">
        <v>20</v>
      </c>
      <c r="CO341" s="260">
        <v>320</v>
      </c>
      <c r="CP341" s="260">
        <v>40</v>
      </c>
      <c r="CQ341" s="260">
        <v>640</v>
      </c>
      <c r="CR341" s="260">
        <v>40</v>
      </c>
      <c r="CS341" s="270">
        <v>1280</v>
      </c>
      <c r="CT341" s="315">
        <v>503</v>
      </c>
      <c r="CU341" s="249">
        <f>Table2821115[[#This Row],[D28 - BR/18]]/Table2821115[[#This Row],[D0 - BR/18]]</f>
        <v>1</v>
      </c>
      <c r="CV341" s="248">
        <f>Table2821115[[#This Row],[D28 - KS/17]]/Table2821115[[#This Row],[D0 - KS/17]]</f>
        <v>16</v>
      </c>
      <c r="CW341" s="248">
        <f>Table2821115[[#This Row],[D28 - Phu/13]]/Table2821115[[#This Row],[D0 - Phu/13]]</f>
        <v>1</v>
      </c>
      <c r="CX341" s="248">
        <f>Table2821115[[#This Row],[D28 - CO/17]]/Table2821115[[#This Row],[D0 - CO/17]]</f>
        <v>16</v>
      </c>
      <c r="CY341" s="248">
        <f>LOG(Table2821115[[#This Row],[BR/18 Fold]],2)</f>
        <v>0</v>
      </c>
      <c r="CZ341" s="248">
        <f>LOG(Table2821115[[#This Row],[KS/17 Fold]],2)</f>
        <v>4</v>
      </c>
      <c r="DA341" s="248">
        <f>LOG(Table2821115[[#This Row],[Phu/13 Fold]],2)</f>
        <v>0</v>
      </c>
      <c r="DB341" s="248">
        <f>LOG(Table2821115[[#This Row],[CO/17 Fold]],2)</f>
        <v>4</v>
      </c>
      <c r="DC341" s="248">
        <f>SUM(Table2821115[[#This Row],[BR/18 Log2]:[CO/17 Log2]])</f>
        <v>8</v>
      </c>
    </row>
    <row r="342" spans="1:107" ht="24" customHeight="1">
      <c r="A342" s="318">
        <v>504</v>
      </c>
      <c r="B342" s="180">
        <v>20392</v>
      </c>
      <c r="C342" s="180">
        <v>43866</v>
      </c>
      <c r="D342" s="179">
        <v>64</v>
      </c>
      <c r="E342" s="3" t="s">
        <v>61</v>
      </c>
      <c r="F342" s="143" t="s">
        <v>127</v>
      </c>
      <c r="G342" s="142">
        <v>22.026119277074574</v>
      </c>
      <c r="H342" s="11" t="s">
        <v>59</v>
      </c>
      <c r="I342" s="277" t="s">
        <v>60</v>
      </c>
      <c r="J342" s="260">
        <v>5</v>
      </c>
      <c r="K342" s="260">
        <v>5</v>
      </c>
      <c r="L342" s="260"/>
      <c r="M342" s="260"/>
      <c r="N342" s="260"/>
      <c r="O342" s="260"/>
      <c r="P342" s="260"/>
      <c r="Q342" s="260"/>
      <c r="R342" s="260"/>
      <c r="S342" s="260"/>
      <c r="T342" s="260"/>
      <c r="U342" s="260"/>
      <c r="V342" s="260">
        <v>10</v>
      </c>
      <c r="W342" s="260">
        <v>20</v>
      </c>
      <c r="X342" s="260">
        <v>20</v>
      </c>
      <c r="Y342" s="260">
        <v>640</v>
      </c>
      <c r="Z342" s="260">
        <v>40</v>
      </c>
      <c r="AA342" s="260">
        <v>1280</v>
      </c>
      <c r="AB342" s="260">
        <v>10</v>
      </c>
      <c r="AC342" s="260">
        <v>640</v>
      </c>
      <c r="AD342" s="260"/>
      <c r="AE342" s="260"/>
      <c r="AF342" s="260"/>
      <c r="AG342" s="260"/>
      <c r="AH342" s="195">
        <v>504</v>
      </c>
      <c r="AI342" s="272">
        <v>80</v>
      </c>
      <c r="AJ342" s="271">
        <v>160</v>
      </c>
      <c r="AK342" s="260"/>
      <c r="AL342" s="260"/>
      <c r="AM342" s="260"/>
      <c r="AN342" s="260"/>
      <c r="AO342" s="260"/>
      <c r="AP342" s="260"/>
      <c r="AQ342" s="260"/>
      <c r="AR342" s="260"/>
      <c r="AS342" s="260"/>
      <c r="AT342" s="260"/>
      <c r="AU342" s="260">
        <v>160</v>
      </c>
      <c r="AV342" s="271">
        <v>160</v>
      </c>
      <c r="AW342" s="260">
        <v>80</v>
      </c>
      <c r="AX342" s="271">
        <v>160</v>
      </c>
      <c r="AY342" s="260">
        <v>40</v>
      </c>
      <c r="AZ342" s="271">
        <v>80</v>
      </c>
      <c r="BA342" s="276">
        <v>80</v>
      </c>
      <c r="BB342" s="276">
        <v>80</v>
      </c>
      <c r="BC342" s="276"/>
      <c r="BD342" s="276"/>
      <c r="BE342" s="276">
        <v>40</v>
      </c>
      <c r="BF342" s="276">
        <v>80</v>
      </c>
      <c r="BG342" s="260">
        <v>160</v>
      </c>
      <c r="BH342" s="271">
        <v>160</v>
      </c>
      <c r="BI342" s="276"/>
      <c r="BJ342" s="276"/>
      <c r="BK342" s="276"/>
      <c r="BL342" s="275"/>
      <c r="BM342" s="316">
        <v>504</v>
      </c>
      <c r="BN342" s="272">
        <v>160</v>
      </c>
      <c r="BO342" s="270">
        <v>1280</v>
      </c>
      <c r="BP342" s="272"/>
      <c r="BQ342" s="260"/>
      <c r="BR342" s="260"/>
      <c r="BS342" s="260"/>
      <c r="BT342" s="260"/>
      <c r="BU342" s="260"/>
      <c r="BV342" s="260">
        <v>5</v>
      </c>
      <c r="BW342" s="260">
        <v>640</v>
      </c>
      <c r="BX342" s="260"/>
      <c r="BY342" s="260"/>
      <c r="BZ342" s="260"/>
      <c r="CA342" s="260"/>
      <c r="CB342" s="260"/>
      <c r="CC342" s="260"/>
      <c r="CD342" s="260">
        <v>80</v>
      </c>
      <c r="CE342" s="260">
        <v>320</v>
      </c>
      <c r="CF342" s="272"/>
      <c r="CG342" s="260"/>
      <c r="CH342" s="260"/>
      <c r="CI342" s="260"/>
      <c r="CJ342" s="260"/>
      <c r="CK342" s="260"/>
      <c r="CL342" s="260"/>
      <c r="CM342" s="260"/>
      <c r="CN342" s="260">
        <v>10</v>
      </c>
      <c r="CO342" s="260">
        <v>160</v>
      </c>
      <c r="CP342" s="260">
        <v>20</v>
      </c>
      <c r="CQ342" s="260">
        <v>80</v>
      </c>
      <c r="CR342" s="260">
        <v>5</v>
      </c>
      <c r="CS342" s="270">
        <v>80</v>
      </c>
      <c r="CT342" s="315">
        <v>504</v>
      </c>
      <c r="CU342" s="249">
        <f>Table2821115[[#This Row],[D28 - BR/18]]/Table2821115[[#This Row],[D0 - BR/18]]</f>
        <v>64</v>
      </c>
      <c r="CV342" s="248">
        <f>Table2821115[[#This Row],[D28 - KS/17]]/Table2821115[[#This Row],[D0 - KS/17]]</f>
        <v>2</v>
      </c>
      <c r="CW342" s="248">
        <f>Table2821115[[#This Row],[D28 - Phu/13]]/Table2821115[[#This Row],[D0 - Phu/13]]</f>
        <v>4</v>
      </c>
      <c r="CX342" s="248">
        <f>Table2821115[[#This Row],[D28 - CO/17]]/Table2821115[[#This Row],[D0 - CO/17]]</f>
        <v>4</v>
      </c>
      <c r="CY342" s="248">
        <f>LOG(Table2821115[[#This Row],[BR/18 Fold]],2)</f>
        <v>6</v>
      </c>
      <c r="CZ342" s="248">
        <f>LOG(Table2821115[[#This Row],[KS/17 Fold]],2)</f>
        <v>1</v>
      </c>
      <c r="DA342" s="248">
        <f>LOG(Table2821115[[#This Row],[Phu/13 Fold]],2)</f>
        <v>2</v>
      </c>
      <c r="DB342" s="248">
        <f>LOG(Table2821115[[#This Row],[CO/17 Fold]],2)</f>
        <v>2</v>
      </c>
      <c r="DC342" s="248">
        <f>SUM(Table2821115[[#This Row],[BR/18 Log2]:[CO/17 Log2]])</f>
        <v>11</v>
      </c>
    </row>
    <row r="343" spans="1:107" ht="24" customHeight="1">
      <c r="A343" s="324">
        <v>505</v>
      </c>
      <c r="B343" s="190">
        <v>28843</v>
      </c>
      <c r="C343" s="190">
        <v>43857</v>
      </c>
      <c r="D343" s="189">
        <v>41</v>
      </c>
      <c r="E343" s="4" t="s">
        <v>58</v>
      </c>
      <c r="F343" s="143" t="s">
        <v>116</v>
      </c>
      <c r="G343" s="142">
        <v>26.908081285444233</v>
      </c>
      <c r="H343" s="317" t="s">
        <v>59</v>
      </c>
      <c r="I343" s="277" t="s">
        <v>62</v>
      </c>
      <c r="J343" s="260">
        <v>5</v>
      </c>
      <c r="K343" s="260">
        <v>20</v>
      </c>
      <c r="L343" s="260"/>
      <c r="M343" s="260"/>
      <c r="N343" s="260"/>
      <c r="O343" s="260"/>
      <c r="P343" s="260"/>
      <c r="Q343" s="260"/>
      <c r="R343" s="260"/>
      <c r="S343" s="260"/>
      <c r="T343" s="260"/>
      <c r="U343" s="260"/>
      <c r="V343" s="260">
        <v>20</v>
      </c>
      <c r="W343" s="260">
        <v>80</v>
      </c>
      <c r="X343" s="260">
        <v>5</v>
      </c>
      <c r="Y343" s="260">
        <v>80</v>
      </c>
      <c r="Z343" s="260">
        <v>5</v>
      </c>
      <c r="AA343" s="260">
        <v>40</v>
      </c>
      <c r="AB343" s="260">
        <v>5</v>
      </c>
      <c r="AC343" s="260">
        <v>40</v>
      </c>
      <c r="AD343" s="260"/>
      <c r="AE343" s="260"/>
      <c r="AF343" s="260"/>
      <c r="AG343" s="260"/>
      <c r="AH343" s="198">
        <v>505</v>
      </c>
      <c r="AI343" s="272">
        <v>5</v>
      </c>
      <c r="AJ343" s="271">
        <v>40</v>
      </c>
      <c r="AK343" s="260"/>
      <c r="AL343" s="260"/>
      <c r="AM343" s="260"/>
      <c r="AN343" s="260"/>
      <c r="AO343" s="260"/>
      <c r="AP343" s="260"/>
      <c r="AQ343" s="260"/>
      <c r="AR343" s="260"/>
      <c r="AS343" s="260"/>
      <c r="AT343" s="260"/>
      <c r="AU343" s="260">
        <v>80</v>
      </c>
      <c r="AV343" s="271">
        <v>640</v>
      </c>
      <c r="AW343" s="260">
        <v>80</v>
      </c>
      <c r="AX343" s="271">
        <v>1280</v>
      </c>
      <c r="AY343" s="260">
        <v>5</v>
      </c>
      <c r="AZ343" s="271">
        <v>640</v>
      </c>
      <c r="BA343" s="276">
        <v>40</v>
      </c>
      <c r="BB343" s="276">
        <v>1280</v>
      </c>
      <c r="BC343" s="276"/>
      <c r="BD343" s="276"/>
      <c r="BE343" s="276">
        <v>10</v>
      </c>
      <c r="BF343" s="276">
        <v>320</v>
      </c>
      <c r="BG343" s="260">
        <v>80</v>
      </c>
      <c r="BH343" s="271">
        <v>1280</v>
      </c>
      <c r="BI343" s="276"/>
      <c r="BJ343" s="276"/>
      <c r="BK343" s="276"/>
      <c r="BL343" s="275"/>
      <c r="BM343" s="323">
        <v>505</v>
      </c>
      <c r="BN343" s="272">
        <v>160</v>
      </c>
      <c r="BO343" s="270">
        <v>2560</v>
      </c>
      <c r="BP343" s="272"/>
      <c r="BQ343" s="260"/>
      <c r="BR343" s="260"/>
      <c r="BS343" s="260"/>
      <c r="BT343" s="260"/>
      <c r="BU343" s="260"/>
      <c r="BV343" s="260">
        <v>5</v>
      </c>
      <c r="BW343" s="260">
        <v>2560</v>
      </c>
      <c r="BX343" s="260"/>
      <c r="BY343" s="260"/>
      <c r="BZ343" s="260"/>
      <c r="CA343" s="260"/>
      <c r="CB343" s="260"/>
      <c r="CC343" s="260"/>
      <c r="CD343" s="260">
        <v>40</v>
      </c>
      <c r="CE343" s="260">
        <v>2560</v>
      </c>
      <c r="CF343" s="272"/>
      <c r="CG343" s="260"/>
      <c r="CH343" s="260"/>
      <c r="CI343" s="260"/>
      <c r="CJ343" s="260"/>
      <c r="CK343" s="260"/>
      <c r="CL343" s="260"/>
      <c r="CM343" s="260"/>
      <c r="CN343" s="260">
        <v>80</v>
      </c>
      <c r="CO343" s="260">
        <v>1280</v>
      </c>
      <c r="CP343" s="260">
        <v>160</v>
      </c>
      <c r="CQ343" s="260">
        <v>1280</v>
      </c>
      <c r="CR343" s="260">
        <v>160</v>
      </c>
      <c r="CS343" s="270">
        <v>2560</v>
      </c>
      <c r="CT343" s="322">
        <v>505</v>
      </c>
      <c r="CU343" s="249">
        <f>Table2821115[[#This Row],[D28 - BR/18]]/Table2821115[[#This Row],[D0 - BR/18]]</f>
        <v>8</v>
      </c>
      <c r="CV343" s="248">
        <f>Table2821115[[#This Row],[D28 - KS/17]]/Table2821115[[#This Row],[D0 - KS/17]]</f>
        <v>32</v>
      </c>
      <c r="CW343" s="248">
        <f>Table2821115[[#This Row],[D28 - Phu/13]]/Table2821115[[#This Row],[D0 - Phu/13]]</f>
        <v>64</v>
      </c>
      <c r="CX343" s="248">
        <f>Table2821115[[#This Row],[D28 - CO/17]]/Table2821115[[#This Row],[D0 - CO/17]]</f>
        <v>8</v>
      </c>
      <c r="CY343" s="248">
        <f>LOG(Table2821115[[#This Row],[BR/18 Fold]],2)</f>
        <v>3</v>
      </c>
      <c r="CZ343" s="248">
        <f>LOG(Table2821115[[#This Row],[KS/17 Fold]],2)</f>
        <v>5</v>
      </c>
      <c r="DA343" s="248">
        <f>LOG(Table2821115[[#This Row],[Phu/13 Fold]],2)</f>
        <v>6</v>
      </c>
      <c r="DB343" s="248">
        <f>LOG(Table2821115[[#This Row],[CO/17 Fold]],2)</f>
        <v>3</v>
      </c>
      <c r="DC343" s="248">
        <f>SUM(Table2821115[[#This Row],[BR/18 Log2]:[CO/17 Log2]])</f>
        <v>17</v>
      </c>
    </row>
    <row r="344" spans="1:107" ht="24" customHeight="1">
      <c r="A344" s="321">
        <v>506</v>
      </c>
      <c r="B344" s="183">
        <v>31434</v>
      </c>
      <c r="C344" s="183">
        <v>43866</v>
      </c>
      <c r="D344" s="182">
        <v>34</v>
      </c>
      <c r="E344" s="4" t="s">
        <v>58</v>
      </c>
      <c r="F344" s="143" t="s">
        <v>123</v>
      </c>
      <c r="G344" s="142">
        <v>21.417354405426174</v>
      </c>
      <c r="H344" s="317" t="s">
        <v>59</v>
      </c>
      <c r="I344" s="277" t="s">
        <v>62</v>
      </c>
      <c r="J344" s="260">
        <v>5</v>
      </c>
      <c r="K344" s="260">
        <v>5</v>
      </c>
      <c r="L344" s="260"/>
      <c r="M344" s="260"/>
      <c r="N344" s="260"/>
      <c r="O344" s="260"/>
      <c r="P344" s="260"/>
      <c r="Q344" s="260"/>
      <c r="R344" s="260"/>
      <c r="S344" s="260"/>
      <c r="T344" s="260"/>
      <c r="U344" s="260"/>
      <c r="V344" s="260">
        <v>10</v>
      </c>
      <c r="W344" s="260">
        <v>20</v>
      </c>
      <c r="X344" s="260">
        <v>20</v>
      </c>
      <c r="Y344" s="260">
        <v>80</v>
      </c>
      <c r="Z344" s="260">
        <v>40</v>
      </c>
      <c r="AA344" s="260">
        <v>160</v>
      </c>
      <c r="AB344" s="260">
        <v>20</v>
      </c>
      <c r="AC344" s="260">
        <v>80</v>
      </c>
      <c r="AD344" s="260"/>
      <c r="AE344" s="260"/>
      <c r="AF344" s="260"/>
      <c r="AG344" s="260"/>
      <c r="AH344" s="32">
        <v>506</v>
      </c>
      <c r="AI344" s="272">
        <v>20</v>
      </c>
      <c r="AJ344" s="271">
        <v>80</v>
      </c>
      <c r="AK344" s="260"/>
      <c r="AL344" s="260"/>
      <c r="AM344" s="260"/>
      <c r="AN344" s="260"/>
      <c r="AO344" s="260"/>
      <c r="AP344" s="260"/>
      <c r="AQ344" s="260"/>
      <c r="AR344" s="260"/>
      <c r="AS344" s="260"/>
      <c r="AT344" s="260"/>
      <c r="AU344" s="260">
        <v>10</v>
      </c>
      <c r="AV344" s="271">
        <v>320</v>
      </c>
      <c r="AW344" s="260">
        <v>10</v>
      </c>
      <c r="AX344" s="271">
        <v>640</v>
      </c>
      <c r="AY344" s="260">
        <v>10</v>
      </c>
      <c r="AZ344" s="271">
        <v>160</v>
      </c>
      <c r="BA344" s="276">
        <v>5</v>
      </c>
      <c r="BB344" s="276">
        <v>160</v>
      </c>
      <c r="BC344" s="276"/>
      <c r="BD344" s="276"/>
      <c r="BE344" s="276">
        <v>10</v>
      </c>
      <c r="BF344" s="276">
        <v>640</v>
      </c>
      <c r="BG344" s="260">
        <v>10</v>
      </c>
      <c r="BH344" s="271">
        <v>320</v>
      </c>
      <c r="BI344" s="276"/>
      <c r="BJ344" s="276"/>
      <c r="BK344" s="276"/>
      <c r="BL344" s="275"/>
      <c r="BM344" s="320">
        <v>506</v>
      </c>
      <c r="BN344" s="272">
        <v>40</v>
      </c>
      <c r="BO344" s="270">
        <v>320</v>
      </c>
      <c r="BP344" s="272"/>
      <c r="BQ344" s="260"/>
      <c r="BR344" s="260"/>
      <c r="BS344" s="260"/>
      <c r="BT344" s="260"/>
      <c r="BU344" s="260"/>
      <c r="BV344" s="260">
        <v>40</v>
      </c>
      <c r="BW344" s="260">
        <v>640</v>
      </c>
      <c r="BX344" s="260"/>
      <c r="BY344" s="260"/>
      <c r="BZ344" s="260"/>
      <c r="CA344" s="260"/>
      <c r="CB344" s="260"/>
      <c r="CC344" s="260"/>
      <c r="CD344" s="260">
        <v>80</v>
      </c>
      <c r="CE344" s="260">
        <v>320</v>
      </c>
      <c r="CF344" s="272"/>
      <c r="CG344" s="260"/>
      <c r="CH344" s="260"/>
      <c r="CI344" s="260"/>
      <c r="CJ344" s="260"/>
      <c r="CK344" s="260"/>
      <c r="CL344" s="260"/>
      <c r="CM344" s="260"/>
      <c r="CN344" s="260">
        <v>5</v>
      </c>
      <c r="CO344" s="260">
        <v>160</v>
      </c>
      <c r="CP344" s="260">
        <v>5</v>
      </c>
      <c r="CQ344" s="260">
        <v>160</v>
      </c>
      <c r="CR344" s="260">
        <v>5</v>
      </c>
      <c r="CS344" s="270">
        <v>160</v>
      </c>
      <c r="CT344" s="319">
        <v>506</v>
      </c>
      <c r="CU344" s="249">
        <f>Table2821115[[#This Row],[D28 - BR/18]]/Table2821115[[#This Row],[D0 - BR/18]]</f>
        <v>4</v>
      </c>
      <c r="CV344" s="248">
        <f>Table2821115[[#This Row],[D28 - KS/17]]/Table2821115[[#This Row],[D0 - KS/17]]</f>
        <v>64</v>
      </c>
      <c r="CW344" s="248">
        <f>Table2821115[[#This Row],[D28 - Phu/13]]/Table2821115[[#This Row],[D0 - Phu/13]]</f>
        <v>4</v>
      </c>
      <c r="CX344" s="248">
        <f>Table2821115[[#This Row],[D28 - CO/17]]/Table2821115[[#This Row],[D0 - CO/17]]</f>
        <v>32</v>
      </c>
      <c r="CY344" s="248">
        <f>LOG(Table2821115[[#This Row],[BR/18 Fold]],2)</f>
        <v>2</v>
      </c>
      <c r="CZ344" s="248">
        <f>LOG(Table2821115[[#This Row],[KS/17 Fold]],2)</f>
        <v>6</v>
      </c>
      <c r="DA344" s="248">
        <f>LOG(Table2821115[[#This Row],[Phu/13 Fold]],2)</f>
        <v>2</v>
      </c>
      <c r="DB344" s="248">
        <f>LOG(Table2821115[[#This Row],[CO/17 Fold]],2)</f>
        <v>5</v>
      </c>
      <c r="DC344" s="248">
        <f>SUM(Table2821115[[#This Row],[BR/18 Log2]:[CO/17 Log2]])</f>
        <v>15</v>
      </c>
    </row>
    <row r="345" spans="1:107" ht="24" customHeight="1">
      <c r="A345" s="321">
        <v>507</v>
      </c>
      <c r="B345" s="183">
        <v>35202</v>
      </c>
      <c r="C345" s="183">
        <v>43864</v>
      </c>
      <c r="D345" s="182">
        <v>23</v>
      </c>
      <c r="E345" s="3" t="s">
        <v>61</v>
      </c>
      <c r="F345" s="143" t="s">
        <v>116</v>
      </c>
      <c r="G345" s="142">
        <v>33.349935600124347</v>
      </c>
      <c r="H345" s="317" t="s">
        <v>59</v>
      </c>
      <c r="I345" s="277" t="s">
        <v>60</v>
      </c>
      <c r="J345" s="260">
        <v>5</v>
      </c>
      <c r="K345" s="260">
        <v>5</v>
      </c>
      <c r="L345" s="260"/>
      <c r="M345" s="260"/>
      <c r="N345" s="260"/>
      <c r="O345" s="260"/>
      <c r="P345" s="260"/>
      <c r="Q345" s="260"/>
      <c r="R345" s="260"/>
      <c r="S345" s="260"/>
      <c r="T345" s="260"/>
      <c r="U345" s="260"/>
      <c r="V345" s="260">
        <v>20</v>
      </c>
      <c r="W345" s="260">
        <v>40</v>
      </c>
      <c r="X345" s="260">
        <v>40</v>
      </c>
      <c r="Y345" s="260">
        <v>160</v>
      </c>
      <c r="Z345" s="260">
        <v>80</v>
      </c>
      <c r="AA345" s="260">
        <v>160</v>
      </c>
      <c r="AB345" s="260">
        <v>80</v>
      </c>
      <c r="AC345" s="260">
        <v>160</v>
      </c>
      <c r="AD345" s="260"/>
      <c r="AE345" s="260"/>
      <c r="AF345" s="260"/>
      <c r="AG345" s="260"/>
      <c r="AH345" s="32">
        <v>507</v>
      </c>
      <c r="AI345" s="272">
        <v>40</v>
      </c>
      <c r="AJ345" s="271">
        <v>80</v>
      </c>
      <c r="AK345" s="260"/>
      <c r="AL345" s="260"/>
      <c r="AM345" s="260"/>
      <c r="AN345" s="260"/>
      <c r="AO345" s="260"/>
      <c r="AP345" s="260"/>
      <c r="AQ345" s="260"/>
      <c r="AR345" s="260"/>
      <c r="AS345" s="260"/>
      <c r="AT345" s="260"/>
      <c r="AU345" s="260">
        <v>40</v>
      </c>
      <c r="AV345" s="271">
        <v>160</v>
      </c>
      <c r="AW345" s="260">
        <v>20</v>
      </c>
      <c r="AX345" s="271">
        <v>160</v>
      </c>
      <c r="AY345" s="260">
        <v>20</v>
      </c>
      <c r="AZ345" s="271">
        <v>80</v>
      </c>
      <c r="BA345" s="276">
        <v>20</v>
      </c>
      <c r="BB345" s="276">
        <v>80</v>
      </c>
      <c r="BC345" s="276"/>
      <c r="BD345" s="276"/>
      <c r="BE345" s="276">
        <v>5</v>
      </c>
      <c r="BF345" s="276">
        <v>80</v>
      </c>
      <c r="BG345" s="260">
        <v>40</v>
      </c>
      <c r="BH345" s="271">
        <v>160</v>
      </c>
      <c r="BI345" s="276"/>
      <c r="BJ345" s="276"/>
      <c r="BK345" s="276"/>
      <c r="BL345" s="275"/>
      <c r="BM345" s="320">
        <v>507</v>
      </c>
      <c r="BN345" s="272">
        <v>160</v>
      </c>
      <c r="BO345" s="270">
        <v>160</v>
      </c>
      <c r="BP345" s="272"/>
      <c r="BQ345" s="260"/>
      <c r="BR345" s="260"/>
      <c r="BS345" s="260"/>
      <c r="BT345" s="260"/>
      <c r="BU345" s="260"/>
      <c r="BV345" s="260">
        <v>5</v>
      </c>
      <c r="BW345" s="260">
        <v>320</v>
      </c>
      <c r="BX345" s="260"/>
      <c r="BY345" s="260"/>
      <c r="BZ345" s="260"/>
      <c r="CA345" s="260"/>
      <c r="CB345" s="260"/>
      <c r="CC345" s="260"/>
      <c r="CD345" s="260">
        <v>160</v>
      </c>
      <c r="CE345" s="260">
        <v>320</v>
      </c>
      <c r="CF345" s="272"/>
      <c r="CG345" s="260"/>
      <c r="CH345" s="260"/>
      <c r="CI345" s="260"/>
      <c r="CJ345" s="260"/>
      <c r="CK345" s="260"/>
      <c r="CL345" s="260"/>
      <c r="CM345" s="260"/>
      <c r="CN345" s="260">
        <v>20</v>
      </c>
      <c r="CO345" s="260">
        <v>40</v>
      </c>
      <c r="CP345" s="260">
        <v>40</v>
      </c>
      <c r="CQ345" s="260">
        <v>80</v>
      </c>
      <c r="CR345" s="260">
        <v>40</v>
      </c>
      <c r="CS345" s="270">
        <v>80</v>
      </c>
      <c r="CT345" s="319">
        <v>507</v>
      </c>
      <c r="CU345" s="249">
        <f>Table2821115[[#This Row],[D28 - BR/18]]/Table2821115[[#This Row],[D0 - BR/18]]</f>
        <v>2</v>
      </c>
      <c r="CV345" s="248">
        <f>Table2821115[[#This Row],[D28 - KS/17]]/Table2821115[[#This Row],[D0 - KS/17]]</f>
        <v>16</v>
      </c>
      <c r="CW345" s="248">
        <f>Table2821115[[#This Row],[D28 - Phu/13]]/Table2821115[[#This Row],[D0 - Phu/13]]</f>
        <v>2</v>
      </c>
      <c r="CX345" s="248">
        <f>Table2821115[[#This Row],[D28 - CO/17]]/Table2821115[[#This Row],[D0 - CO/17]]</f>
        <v>2</v>
      </c>
      <c r="CY345" s="248">
        <f>LOG(Table2821115[[#This Row],[BR/18 Fold]],2)</f>
        <v>1</v>
      </c>
      <c r="CZ345" s="248">
        <f>LOG(Table2821115[[#This Row],[KS/17 Fold]],2)</f>
        <v>4</v>
      </c>
      <c r="DA345" s="248">
        <f>LOG(Table2821115[[#This Row],[Phu/13 Fold]],2)</f>
        <v>1</v>
      </c>
      <c r="DB345" s="248">
        <f>LOG(Table2821115[[#This Row],[CO/17 Fold]],2)</f>
        <v>1</v>
      </c>
      <c r="DC345" s="248">
        <f>SUM(Table2821115[[#This Row],[BR/18 Log2]:[CO/17 Log2]])</f>
        <v>7</v>
      </c>
    </row>
    <row r="346" spans="1:107" ht="24" customHeight="1">
      <c r="A346" s="321">
        <v>508</v>
      </c>
      <c r="B346" s="183">
        <v>32161</v>
      </c>
      <c r="C346" s="183">
        <v>43861</v>
      </c>
      <c r="D346" s="182">
        <v>32</v>
      </c>
      <c r="E346" s="4" t="s">
        <v>58</v>
      </c>
      <c r="F346" s="143" t="s">
        <v>116</v>
      </c>
      <c r="G346" s="142">
        <v>23.46157865902742</v>
      </c>
      <c r="H346" s="317" t="s">
        <v>59</v>
      </c>
      <c r="I346" s="277" t="s">
        <v>60</v>
      </c>
      <c r="J346" s="260">
        <v>5</v>
      </c>
      <c r="K346" s="260">
        <v>5</v>
      </c>
      <c r="L346" s="260"/>
      <c r="M346" s="260"/>
      <c r="N346" s="260"/>
      <c r="O346" s="260"/>
      <c r="P346" s="260"/>
      <c r="Q346" s="260"/>
      <c r="R346" s="260"/>
      <c r="S346" s="260"/>
      <c r="T346" s="260"/>
      <c r="U346" s="260"/>
      <c r="V346" s="260">
        <v>5</v>
      </c>
      <c r="W346" s="260">
        <v>5</v>
      </c>
      <c r="X346" s="260">
        <v>5</v>
      </c>
      <c r="Y346" s="260">
        <v>5</v>
      </c>
      <c r="Z346" s="260">
        <v>80</v>
      </c>
      <c r="AA346" s="260">
        <v>80</v>
      </c>
      <c r="AB346" s="260">
        <v>80</v>
      </c>
      <c r="AC346" s="260">
        <v>80</v>
      </c>
      <c r="AD346" s="260"/>
      <c r="AE346" s="260"/>
      <c r="AF346" s="260"/>
      <c r="AG346" s="260"/>
      <c r="AH346" s="32">
        <v>508</v>
      </c>
      <c r="AI346" s="272">
        <v>40</v>
      </c>
      <c r="AJ346" s="271">
        <v>40</v>
      </c>
      <c r="AK346" s="260"/>
      <c r="AL346" s="260"/>
      <c r="AM346" s="260"/>
      <c r="AN346" s="260"/>
      <c r="AO346" s="260"/>
      <c r="AP346" s="260"/>
      <c r="AQ346" s="260"/>
      <c r="AR346" s="260"/>
      <c r="AS346" s="260"/>
      <c r="AT346" s="260"/>
      <c r="AU346" s="260">
        <v>320</v>
      </c>
      <c r="AV346" s="271">
        <v>320</v>
      </c>
      <c r="AW346" s="260">
        <v>160</v>
      </c>
      <c r="AX346" s="271">
        <v>320</v>
      </c>
      <c r="AY346" s="260">
        <v>5</v>
      </c>
      <c r="AZ346" s="271">
        <v>160</v>
      </c>
      <c r="BA346" s="276">
        <v>160</v>
      </c>
      <c r="BB346" s="276">
        <v>320</v>
      </c>
      <c r="BC346" s="276"/>
      <c r="BD346" s="276"/>
      <c r="BE346" s="276">
        <v>40</v>
      </c>
      <c r="BF346" s="276">
        <v>80</v>
      </c>
      <c r="BG346" s="260">
        <v>320</v>
      </c>
      <c r="BH346" s="271">
        <v>320</v>
      </c>
      <c r="BI346" s="276"/>
      <c r="BJ346" s="276"/>
      <c r="BK346" s="276"/>
      <c r="BL346" s="275"/>
      <c r="BM346" s="320">
        <v>508</v>
      </c>
      <c r="BN346" s="272">
        <v>320</v>
      </c>
      <c r="BO346" s="270">
        <v>320</v>
      </c>
      <c r="BP346" s="272"/>
      <c r="BQ346" s="260"/>
      <c r="BR346" s="260"/>
      <c r="BS346" s="260"/>
      <c r="BT346" s="260"/>
      <c r="BU346" s="260"/>
      <c r="BV346" s="260">
        <v>5</v>
      </c>
      <c r="BW346" s="260">
        <v>5</v>
      </c>
      <c r="BX346" s="260"/>
      <c r="BY346" s="260"/>
      <c r="BZ346" s="260"/>
      <c r="CA346" s="260"/>
      <c r="CB346" s="260"/>
      <c r="CC346" s="260"/>
      <c r="CD346" s="260">
        <v>320</v>
      </c>
      <c r="CE346" s="260">
        <v>320</v>
      </c>
      <c r="CF346" s="272"/>
      <c r="CG346" s="260"/>
      <c r="CH346" s="260"/>
      <c r="CI346" s="260"/>
      <c r="CJ346" s="260"/>
      <c r="CK346" s="260"/>
      <c r="CL346" s="260"/>
      <c r="CM346" s="260"/>
      <c r="CN346" s="260">
        <v>20</v>
      </c>
      <c r="CO346" s="260">
        <v>40</v>
      </c>
      <c r="CP346" s="260">
        <v>20</v>
      </c>
      <c r="CQ346" s="260">
        <v>40</v>
      </c>
      <c r="CR346" s="260">
        <v>10</v>
      </c>
      <c r="CS346" s="270">
        <v>40</v>
      </c>
      <c r="CT346" s="319">
        <v>508</v>
      </c>
      <c r="CU346" s="249">
        <f>Table2821115[[#This Row],[D28 - BR/18]]/Table2821115[[#This Row],[D0 - BR/18]]</f>
        <v>1</v>
      </c>
      <c r="CV346" s="248">
        <f>Table2821115[[#This Row],[D28 - KS/17]]/Table2821115[[#This Row],[D0 - KS/17]]</f>
        <v>2</v>
      </c>
      <c r="CW346" s="248">
        <f>Table2821115[[#This Row],[D28 - Phu/13]]/Table2821115[[#This Row],[D0 - Phu/13]]</f>
        <v>1</v>
      </c>
      <c r="CX346" s="248">
        <f>Table2821115[[#This Row],[D28 - CO/17]]/Table2821115[[#This Row],[D0 - CO/17]]</f>
        <v>2</v>
      </c>
      <c r="CY346" s="248">
        <f>LOG(Table2821115[[#This Row],[BR/18 Fold]],2)</f>
        <v>0</v>
      </c>
      <c r="CZ346" s="248">
        <f>LOG(Table2821115[[#This Row],[KS/17 Fold]],2)</f>
        <v>1</v>
      </c>
      <c r="DA346" s="248">
        <f>LOG(Table2821115[[#This Row],[Phu/13 Fold]],2)</f>
        <v>0</v>
      </c>
      <c r="DB346" s="248">
        <f>LOG(Table2821115[[#This Row],[CO/17 Fold]],2)</f>
        <v>1</v>
      </c>
      <c r="DC346" s="248">
        <f>SUM(Table2821115[[#This Row],[BR/18 Log2]:[CO/17 Log2]])</f>
        <v>2</v>
      </c>
    </row>
    <row r="347" spans="1:107" ht="24" customHeight="1">
      <c r="A347" s="321">
        <v>509</v>
      </c>
      <c r="B347" s="183">
        <v>36031</v>
      </c>
      <c r="C347" s="183">
        <v>43871</v>
      </c>
      <c r="D347" s="182">
        <v>21</v>
      </c>
      <c r="E347" s="3" t="s">
        <v>61</v>
      </c>
      <c r="F347" s="143" t="s">
        <v>116</v>
      </c>
      <c r="G347" s="142">
        <v>24.913494809688583</v>
      </c>
      <c r="H347" s="317" t="s">
        <v>59</v>
      </c>
      <c r="I347" s="277" t="s">
        <v>62</v>
      </c>
      <c r="J347" s="260">
        <v>5</v>
      </c>
      <c r="K347" s="260">
        <v>5</v>
      </c>
      <c r="L347" s="260"/>
      <c r="M347" s="260"/>
      <c r="N347" s="260"/>
      <c r="O347" s="260"/>
      <c r="P347" s="260"/>
      <c r="Q347" s="260"/>
      <c r="R347" s="260"/>
      <c r="S347" s="260"/>
      <c r="T347" s="260"/>
      <c r="U347" s="260"/>
      <c r="V347" s="260">
        <v>20</v>
      </c>
      <c r="W347" s="260">
        <v>20</v>
      </c>
      <c r="X347" s="260">
        <v>80</v>
      </c>
      <c r="Y347" s="260">
        <v>80</v>
      </c>
      <c r="Z347" s="260">
        <v>160</v>
      </c>
      <c r="AA347" s="260">
        <v>160</v>
      </c>
      <c r="AB347" s="260">
        <v>80</v>
      </c>
      <c r="AC347" s="260">
        <v>80</v>
      </c>
      <c r="AD347" s="260"/>
      <c r="AE347" s="260"/>
      <c r="AF347" s="260"/>
      <c r="AG347" s="260"/>
      <c r="AH347" s="32">
        <v>509</v>
      </c>
      <c r="AI347" s="272">
        <v>160</v>
      </c>
      <c r="AJ347" s="271">
        <v>160</v>
      </c>
      <c r="AK347" s="260"/>
      <c r="AL347" s="260"/>
      <c r="AM347" s="260"/>
      <c r="AN347" s="260"/>
      <c r="AO347" s="260"/>
      <c r="AP347" s="260"/>
      <c r="AQ347" s="260"/>
      <c r="AR347" s="260"/>
      <c r="AS347" s="260"/>
      <c r="AT347" s="260"/>
      <c r="AU347" s="260">
        <v>160</v>
      </c>
      <c r="AV347" s="271">
        <v>160</v>
      </c>
      <c r="AW347" s="260">
        <v>80</v>
      </c>
      <c r="AX347" s="271">
        <v>160</v>
      </c>
      <c r="AY347" s="260">
        <v>40</v>
      </c>
      <c r="AZ347" s="271">
        <v>80</v>
      </c>
      <c r="BA347" s="276">
        <v>80</v>
      </c>
      <c r="BB347" s="276">
        <v>80</v>
      </c>
      <c r="BC347" s="276"/>
      <c r="BD347" s="276"/>
      <c r="BE347" s="276">
        <v>10</v>
      </c>
      <c r="BF347" s="276">
        <v>80</v>
      </c>
      <c r="BG347" s="260">
        <v>160</v>
      </c>
      <c r="BH347" s="271">
        <v>160</v>
      </c>
      <c r="BI347" s="276"/>
      <c r="BJ347" s="276"/>
      <c r="BK347" s="276"/>
      <c r="BL347" s="275"/>
      <c r="BM347" s="320">
        <v>509</v>
      </c>
      <c r="BN347" s="272">
        <v>80</v>
      </c>
      <c r="BO347" s="270">
        <v>80</v>
      </c>
      <c r="BP347" s="272"/>
      <c r="BQ347" s="260"/>
      <c r="BR347" s="260"/>
      <c r="BS347" s="260"/>
      <c r="BT347" s="260"/>
      <c r="BU347" s="260"/>
      <c r="BV347" s="260">
        <v>5</v>
      </c>
      <c r="BW347" s="260">
        <v>5</v>
      </c>
      <c r="BX347" s="260"/>
      <c r="BY347" s="260"/>
      <c r="BZ347" s="260"/>
      <c r="CA347" s="260"/>
      <c r="CB347" s="260"/>
      <c r="CC347" s="260"/>
      <c r="CD347" s="260">
        <v>80</v>
      </c>
      <c r="CE347" s="260">
        <v>80</v>
      </c>
      <c r="CF347" s="272"/>
      <c r="CG347" s="260"/>
      <c r="CH347" s="260"/>
      <c r="CI347" s="260"/>
      <c r="CJ347" s="260"/>
      <c r="CK347" s="260"/>
      <c r="CL347" s="260"/>
      <c r="CM347" s="260"/>
      <c r="CN347" s="260">
        <v>40</v>
      </c>
      <c r="CO347" s="260">
        <v>80</v>
      </c>
      <c r="CP347" s="260">
        <v>80</v>
      </c>
      <c r="CQ347" s="260">
        <v>160</v>
      </c>
      <c r="CR347" s="260">
        <v>80</v>
      </c>
      <c r="CS347" s="270">
        <v>160</v>
      </c>
      <c r="CT347" s="319">
        <v>509</v>
      </c>
      <c r="CU347" s="249">
        <f>Table2821115[[#This Row],[D28 - BR/18]]/Table2821115[[#This Row],[D0 - BR/18]]</f>
        <v>1</v>
      </c>
      <c r="CV347" s="248">
        <f>Table2821115[[#This Row],[D28 - KS/17]]/Table2821115[[#This Row],[D0 - KS/17]]</f>
        <v>8</v>
      </c>
      <c r="CW347" s="248">
        <f>Table2821115[[#This Row],[D28 - Phu/13]]/Table2821115[[#This Row],[D0 - Phu/13]]</f>
        <v>1</v>
      </c>
      <c r="CX347" s="248">
        <f>Table2821115[[#This Row],[D28 - CO/17]]/Table2821115[[#This Row],[D0 - CO/17]]</f>
        <v>2</v>
      </c>
      <c r="CY347" s="248">
        <f>LOG(Table2821115[[#This Row],[BR/18 Fold]],2)</f>
        <v>0</v>
      </c>
      <c r="CZ347" s="248">
        <f>LOG(Table2821115[[#This Row],[KS/17 Fold]],2)</f>
        <v>3</v>
      </c>
      <c r="DA347" s="248">
        <f>LOG(Table2821115[[#This Row],[Phu/13 Fold]],2)</f>
        <v>0</v>
      </c>
      <c r="DB347" s="248">
        <f>LOG(Table2821115[[#This Row],[CO/17 Fold]],2)</f>
        <v>1</v>
      </c>
      <c r="DC347" s="248">
        <f>SUM(Table2821115[[#This Row],[BR/18 Log2]:[CO/17 Log2]])</f>
        <v>4</v>
      </c>
    </row>
    <row r="348" spans="1:107" ht="24" customHeight="1">
      <c r="A348" s="321">
        <v>510</v>
      </c>
      <c r="B348" s="183">
        <v>36430</v>
      </c>
      <c r="C348" s="183">
        <v>43865</v>
      </c>
      <c r="D348" s="182">
        <v>20</v>
      </c>
      <c r="E348" s="4" t="s">
        <v>58</v>
      </c>
      <c r="F348" s="143" t="s">
        <v>63</v>
      </c>
      <c r="G348" s="142">
        <v>28.335935787858869</v>
      </c>
      <c r="H348" s="317" t="s">
        <v>59</v>
      </c>
      <c r="I348" s="277" t="s">
        <v>62</v>
      </c>
      <c r="J348" s="260">
        <v>5</v>
      </c>
      <c r="K348" s="260">
        <v>5</v>
      </c>
      <c r="L348" s="260"/>
      <c r="M348" s="260"/>
      <c r="N348" s="260"/>
      <c r="O348" s="260"/>
      <c r="P348" s="260"/>
      <c r="Q348" s="260"/>
      <c r="R348" s="260"/>
      <c r="S348" s="260"/>
      <c r="T348" s="260"/>
      <c r="U348" s="260"/>
      <c r="V348" s="260">
        <v>5</v>
      </c>
      <c r="W348" s="260">
        <v>5</v>
      </c>
      <c r="X348" s="260">
        <v>10</v>
      </c>
      <c r="Y348" s="260">
        <v>80</v>
      </c>
      <c r="Z348" s="260">
        <v>10</v>
      </c>
      <c r="AA348" s="260">
        <v>160</v>
      </c>
      <c r="AB348" s="260">
        <v>10</v>
      </c>
      <c r="AC348" s="260">
        <v>80</v>
      </c>
      <c r="AD348" s="260"/>
      <c r="AE348" s="260"/>
      <c r="AF348" s="260"/>
      <c r="AG348" s="260"/>
      <c r="AH348" s="32">
        <v>510</v>
      </c>
      <c r="AI348" s="272">
        <v>80</v>
      </c>
      <c r="AJ348" s="271">
        <v>80</v>
      </c>
      <c r="AK348" s="260"/>
      <c r="AL348" s="260"/>
      <c r="AM348" s="260"/>
      <c r="AN348" s="260"/>
      <c r="AO348" s="260"/>
      <c r="AP348" s="260"/>
      <c r="AQ348" s="260"/>
      <c r="AR348" s="260"/>
      <c r="AS348" s="260"/>
      <c r="AT348" s="260"/>
      <c r="AU348" s="260">
        <v>160</v>
      </c>
      <c r="AV348" s="271">
        <v>160</v>
      </c>
      <c r="AW348" s="260">
        <v>80</v>
      </c>
      <c r="AX348" s="271">
        <v>160</v>
      </c>
      <c r="AY348" s="260">
        <v>160</v>
      </c>
      <c r="AZ348" s="271">
        <v>160</v>
      </c>
      <c r="BA348" s="276">
        <v>160</v>
      </c>
      <c r="BB348" s="276">
        <v>160</v>
      </c>
      <c r="BC348" s="276"/>
      <c r="BD348" s="276"/>
      <c r="BE348" s="276">
        <v>5</v>
      </c>
      <c r="BF348" s="276">
        <v>40</v>
      </c>
      <c r="BG348" s="260">
        <v>160</v>
      </c>
      <c r="BH348" s="271">
        <v>320</v>
      </c>
      <c r="BI348" s="276"/>
      <c r="BJ348" s="276"/>
      <c r="BK348" s="276"/>
      <c r="BL348" s="275"/>
      <c r="BM348" s="320">
        <v>510</v>
      </c>
      <c r="BN348" s="272">
        <v>20</v>
      </c>
      <c r="BO348" s="270">
        <v>20</v>
      </c>
      <c r="BP348" s="272"/>
      <c r="BQ348" s="260"/>
      <c r="BR348" s="260"/>
      <c r="BS348" s="260"/>
      <c r="BT348" s="260"/>
      <c r="BU348" s="260"/>
      <c r="BV348" s="260">
        <v>320</v>
      </c>
      <c r="BW348" s="260">
        <v>640</v>
      </c>
      <c r="BX348" s="260"/>
      <c r="BY348" s="260"/>
      <c r="BZ348" s="260"/>
      <c r="CA348" s="260"/>
      <c r="CB348" s="260"/>
      <c r="CC348" s="260"/>
      <c r="CD348" s="260">
        <v>320</v>
      </c>
      <c r="CE348" s="260">
        <v>320</v>
      </c>
      <c r="CF348" s="272"/>
      <c r="CG348" s="260"/>
      <c r="CH348" s="260"/>
      <c r="CI348" s="260"/>
      <c r="CJ348" s="260"/>
      <c r="CK348" s="260"/>
      <c r="CL348" s="260"/>
      <c r="CM348" s="260"/>
      <c r="CN348" s="260">
        <v>160</v>
      </c>
      <c r="CO348" s="260">
        <v>160</v>
      </c>
      <c r="CP348" s="260">
        <v>160</v>
      </c>
      <c r="CQ348" s="260">
        <v>160</v>
      </c>
      <c r="CR348" s="260">
        <v>160</v>
      </c>
      <c r="CS348" s="270">
        <v>160</v>
      </c>
      <c r="CT348" s="319">
        <v>510</v>
      </c>
      <c r="CU348" s="249">
        <f>Table2821115[[#This Row],[D28 - BR/18]]/Table2821115[[#This Row],[D0 - BR/18]]</f>
        <v>8</v>
      </c>
      <c r="CV348" s="248">
        <f>Table2821115[[#This Row],[D28 - KS/17]]/Table2821115[[#This Row],[D0 - KS/17]]</f>
        <v>8</v>
      </c>
      <c r="CW348" s="248">
        <f>Table2821115[[#This Row],[D28 - Phu/13]]/Table2821115[[#This Row],[D0 - Phu/13]]</f>
        <v>1</v>
      </c>
      <c r="CX348" s="248">
        <f>Table2821115[[#This Row],[D28 - CO/17]]/Table2821115[[#This Row],[D0 - CO/17]]</f>
        <v>1</v>
      </c>
      <c r="CY348" s="248">
        <f>LOG(Table2821115[[#This Row],[BR/18 Fold]],2)</f>
        <v>3</v>
      </c>
      <c r="CZ348" s="248">
        <f>LOG(Table2821115[[#This Row],[KS/17 Fold]],2)</f>
        <v>3</v>
      </c>
      <c r="DA348" s="248">
        <f>LOG(Table2821115[[#This Row],[Phu/13 Fold]],2)</f>
        <v>0</v>
      </c>
      <c r="DB348" s="248">
        <f>LOG(Table2821115[[#This Row],[CO/17 Fold]],2)</f>
        <v>0</v>
      </c>
      <c r="DC348" s="248">
        <f>SUM(Table2821115[[#This Row],[BR/18 Log2]:[CO/17 Log2]])</f>
        <v>6</v>
      </c>
    </row>
    <row r="349" spans="1:107" ht="24" customHeight="1">
      <c r="A349" s="318">
        <v>511</v>
      </c>
      <c r="B349" s="180">
        <v>24340</v>
      </c>
      <c r="C349" s="180">
        <v>43859</v>
      </c>
      <c r="D349" s="179">
        <v>53</v>
      </c>
      <c r="E349" s="4" t="s">
        <v>58</v>
      </c>
      <c r="F349" s="143" t="s">
        <v>116</v>
      </c>
      <c r="G349" s="142">
        <v>29.293204071660362</v>
      </c>
      <c r="H349" s="317" t="s">
        <v>59</v>
      </c>
      <c r="I349" s="277" t="s">
        <v>60</v>
      </c>
      <c r="J349" s="260">
        <v>5</v>
      </c>
      <c r="K349" s="260">
        <v>10</v>
      </c>
      <c r="L349" s="260"/>
      <c r="M349" s="260"/>
      <c r="N349" s="260"/>
      <c r="O349" s="260"/>
      <c r="P349" s="260"/>
      <c r="Q349" s="260"/>
      <c r="R349" s="260"/>
      <c r="S349" s="260"/>
      <c r="T349" s="260"/>
      <c r="U349" s="260"/>
      <c r="V349" s="260">
        <v>5</v>
      </c>
      <c r="W349" s="260">
        <v>5</v>
      </c>
      <c r="X349" s="260">
        <v>40</v>
      </c>
      <c r="Y349" s="260">
        <v>80</v>
      </c>
      <c r="Z349" s="260">
        <v>80</v>
      </c>
      <c r="AA349" s="260">
        <v>80</v>
      </c>
      <c r="AB349" s="260">
        <v>40</v>
      </c>
      <c r="AC349" s="260">
        <v>40</v>
      </c>
      <c r="AD349" s="260"/>
      <c r="AE349" s="260"/>
      <c r="AF349" s="260"/>
      <c r="AG349" s="260"/>
      <c r="AH349" s="195">
        <v>511</v>
      </c>
      <c r="AI349" s="272">
        <v>20</v>
      </c>
      <c r="AJ349" s="271">
        <v>20</v>
      </c>
      <c r="AK349" s="260"/>
      <c r="AL349" s="260"/>
      <c r="AM349" s="260"/>
      <c r="AN349" s="260"/>
      <c r="AO349" s="260"/>
      <c r="AP349" s="260"/>
      <c r="AQ349" s="260"/>
      <c r="AR349" s="260"/>
      <c r="AS349" s="260"/>
      <c r="AT349" s="260"/>
      <c r="AU349" s="260">
        <v>80</v>
      </c>
      <c r="AV349" s="271">
        <v>160</v>
      </c>
      <c r="AW349" s="260">
        <v>80</v>
      </c>
      <c r="AX349" s="271">
        <v>160</v>
      </c>
      <c r="AY349" s="260">
        <v>10</v>
      </c>
      <c r="AZ349" s="271">
        <v>20</v>
      </c>
      <c r="BA349" s="276">
        <v>20</v>
      </c>
      <c r="BB349" s="276">
        <v>20</v>
      </c>
      <c r="BC349" s="276"/>
      <c r="BD349" s="276"/>
      <c r="BE349" s="276">
        <v>10</v>
      </c>
      <c r="BF349" s="276">
        <v>40</v>
      </c>
      <c r="BG349" s="260">
        <v>80</v>
      </c>
      <c r="BH349" s="271">
        <v>160</v>
      </c>
      <c r="BI349" s="276"/>
      <c r="BJ349" s="276"/>
      <c r="BK349" s="276"/>
      <c r="BL349" s="275"/>
      <c r="BM349" s="316">
        <v>511</v>
      </c>
      <c r="BN349" s="272">
        <v>80</v>
      </c>
      <c r="BO349" s="270">
        <v>80</v>
      </c>
      <c r="BP349" s="272"/>
      <c r="BQ349" s="260"/>
      <c r="BR349" s="260"/>
      <c r="BS349" s="260"/>
      <c r="BT349" s="260"/>
      <c r="BU349" s="260"/>
      <c r="BV349" s="260">
        <v>5</v>
      </c>
      <c r="BW349" s="260">
        <v>5</v>
      </c>
      <c r="BX349" s="260"/>
      <c r="BY349" s="260"/>
      <c r="BZ349" s="260"/>
      <c r="CA349" s="260"/>
      <c r="CB349" s="260"/>
      <c r="CC349" s="260"/>
      <c r="CD349" s="260">
        <v>40</v>
      </c>
      <c r="CE349" s="260">
        <v>40</v>
      </c>
      <c r="CF349" s="272"/>
      <c r="CG349" s="260"/>
      <c r="CH349" s="260"/>
      <c r="CI349" s="260"/>
      <c r="CJ349" s="260"/>
      <c r="CK349" s="260"/>
      <c r="CL349" s="260"/>
      <c r="CM349" s="260"/>
      <c r="CN349" s="260">
        <v>20</v>
      </c>
      <c r="CO349" s="260">
        <v>40</v>
      </c>
      <c r="CP349" s="260">
        <v>40</v>
      </c>
      <c r="CQ349" s="260">
        <v>40</v>
      </c>
      <c r="CR349" s="260">
        <v>20</v>
      </c>
      <c r="CS349" s="270">
        <v>40</v>
      </c>
      <c r="CT349" s="315">
        <v>511</v>
      </c>
      <c r="CU349" s="249">
        <f>Table2821115[[#This Row],[D28 - BR/18]]/Table2821115[[#This Row],[D0 - BR/18]]</f>
        <v>1</v>
      </c>
      <c r="CV349" s="248">
        <f>Table2821115[[#This Row],[D28 - KS/17]]/Table2821115[[#This Row],[D0 - KS/17]]</f>
        <v>4</v>
      </c>
      <c r="CW349" s="248">
        <f>Table2821115[[#This Row],[D28 - Phu/13]]/Table2821115[[#This Row],[D0 - Phu/13]]</f>
        <v>1</v>
      </c>
      <c r="CX349" s="248">
        <f>Table2821115[[#This Row],[D28 - CO/17]]/Table2821115[[#This Row],[D0 - CO/17]]</f>
        <v>1</v>
      </c>
      <c r="CY349" s="248">
        <f>LOG(Table2821115[[#This Row],[BR/18 Fold]],2)</f>
        <v>0</v>
      </c>
      <c r="CZ349" s="248">
        <f>LOG(Table2821115[[#This Row],[KS/17 Fold]],2)</f>
        <v>2</v>
      </c>
      <c r="DA349" s="248">
        <f>LOG(Table2821115[[#This Row],[Phu/13 Fold]],2)</f>
        <v>0</v>
      </c>
      <c r="DB349" s="248">
        <f>LOG(Table2821115[[#This Row],[CO/17 Fold]],2)</f>
        <v>0</v>
      </c>
      <c r="DC349" s="248">
        <f>SUM(Table2821115[[#This Row],[BR/18 Log2]:[CO/17 Log2]])</f>
        <v>2</v>
      </c>
    </row>
    <row r="350" spans="1:107" ht="24" customHeight="1">
      <c r="A350" s="321">
        <v>512</v>
      </c>
      <c r="B350" s="183">
        <v>34054</v>
      </c>
      <c r="C350" s="183">
        <v>43861</v>
      </c>
      <c r="D350" s="182">
        <v>26</v>
      </c>
      <c r="E350" s="3" t="s">
        <v>61</v>
      </c>
      <c r="F350" s="143" t="s">
        <v>116</v>
      </c>
      <c r="G350" s="142">
        <v>27.954014289502787</v>
      </c>
      <c r="H350" s="317" t="s">
        <v>59</v>
      </c>
      <c r="I350" s="277" t="s">
        <v>62</v>
      </c>
      <c r="J350" s="260">
        <v>5</v>
      </c>
      <c r="K350" s="260">
        <v>20</v>
      </c>
      <c r="L350" s="260"/>
      <c r="M350" s="260"/>
      <c r="N350" s="260"/>
      <c r="O350" s="260"/>
      <c r="P350" s="260"/>
      <c r="Q350" s="260"/>
      <c r="R350" s="260"/>
      <c r="S350" s="260"/>
      <c r="T350" s="260"/>
      <c r="U350" s="260"/>
      <c r="V350" s="260">
        <v>5</v>
      </c>
      <c r="W350" s="260">
        <v>160</v>
      </c>
      <c r="X350" s="260">
        <v>160</v>
      </c>
      <c r="Y350" s="260">
        <v>160</v>
      </c>
      <c r="Z350" s="260">
        <v>5</v>
      </c>
      <c r="AA350" s="260">
        <v>160</v>
      </c>
      <c r="AB350" s="260">
        <v>80</v>
      </c>
      <c r="AC350" s="260">
        <v>80</v>
      </c>
      <c r="AD350" s="260"/>
      <c r="AE350" s="260"/>
      <c r="AF350" s="260"/>
      <c r="AG350" s="260"/>
      <c r="AH350" s="32">
        <v>512</v>
      </c>
      <c r="AI350" s="272">
        <v>40</v>
      </c>
      <c r="AJ350" s="271">
        <v>40</v>
      </c>
      <c r="AK350" s="260"/>
      <c r="AL350" s="260"/>
      <c r="AM350" s="260"/>
      <c r="AN350" s="260"/>
      <c r="AO350" s="260"/>
      <c r="AP350" s="260"/>
      <c r="AQ350" s="260"/>
      <c r="AR350" s="260"/>
      <c r="AS350" s="260"/>
      <c r="AT350" s="260"/>
      <c r="AU350" s="260">
        <v>40</v>
      </c>
      <c r="AV350" s="271">
        <v>80</v>
      </c>
      <c r="AW350" s="260">
        <v>5</v>
      </c>
      <c r="AX350" s="271">
        <v>40</v>
      </c>
      <c r="AY350" s="260">
        <v>20</v>
      </c>
      <c r="AZ350" s="271">
        <v>40</v>
      </c>
      <c r="BA350" s="276">
        <v>20</v>
      </c>
      <c r="BB350" s="276">
        <v>40</v>
      </c>
      <c r="BC350" s="276"/>
      <c r="BD350" s="276"/>
      <c r="BE350" s="276">
        <v>5</v>
      </c>
      <c r="BF350" s="276">
        <v>40</v>
      </c>
      <c r="BG350" s="260">
        <v>40</v>
      </c>
      <c r="BH350" s="271">
        <v>80</v>
      </c>
      <c r="BI350" s="276"/>
      <c r="BJ350" s="276"/>
      <c r="BK350" s="276"/>
      <c r="BL350" s="275"/>
      <c r="BM350" s="320">
        <v>512</v>
      </c>
      <c r="BN350" s="272">
        <v>5</v>
      </c>
      <c r="BO350" s="270">
        <v>80</v>
      </c>
      <c r="BP350" s="272"/>
      <c r="BQ350" s="260"/>
      <c r="BR350" s="260"/>
      <c r="BS350" s="260"/>
      <c r="BT350" s="260"/>
      <c r="BU350" s="260"/>
      <c r="BV350" s="260">
        <v>5</v>
      </c>
      <c r="BW350" s="260">
        <v>320</v>
      </c>
      <c r="BX350" s="260"/>
      <c r="BY350" s="260"/>
      <c r="BZ350" s="260"/>
      <c r="CA350" s="260"/>
      <c r="CB350" s="260"/>
      <c r="CC350" s="260"/>
      <c r="CD350" s="260">
        <v>40</v>
      </c>
      <c r="CE350" s="260">
        <v>160</v>
      </c>
      <c r="CF350" s="272"/>
      <c r="CG350" s="260"/>
      <c r="CH350" s="260"/>
      <c r="CI350" s="260"/>
      <c r="CJ350" s="260"/>
      <c r="CK350" s="260"/>
      <c r="CL350" s="260"/>
      <c r="CM350" s="260"/>
      <c r="CN350" s="260">
        <v>10</v>
      </c>
      <c r="CO350" s="260">
        <v>80</v>
      </c>
      <c r="CP350" s="260">
        <v>5</v>
      </c>
      <c r="CQ350" s="260">
        <v>80</v>
      </c>
      <c r="CR350" s="260">
        <v>10</v>
      </c>
      <c r="CS350" s="270">
        <v>80</v>
      </c>
      <c r="CT350" s="319">
        <v>512</v>
      </c>
      <c r="CU350" s="249">
        <f>Table2821115[[#This Row],[D28 - BR/18]]/Table2821115[[#This Row],[D0 - BR/18]]</f>
        <v>1</v>
      </c>
      <c r="CV350" s="248">
        <f>Table2821115[[#This Row],[D28 - KS/17]]/Table2821115[[#This Row],[D0 - KS/17]]</f>
        <v>8</v>
      </c>
      <c r="CW350" s="248">
        <f>Table2821115[[#This Row],[D28 - Phu/13]]/Table2821115[[#This Row],[D0 - Phu/13]]</f>
        <v>4</v>
      </c>
      <c r="CX350" s="248">
        <f>Table2821115[[#This Row],[D28 - CO/17]]/Table2821115[[#This Row],[D0 - CO/17]]</f>
        <v>16</v>
      </c>
      <c r="CY350" s="248">
        <f>LOG(Table2821115[[#This Row],[BR/18 Fold]],2)</f>
        <v>0</v>
      </c>
      <c r="CZ350" s="248">
        <f>LOG(Table2821115[[#This Row],[KS/17 Fold]],2)</f>
        <v>3</v>
      </c>
      <c r="DA350" s="248">
        <f>LOG(Table2821115[[#This Row],[Phu/13 Fold]],2)</f>
        <v>2</v>
      </c>
      <c r="DB350" s="248">
        <f>LOG(Table2821115[[#This Row],[CO/17 Fold]],2)</f>
        <v>4</v>
      </c>
      <c r="DC350" s="248">
        <f>SUM(Table2821115[[#This Row],[BR/18 Log2]:[CO/17 Log2]])</f>
        <v>9</v>
      </c>
    </row>
    <row r="351" spans="1:107" ht="24" customHeight="1">
      <c r="A351" s="318">
        <v>513</v>
      </c>
      <c r="B351" s="180">
        <v>20355</v>
      </c>
      <c r="C351" s="180">
        <v>43865</v>
      </c>
      <c r="D351" s="179">
        <v>64</v>
      </c>
      <c r="E351" s="3" t="s">
        <v>61</v>
      </c>
      <c r="F351" s="143" t="s">
        <v>117</v>
      </c>
      <c r="G351" s="142">
        <v>33.840830449826996</v>
      </c>
      <c r="H351" s="317" t="s">
        <v>59</v>
      </c>
      <c r="I351" s="277" t="s">
        <v>62</v>
      </c>
      <c r="J351" s="260">
        <v>5</v>
      </c>
      <c r="K351" s="260">
        <v>5</v>
      </c>
      <c r="L351" s="260"/>
      <c r="M351" s="260"/>
      <c r="N351" s="260"/>
      <c r="O351" s="260"/>
      <c r="P351" s="260"/>
      <c r="Q351" s="260"/>
      <c r="R351" s="260"/>
      <c r="S351" s="260"/>
      <c r="T351" s="260"/>
      <c r="U351" s="260"/>
      <c r="V351" s="260">
        <v>5</v>
      </c>
      <c r="W351" s="260">
        <v>5</v>
      </c>
      <c r="X351" s="260">
        <v>5</v>
      </c>
      <c r="Y351" s="260">
        <v>20</v>
      </c>
      <c r="Z351" s="260">
        <v>20</v>
      </c>
      <c r="AA351" s="260">
        <v>40</v>
      </c>
      <c r="AB351" s="260">
        <v>10</v>
      </c>
      <c r="AC351" s="260">
        <v>20</v>
      </c>
      <c r="AD351" s="260"/>
      <c r="AE351" s="260"/>
      <c r="AF351" s="260"/>
      <c r="AG351" s="260"/>
      <c r="AH351" s="195">
        <v>513</v>
      </c>
      <c r="AI351" s="272">
        <v>10</v>
      </c>
      <c r="AJ351" s="271">
        <v>10</v>
      </c>
      <c r="AK351" s="260"/>
      <c r="AL351" s="260"/>
      <c r="AM351" s="260"/>
      <c r="AN351" s="260"/>
      <c r="AO351" s="260"/>
      <c r="AP351" s="260"/>
      <c r="AQ351" s="260"/>
      <c r="AR351" s="260"/>
      <c r="AS351" s="260"/>
      <c r="AT351" s="260"/>
      <c r="AU351" s="260">
        <v>20</v>
      </c>
      <c r="AV351" s="271">
        <v>40</v>
      </c>
      <c r="AW351" s="260">
        <v>20</v>
      </c>
      <c r="AX351" s="271">
        <v>40</v>
      </c>
      <c r="AY351" s="260">
        <v>5</v>
      </c>
      <c r="AZ351" s="271">
        <v>20</v>
      </c>
      <c r="BA351" s="276">
        <v>20</v>
      </c>
      <c r="BB351" s="276">
        <v>20</v>
      </c>
      <c r="BC351" s="276"/>
      <c r="BD351" s="276"/>
      <c r="BE351" s="276">
        <v>5</v>
      </c>
      <c r="BF351" s="276">
        <v>10</v>
      </c>
      <c r="BG351" s="260">
        <v>20</v>
      </c>
      <c r="BH351" s="271">
        <v>20</v>
      </c>
      <c r="BI351" s="276"/>
      <c r="BJ351" s="276"/>
      <c r="BK351" s="276"/>
      <c r="BL351" s="275"/>
      <c r="BM351" s="316">
        <v>513</v>
      </c>
      <c r="BN351" s="272">
        <v>320</v>
      </c>
      <c r="BO351" s="270">
        <v>320</v>
      </c>
      <c r="BP351" s="272"/>
      <c r="BQ351" s="260"/>
      <c r="BR351" s="260"/>
      <c r="BS351" s="260"/>
      <c r="BT351" s="260"/>
      <c r="BU351" s="260"/>
      <c r="BV351" s="260">
        <v>5</v>
      </c>
      <c r="BW351" s="260">
        <v>5</v>
      </c>
      <c r="BX351" s="260"/>
      <c r="BY351" s="260"/>
      <c r="BZ351" s="260"/>
      <c r="CA351" s="260"/>
      <c r="CB351" s="260"/>
      <c r="CC351" s="260"/>
      <c r="CD351" s="260">
        <v>40</v>
      </c>
      <c r="CE351" s="260">
        <v>80</v>
      </c>
      <c r="CF351" s="272"/>
      <c r="CG351" s="260"/>
      <c r="CH351" s="260"/>
      <c r="CI351" s="260"/>
      <c r="CJ351" s="260"/>
      <c r="CK351" s="260"/>
      <c r="CL351" s="260"/>
      <c r="CM351" s="260"/>
      <c r="CN351" s="260">
        <v>40</v>
      </c>
      <c r="CO351" s="260">
        <v>80</v>
      </c>
      <c r="CP351" s="260">
        <v>40</v>
      </c>
      <c r="CQ351" s="260">
        <v>80</v>
      </c>
      <c r="CR351" s="260">
        <v>10</v>
      </c>
      <c r="CS351" s="270">
        <v>40</v>
      </c>
      <c r="CT351" s="315">
        <v>513</v>
      </c>
      <c r="CU351" s="249">
        <f>Table2821115[[#This Row],[D28 - BR/18]]/Table2821115[[#This Row],[D0 - BR/18]]</f>
        <v>2</v>
      </c>
      <c r="CV351" s="248">
        <f>Table2821115[[#This Row],[D28 - KS/17]]/Table2821115[[#This Row],[D0 - KS/17]]</f>
        <v>2</v>
      </c>
      <c r="CW351" s="248">
        <f>Table2821115[[#This Row],[D28 - Phu/13]]/Table2821115[[#This Row],[D0 - Phu/13]]</f>
        <v>2</v>
      </c>
      <c r="CX351" s="248">
        <f>Table2821115[[#This Row],[D28 - CO/17]]/Table2821115[[#This Row],[D0 - CO/17]]</f>
        <v>2</v>
      </c>
      <c r="CY351" s="248">
        <f>LOG(Table2821115[[#This Row],[BR/18 Fold]],2)</f>
        <v>1</v>
      </c>
      <c r="CZ351" s="248">
        <f>LOG(Table2821115[[#This Row],[KS/17 Fold]],2)</f>
        <v>1</v>
      </c>
      <c r="DA351" s="248">
        <f>LOG(Table2821115[[#This Row],[Phu/13 Fold]],2)</f>
        <v>1</v>
      </c>
      <c r="DB351" s="248">
        <f>LOG(Table2821115[[#This Row],[CO/17 Fold]],2)</f>
        <v>1</v>
      </c>
      <c r="DC351" s="248">
        <f>SUM(Table2821115[[#This Row],[BR/18 Log2]:[CO/17 Log2]])</f>
        <v>4</v>
      </c>
    </row>
    <row r="352" spans="1:107" ht="24" customHeight="1">
      <c r="A352" s="318">
        <v>514</v>
      </c>
      <c r="B352" s="180">
        <v>24794</v>
      </c>
      <c r="C352" s="180">
        <v>43865</v>
      </c>
      <c r="D352" s="179">
        <v>52</v>
      </c>
      <c r="E352" s="4" t="s">
        <v>58</v>
      </c>
      <c r="F352" s="143" t="s">
        <v>117</v>
      </c>
      <c r="G352" s="142">
        <v>25.401234567901231</v>
      </c>
      <c r="H352" s="317" t="s">
        <v>59</v>
      </c>
      <c r="I352" s="277" t="s">
        <v>62</v>
      </c>
      <c r="J352" s="260">
        <v>5</v>
      </c>
      <c r="K352" s="260">
        <v>5</v>
      </c>
      <c r="L352" s="260"/>
      <c r="M352" s="260"/>
      <c r="N352" s="260"/>
      <c r="O352" s="260"/>
      <c r="P352" s="260"/>
      <c r="Q352" s="260"/>
      <c r="R352" s="260"/>
      <c r="S352" s="260"/>
      <c r="T352" s="260"/>
      <c r="U352" s="260"/>
      <c r="V352" s="260">
        <v>5</v>
      </c>
      <c r="W352" s="260">
        <v>5</v>
      </c>
      <c r="X352" s="260">
        <v>160</v>
      </c>
      <c r="Y352" s="260">
        <v>160</v>
      </c>
      <c r="Z352" s="260">
        <v>320</v>
      </c>
      <c r="AA352" s="260">
        <v>320</v>
      </c>
      <c r="AB352" s="260">
        <v>160</v>
      </c>
      <c r="AC352" s="260">
        <v>160</v>
      </c>
      <c r="AD352" s="260"/>
      <c r="AE352" s="260"/>
      <c r="AF352" s="260"/>
      <c r="AG352" s="260"/>
      <c r="AH352" s="195">
        <v>514</v>
      </c>
      <c r="AI352" s="272">
        <v>10</v>
      </c>
      <c r="AJ352" s="271">
        <v>20</v>
      </c>
      <c r="AK352" s="260"/>
      <c r="AL352" s="260"/>
      <c r="AM352" s="260"/>
      <c r="AN352" s="260"/>
      <c r="AO352" s="260"/>
      <c r="AP352" s="260"/>
      <c r="AQ352" s="260"/>
      <c r="AR352" s="260"/>
      <c r="AS352" s="260"/>
      <c r="AT352" s="260"/>
      <c r="AU352" s="260">
        <v>5</v>
      </c>
      <c r="AV352" s="271">
        <v>40</v>
      </c>
      <c r="AW352" s="260">
        <v>10</v>
      </c>
      <c r="AX352" s="271">
        <v>80</v>
      </c>
      <c r="AY352" s="260">
        <v>5</v>
      </c>
      <c r="AZ352" s="271">
        <v>20</v>
      </c>
      <c r="BA352" s="276">
        <v>80</v>
      </c>
      <c r="BB352" s="276">
        <v>20</v>
      </c>
      <c r="BC352" s="276"/>
      <c r="BD352" s="276"/>
      <c r="BE352" s="276">
        <v>5</v>
      </c>
      <c r="BF352" s="276">
        <v>20</v>
      </c>
      <c r="BG352" s="260">
        <v>10</v>
      </c>
      <c r="BH352" s="271">
        <v>40</v>
      </c>
      <c r="BI352" s="276"/>
      <c r="BJ352" s="276"/>
      <c r="BK352" s="276"/>
      <c r="BL352" s="275"/>
      <c r="BM352" s="316">
        <v>514</v>
      </c>
      <c r="BN352" s="272">
        <v>80</v>
      </c>
      <c r="BO352" s="270">
        <v>160</v>
      </c>
      <c r="BP352" s="272"/>
      <c r="BQ352" s="260"/>
      <c r="BR352" s="260"/>
      <c r="BS352" s="260"/>
      <c r="BT352" s="260"/>
      <c r="BU352" s="260"/>
      <c r="BV352" s="260">
        <v>5</v>
      </c>
      <c r="BW352" s="260">
        <v>5</v>
      </c>
      <c r="BX352" s="260"/>
      <c r="BY352" s="260"/>
      <c r="BZ352" s="260"/>
      <c r="CA352" s="260"/>
      <c r="CB352" s="260"/>
      <c r="CC352" s="260"/>
      <c r="CD352" s="260">
        <v>40</v>
      </c>
      <c r="CE352" s="260">
        <v>160</v>
      </c>
      <c r="CF352" s="272"/>
      <c r="CG352" s="260"/>
      <c r="CH352" s="260"/>
      <c r="CI352" s="260"/>
      <c r="CJ352" s="260"/>
      <c r="CK352" s="260"/>
      <c r="CL352" s="260"/>
      <c r="CM352" s="260"/>
      <c r="CN352" s="260">
        <v>40</v>
      </c>
      <c r="CO352" s="260">
        <v>80</v>
      </c>
      <c r="CP352" s="260">
        <v>40</v>
      </c>
      <c r="CQ352" s="260">
        <v>160</v>
      </c>
      <c r="CR352" s="260">
        <v>40</v>
      </c>
      <c r="CS352" s="270">
        <v>160</v>
      </c>
      <c r="CT352" s="315">
        <v>514</v>
      </c>
      <c r="CU352" s="249">
        <f>Table2821115[[#This Row],[D28 - BR/18]]/Table2821115[[#This Row],[D0 - BR/18]]</f>
        <v>1</v>
      </c>
      <c r="CV352" s="248">
        <f>Table2821115[[#This Row],[D28 - KS/17]]/Table2821115[[#This Row],[D0 - KS/17]]</f>
        <v>4</v>
      </c>
      <c r="CW352" s="248">
        <f>Table2821115[[#This Row],[D28 - Phu/13]]/Table2821115[[#This Row],[D0 - Phu/13]]</f>
        <v>4</v>
      </c>
      <c r="CX352" s="248">
        <f>Table2821115[[#This Row],[D28 - CO/17]]/Table2821115[[#This Row],[D0 - CO/17]]</f>
        <v>4</v>
      </c>
      <c r="CY352" s="248">
        <f>LOG(Table2821115[[#This Row],[BR/18 Fold]],2)</f>
        <v>0</v>
      </c>
      <c r="CZ352" s="248">
        <f>LOG(Table2821115[[#This Row],[KS/17 Fold]],2)</f>
        <v>2</v>
      </c>
      <c r="DA352" s="248">
        <f>LOG(Table2821115[[#This Row],[Phu/13 Fold]],2)</f>
        <v>2</v>
      </c>
      <c r="DB352" s="248">
        <f>LOG(Table2821115[[#This Row],[CO/17 Fold]],2)</f>
        <v>2</v>
      </c>
      <c r="DC352" s="248">
        <f>SUM(Table2821115[[#This Row],[BR/18 Log2]:[CO/17 Log2]])</f>
        <v>6</v>
      </c>
    </row>
    <row r="353" spans="1:107" ht="24" customHeight="1">
      <c r="A353" s="321">
        <v>516</v>
      </c>
      <c r="B353" s="183">
        <v>33427</v>
      </c>
      <c r="C353" s="183">
        <v>43868</v>
      </c>
      <c r="D353" s="182">
        <v>28</v>
      </c>
      <c r="E353" s="3" t="s">
        <v>61</v>
      </c>
      <c r="F353" s="143" t="s">
        <v>116</v>
      </c>
      <c r="G353" s="142">
        <v>19.799511612046906</v>
      </c>
      <c r="H353" s="317" t="s">
        <v>59</v>
      </c>
      <c r="I353" s="277" t="s">
        <v>60</v>
      </c>
      <c r="J353" s="260">
        <v>5</v>
      </c>
      <c r="K353" s="260">
        <v>5</v>
      </c>
      <c r="L353" s="260"/>
      <c r="M353" s="260"/>
      <c r="N353" s="260"/>
      <c r="O353" s="260"/>
      <c r="P353" s="260"/>
      <c r="Q353" s="260"/>
      <c r="R353" s="260"/>
      <c r="S353" s="260"/>
      <c r="T353" s="260"/>
      <c r="U353" s="260"/>
      <c r="V353" s="260">
        <v>5</v>
      </c>
      <c r="W353" s="260">
        <v>5</v>
      </c>
      <c r="X353" s="260">
        <v>80</v>
      </c>
      <c r="Y353" s="260">
        <v>80</v>
      </c>
      <c r="Z353" s="260">
        <v>160</v>
      </c>
      <c r="AA353" s="260">
        <v>160</v>
      </c>
      <c r="AB353" s="260">
        <v>80</v>
      </c>
      <c r="AC353" s="260">
        <v>80</v>
      </c>
      <c r="AD353" s="260"/>
      <c r="AE353" s="260"/>
      <c r="AF353" s="260"/>
      <c r="AG353" s="260"/>
      <c r="AH353" s="32">
        <v>516</v>
      </c>
      <c r="AI353" s="272">
        <v>320</v>
      </c>
      <c r="AJ353" s="271">
        <v>320</v>
      </c>
      <c r="AK353" s="260"/>
      <c r="AL353" s="260"/>
      <c r="AM353" s="260"/>
      <c r="AN353" s="260"/>
      <c r="AO353" s="260"/>
      <c r="AP353" s="260"/>
      <c r="AQ353" s="260"/>
      <c r="AR353" s="260"/>
      <c r="AS353" s="260"/>
      <c r="AT353" s="260"/>
      <c r="AU353" s="260">
        <v>160</v>
      </c>
      <c r="AV353" s="271">
        <v>160</v>
      </c>
      <c r="AW353" s="260">
        <v>80</v>
      </c>
      <c r="AX353" s="271">
        <v>80</v>
      </c>
      <c r="AY353" s="260">
        <v>160</v>
      </c>
      <c r="AZ353" s="271">
        <v>160</v>
      </c>
      <c r="BA353" s="276">
        <v>5</v>
      </c>
      <c r="BB353" s="276">
        <v>80</v>
      </c>
      <c r="BC353" s="276"/>
      <c r="BD353" s="276"/>
      <c r="BE353" s="276">
        <v>40</v>
      </c>
      <c r="BF353" s="276">
        <v>80</v>
      </c>
      <c r="BG353" s="260">
        <v>160</v>
      </c>
      <c r="BH353" s="271">
        <v>160</v>
      </c>
      <c r="BI353" s="276"/>
      <c r="BJ353" s="276"/>
      <c r="BK353" s="276"/>
      <c r="BL353" s="275"/>
      <c r="BM353" s="320">
        <v>516</v>
      </c>
      <c r="BN353" s="272">
        <v>1280</v>
      </c>
      <c r="BO353" s="270">
        <v>1280</v>
      </c>
      <c r="BP353" s="272"/>
      <c r="BQ353" s="260"/>
      <c r="BR353" s="260"/>
      <c r="BS353" s="260"/>
      <c r="BT353" s="260"/>
      <c r="BU353" s="260"/>
      <c r="BV353" s="260">
        <v>640</v>
      </c>
      <c r="BW353" s="260">
        <v>640</v>
      </c>
      <c r="BX353" s="260"/>
      <c r="BY353" s="260"/>
      <c r="BZ353" s="260"/>
      <c r="CA353" s="260"/>
      <c r="CB353" s="260"/>
      <c r="CC353" s="260"/>
      <c r="CD353" s="260">
        <v>640</v>
      </c>
      <c r="CE353" s="260">
        <v>640</v>
      </c>
      <c r="CF353" s="272"/>
      <c r="CG353" s="260"/>
      <c r="CH353" s="260"/>
      <c r="CI353" s="260"/>
      <c r="CJ353" s="260"/>
      <c r="CK353" s="260"/>
      <c r="CL353" s="260"/>
      <c r="CM353" s="260"/>
      <c r="CN353" s="260">
        <v>160</v>
      </c>
      <c r="CO353" s="260">
        <v>320</v>
      </c>
      <c r="CP353" s="260">
        <v>320</v>
      </c>
      <c r="CQ353" s="260">
        <v>320</v>
      </c>
      <c r="CR353" s="260">
        <v>80</v>
      </c>
      <c r="CS353" s="270">
        <v>160</v>
      </c>
      <c r="CT353" s="319">
        <v>516</v>
      </c>
      <c r="CU353" s="249">
        <f>Table2821115[[#This Row],[D28 - BR/18]]/Table2821115[[#This Row],[D0 - BR/18]]</f>
        <v>1</v>
      </c>
      <c r="CV353" s="248">
        <f>Table2821115[[#This Row],[D28 - KS/17]]/Table2821115[[#This Row],[D0 - KS/17]]</f>
        <v>2</v>
      </c>
      <c r="CW353" s="248">
        <f>Table2821115[[#This Row],[D28 - Phu/13]]/Table2821115[[#This Row],[D0 - Phu/13]]</f>
        <v>1</v>
      </c>
      <c r="CX353" s="248">
        <f>Table2821115[[#This Row],[D28 - CO/17]]/Table2821115[[#This Row],[D0 - CO/17]]</f>
        <v>1</v>
      </c>
      <c r="CY353" s="248">
        <f>LOG(Table2821115[[#This Row],[BR/18 Fold]],2)</f>
        <v>0</v>
      </c>
      <c r="CZ353" s="248">
        <f>LOG(Table2821115[[#This Row],[KS/17 Fold]],2)</f>
        <v>1</v>
      </c>
      <c r="DA353" s="248">
        <f>LOG(Table2821115[[#This Row],[Phu/13 Fold]],2)</f>
        <v>0</v>
      </c>
      <c r="DB353" s="248">
        <f>LOG(Table2821115[[#This Row],[CO/17 Fold]],2)</f>
        <v>0</v>
      </c>
      <c r="DC353" s="248">
        <f>SUM(Table2821115[[#This Row],[BR/18 Log2]:[CO/17 Log2]])</f>
        <v>1</v>
      </c>
    </row>
    <row r="354" spans="1:107" ht="24" customHeight="1">
      <c r="A354" s="318">
        <v>517</v>
      </c>
      <c r="B354" s="180">
        <v>24148</v>
      </c>
      <c r="C354" s="180">
        <v>43865</v>
      </c>
      <c r="D354" s="179">
        <v>53</v>
      </c>
      <c r="E354" s="4" t="s">
        <v>58</v>
      </c>
      <c r="F354" s="143" t="s">
        <v>116</v>
      </c>
      <c r="G354" s="142">
        <v>24.820472128545926</v>
      </c>
      <c r="H354" s="317" t="s">
        <v>59</v>
      </c>
      <c r="I354" s="277" t="s">
        <v>62</v>
      </c>
      <c r="J354" s="260">
        <v>5</v>
      </c>
      <c r="K354" s="260">
        <v>5</v>
      </c>
      <c r="L354" s="260"/>
      <c r="M354" s="260"/>
      <c r="N354" s="260"/>
      <c r="O354" s="260"/>
      <c r="P354" s="260"/>
      <c r="Q354" s="260"/>
      <c r="R354" s="260"/>
      <c r="S354" s="260"/>
      <c r="T354" s="260"/>
      <c r="U354" s="260"/>
      <c r="V354" s="260">
        <v>5</v>
      </c>
      <c r="W354" s="260">
        <v>5</v>
      </c>
      <c r="X354" s="260">
        <v>80</v>
      </c>
      <c r="Y354" s="260">
        <v>80</v>
      </c>
      <c r="Z354" s="260">
        <v>160</v>
      </c>
      <c r="AA354" s="260">
        <v>160</v>
      </c>
      <c r="AB354" s="260">
        <v>160</v>
      </c>
      <c r="AC354" s="260">
        <v>160</v>
      </c>
      <c r="AD354" s="260"/>
      <c r="AE354" s="260"/>
      <c r="AF354" s="260"/>
      <c r="AG354" s="260"/>
      <c r="AH354" s="195">
        <v>517</v>
      </c>
      <c r="AI354" s="272">
        <v>5</v>
      </c>
      <c r="AJ354" s="271">
        <v>40</v>
      </c>
      <c r="AK354" s="260"/>
      <c r="AL354" s="260"/>
      <c r="AM354" s="260"/>
      <c r="AN354" s="260"/>
      <c r="AO354" s="260"/>
      <c r="AP354" s="260"/>
      <c r="AQ354" s="260"/>
      <c r="AR354" s="260"/>
      <c r="AS354" s="260"/>
      <c r="AT354" s="260"/>
      <c r="AU354" s="260">
        <v>20</v>
      </c>
      <c r="AV354" s="271">
        <v>160</v>
      </c>
      <c r="AW354" s="260">
        <v>20</v>
      </c>
      <c r="AX354" s="271">
        <v>320</v>
      </c>
      <c r="AY354" s="260">
        <v>10</v>
      </c>
      <c r="AZ354" s="271">
        <v>160</v>
      </c>
      <c r="BA354" s="276">
        <v>20</v>
      </c>
      <c r="BB354" s="276">
        <v>160</v>
      </c>
      <c r="BC354" s="276"/>
      <c r="BD354" s="276"/>
      <c r="BE354" s="276">
        <v>5</v>
      </c>
      <c r="BF354" s="276">
        <v>160</v>
      </c>
      <c r="BG354" s="260">
        <v>40</v>
      </c>
      <c r="BH354" s="271">
        <v>160</v>
      </c>
      <c r="BI354" s="276"/>
      <c r="BJ354" s="276"/>
      <c r="BK354" s="276"/>
      <c r="BL354" s="275"/>
      <c r="BM354" s="316">
        <v>517</v>
      </c>
      <c r="BN354" s="272">
        <v>40</v>
      </c>
      <c r="BO354" s="270">
        <v>160</v>
      </c>
      <c r="BP354" s="272"/>
      <c r="BQ354" s="260"/>
      <c r="BR354" s="260"/>
      <c r="BS354" s="260"/>
      <c r="BT354" s="260"/>
      <c r="BU354" s="260"/>
      <c r="BV354" s="260">
        <v>5</v>
      </c>
      <c r="BW354" s="260">
        <v>5</v>
      </c>
      <c r="BX354" s="260"/>
      <c r="BY354" s="260"/>
      <c r="BZ354" s="260"/>
      <c r="CA354" s="260"/>
      <c r="CB354" s="260"/>
      <c r="CC354" s="260"/>
      <c r="CD354" s="260">
        <v>40</v>
      </c>
      <c r="CE354" s="260">
        <v>160</v>
      </c>
      <c r="CF354" s="272"/>
      <c r="CG354" s="260"/>
      <c r="CH354" s="260"/>
      <c r="CI354" s="260"/>
      <c r="CJ354" s="260"/>
      <c r="CK354" s="260"/>
      <c r="CL354" s="260"/>
      <c r="CM354" s="260"/>
      <c r="CN354" s="260">
        <v>80</v>
      </c>
      <c r="CO354" s="260">
        <v>160</v>
      </c>
      <c r="CP354" s="260">
        <v>80</v>
      </c>
      <c r="CQ354" s="260">
        <v>160</v>
      </c>
      <c r="CR354" s="260">
        <v>80</v>
      </c>
      <c r="CS354" s="270">
        <v>320</v>
      </c>
      <c r="CT354" s="315">
        <v>517</v>
      </c>
      <c r="CU354" s="249">
        <f>Table2821115[[#This Row],[D28 - BR/18]]/Table2821115[[#This Row],[D0 - BR/18]]</f>
        <v>1</v>
      </c>
      <c r="CV354" s="248">
        <f>Table2821115[[#This Row],[D28 - KS/17]]/Table2821115[[#This Row],[D0 - KS/17]]</f>
        <v>32</v>
      </c>
      <c r="CW354" s="248">
        <f>Table2821115[[#This Row],[D28 - Phu/13]]/Table2821115[[#This Row],[D0 - Phu/13]]</f>
        <v>4</v>
      </c>
      <c r="CX354" s="248">
        <f>Table2821115[[#This Row],[D28 - CO/17]]/Table2821115[[#This Row],[D0 - CO/17]]</f>
        <v>2</v>
      </c>
      <c r="CY354" s="248">
        <f>LOG(Table2821115[[#This Row],[BR/18 Fold]],2)</f>
        <v>0</v>
      </c>
      <c r="CZ354" s="248">
        <f>LOG(Table2821115[[#This Row],[KS/17 Fold]],2)</f>
        <v>5</v>
      </c>
      <c r="DA354" s="248">
        <f>LOG(Table2821115[[#This Row],[Phu/13 Fold]],2)</f>
        <v>2</v>
      </c>
      <c r="DB354" s="248">
        <f>LOG(Table2821115[[#This Row],[CO/17 Fold]],2)</f>
        <v>1</v>
      </c>
      <c r="DC354" s="248">
        <f>SUM(Table2821115[[#This Row],[BR/18 Log2]:[CO/17 Log2]])</f>
        <v>8</v>
      </c>
    </row>
    <row r="355" spans="1:107" ht="24" customHeight="1">
      <c r="A355" s="324">
        <v>518</v>
      </c>
      <c r="B355" s="190">
        <v>25698</v>
      </c>
      <c r="C355" s="190">
        <v>43869</v>
      </c>
      <c r="D355" s="189">
        <v>49</v>
      </c>
      <c r="E355" s="4" t="s">
        <v>58</v>
      </c>
      <c r="F355" s="143" t="s">
        <v>116</v>
      </c>
      <c r="G355" s="142">
        <v>32.77600311945929</v>
      </c>
      <c r="H355" s="317" t="s">
        <v>59</v>
      </c>
      <c r="I355" s="277" t="s">
        <v>62</v>
      </c>
      <c r="J355" s="260">
        <v>5</v>
      </c>
      <c r="K355" s="260">
        <v>5</v>
      </c>
      <c r="L355" s="260"/>
      <c r="M355" s="260"/>
      <c r="N355" s="260"/>
      <c r="O355" s="260"/>
      <c r="P355" s="260"/>
      <c r="Q355" s="260"/>
      <c r="R355" s="260"/>
      <c r="S355" s="260"/>
      <c r="T355" s="260"/>
      <c r="U355" s="260"/>
      <c r="V355" s="260">
        <v>5</v>
      </c>
      <c r="W355" s="260">
        <v>10</v>
      </c>
      <c r="X355" s="260">
        <v>5</v>
      </c>
      <c r="Y355" s="260">
        <v>160</v>
      </c>
      <c r="Z355" s="260">
        <v>20</v>
      </c>
      <c r="AA355" s="260">
        <v>160</v>
      </c>
      <c r="AB355" s="260">
        <v>10</v>
      </c>
      <c r="AC355" s="260">
        <v>160</v>
      </c>
      <c r="AD355" s="260"/>
      <c r="AE355" s="260"/>
      <c r="AF355" s="260"/>
      <c r="AG355" s="260"/>
      <c r="AH355" s="198">
        <v>518</v>
      </c>
      <c r="AI355" s="272">
        <v>40</v>
      </c>
      <c r="AJ355" s="271">
        <v>80</v>
      </c>
      <c r="AK355" s="260"/>
      <c r="AL355" s="260"/>
      <c r="AM355" s="260"/>
      <c r="AN355" s="260"/>
      <c r="AO355" s="260"/>
      <c r="AP355" s="260"/>
      <c r="AQ355" s="260"/>
      <c r="AR355" s="260"/>
      <c r="AS355" s="260"/>
      <c r="AT355" s="260"/>
      <c r="AU355" s="260">
        <v>40</v>
      </c>
      <c r="AV355" s="271">
        <v>640</v>
      </c>
      <c r="AW355" s="260">
        <v>20</v>
      </c>
      <c r="AX355" s="271">
        <v>320</v>
      </c>
      <c r="AY355" s="260">
        <v>5</v>
      </c>
      <c r="AZ355" s="271">
        <v>320</v>
      </c>
      <c r="BA355" s="276">
        <v>20</v>
      </c>
      <c r="BB355" s="276">
        <v>320</v>
      </c>
      <c r="BC355" s="276"/>
      <c r="BD355" s="276"/>
      <c r="BE355" s="276">
        <v>5</v>
      </c>
      <c r="BF355" s="276">
        <v>160</v>
      </c>
      <c r="BG355" s="260">
        <v>40</v>
      </c>
      <c r="BH355" s="271">
        <v>640</v>
      </c>
      <c r="BI355" s="276"/>
      <c r="BJ355" s="276"/>
      <c r="BK355" s="276"/>
      <c r="BL355" s="275"/>
      <c r="BM355" s="323">
        <v>518</v>
      </c>
      <c r="BN355" s="272">
        <v>80</v>
      </c>
      <c r="BO355" s="270">
        <v>160</v>
      </c>
      <c r="BP355" s="272"/>
      <c r="BQ355" s="260"/>
      <c r="BR355" s="260"/>
      <c r="BS355" s="260"/>
      <c r="BT355" s="260"/>
      <c r="BU355" s="260"/>
      <c r="BV355" s="260">
        <v>5</v>
      </c>
      <c r="BW355" s="260">
        <v>5</v>
      </c>
      <c r="BX355" s="260"/>
      <c r="BY355" s="260"/>
      <c r="BZ355" s="260"/>
      <c r="CA355" s="260"/>
      <c r="CB355" s="260"/>
      <c r="CC355" s="260"/>
      <c r="CD355" s="260">
        <v>80</v>
      </c>
      <c r="CE355" s="260">
        <v>80</v>
      </c>
      <c r="CF355" s="272"/>
      <c r="CG355" s="260"/>
      <c r="CH355" s="260"/>
      <c r="CI355" s="260"/>
      <c r="CJ355" s="260"/>
      <c r="CK355" s="260"/>
      <c r="CL355" s="260"/>
      <c r="CM355" s="260"/>
      <c r="CN355" s="260">
        <v>80</v>
      </c>
      <c r="CO355" s="260">
        <v>160</v>
      </c>
      <c r="CP355" s="260">
        <v>80</v>
      </c>
      <c r="CQ355" s="260">
        <v>160</v>
      </c>
      <c r="CR355" s="260">
        <v>80</v>
      </c>
      <c r="CS355" s="270">
        <v>320</v>
      </c>
      <c r="CT355" s="322">
        <v>518</v>
      </c>
      <c r="CU355" s="249">
        <f>Table2821115[[#This Row],[D28 - BR/18]]/Table2821115[[#This Row],[D0 - BR/18]]</f>
        <v>16</v>
      </c>
      <c r="CV355" s="248">
        <f>Table2821115[[#This Row],[D28 - KS/17]]/Table2821115[[#This Row],[D0 - KS/17]]</f>
        <v>32</v>
      </c>
      <c r="CW355" s="248">
        <f>Table2821115[[#This Row],[D28 - Phu/13]]/Table2821115[[#This Row],[D0 - Phu/13]]</f>
        <v>1</v>
      </c>
      <c r="CX355" s="248">
        <f>Table2821115[[#This Row],[D28 - CO/17]]/Table2821115[[#This Row],[D0 - CO/17]]</f>
        <v>2</v>
      </c>
      <c r="CY355" s="248">
        <f>LOG(Table2821115[[#This Row],[BR/18 Fold]],2)</f>
        <v>4</v>
      </c>
      <c r="CZ355" s="248">
        <f>LOG(Table2821115[[#This Row],[KS/17 Fold]],2)</f>
        <v>5</v>
      </c>
      <c r="DA355" s="248">
        <f>LOG(Table2821115[[#This Row],[Phu/13 Fold]],2)</f>
        <v>0</v>
      </c>
      <c r="DB355" s="248">
        <f>LOG(Table2821115[[#This Row],[CO/17 Fold]],2)</f>
        <v>1</v>
      </c>
      <c r="DC355" s="248">
        <f>SUM(Table2821115[[#This Row],[BR/18 Log2]:[CO/17 Log2]])</f>
        <v>10</v>
      </c>
    </row>
    <row r="356" spans="1:107" ht="24" customHeight="1">
      <c r="A356" s="324">
        <v>519</v>
      </c>
      <c r="B356" s="190">
        <v>26440</v>
      </c>
      <c r="C356" s="190">
        <v>43872</v>
      </c>
      <c r="D356" s="189">
        <v>47</v>
      </c>
      <c r="E356" s="4" t="s">
        <v>58</v>
      </c>
      <c r="F356" s="143" t="s">
        <v>116</v>
      </c>
      <c r="G356" s="142">
        <v>18.475135232962657</v>
      </c>
      <c r="H356" s="317" t="s">
        <v>59</v>
      </c>
      <c r="I356" s="277" t="s">
        <v>62</v>
      </c>
      <c r="J356" s="260">
        <v>5</v>
      </c>
      <c r="K356" s="260">
        <v>5</v>
      </c>
      <c r="L356" s="260"/>
      <c r="M356" s="260"/>
      <c r="N356" s="260"/>
      <c r="O356" s="260"/>
      <c r="P356" s="260"/>
      <c r="Q356" s="260"/>
      <c r="R356" s="260"/>
      <c r="S356" s="260"/>
      <c r="T356" s="260"/>
      <c r="U356" s="260"/>
      <c r="V356" s="260">
        <v>10</v>
      </c>
      <c r="W356" s="260">
        <v>40</v>
      </c>
      <c r="X356" s="260">
        <v>5</v>
      </c>
      <c r="Y356" s="260">
        <v>80</v>
      </c>
      <c r="Z356" s="260">
        <v>80</v>
      </c>
      <c r="AA356" s="260">
        <v>640</v>
      </c>
      <c r="AB356" s="260">
        <v>80</v>
      </c>
      <c r="AC356" s="260">
        <v>160</v>
      </c>
      <c r="AD356" s="260"/>
      <c r="AE356" s="260"/>
      <c r="AF356" s="260"/>
      <c r="AG356" s="260"/>
      <c r="AH356" s="198">
        <v>519</v>
      </c>
      <c r="AI356" s="272">
        <v>20</v>
      </c>
      <c r="AJ356" s="271">
        <v>40</v>
      </c>
      <c r="AK356" s="260"/>
      <c r="AL356" s="260"/>
      <c r="AM356" s="260"/>
      <c r="AN356" s="260"/>
      <c r="AO356" s="260"/>
      <c r="AP356" s="260"/>
      <c r="AQ356" s="260"/>
      <c r="AR356" s="260"/>
      <c r="AS356" s="260"/>
      <c r="AT356" s="260"/>
      <c r="AU356" s="260">
        <v>5</v>
      </c>
      <c r="AV356" s="271">
        <v>10</v>
      </c>
      <c r="AW356" s="260">
        <v>5</v>
      </c>
      <c r="AX356" s="271">
        <v>40</v>
      </c>
      <c r="AY356" s="260">
        <v>5</v>
      </c>
      <c r="AZ356" s="271">
        <v>5</v>
      </c>
      <c r="BA356" s="276">
        <v>5</v>
      </c>
      <c r="BB356" s="276">
        <v>20</v>
      </c>
      <c r="BC356" s="276"/>
      <c r="BD356" s="276"/>
      <c r="BE356" s="276">
        <v>5</v>
      </c>
      <c r="BF356" s="276">
        <v>40</v>
      </c>
      <c r="BG356" s="260">
        <v>5</v>
      </c>
      <c r="BH356" s="271">
        <v>80</v>
      </c>
      <c r="BI356" s="276"/>
      <c r="BJ356" s="276"/>
      <c r="BK356" s="276"/>
      <c r="BL356" s="275"/>
      <c r="BM356" s="323">
        <v>519</v>
      </c>
      <c r="BN356" s="272">
        <v>80</v>
      </c>
      <c r="BO356" s="270">
        <v>160</v>
      </c>
      <c r="BP356" s="272"/>
      <c r="BQ356" s="260"/>
      <c r="BR356" s="260"/>
      <c r="BS356" s="260"/>
      <c r="BT356" s="260"/>
      <c r="BU356" s="260"/>
      <c r="BV356" s="260">
        <v>5</v>
      </c>
      <c r="BW356" s="260">
        <v>320</v>
      </c>
      <c r="BX356" s="260"/>
      <c r="BY356" s="260"/>
      <c r="BZ356" s="260"/>
      <c r="CA356" s="260"/>
      <c r="CB356" s="260"/>
      <c r="CC356" s="260"/>
      <c r="CD356" s="260">
        <v>160</v>
      </c>
      <c r="CE356" s="260">
        <v>320</v>
      </c>
      <c r="CF356" s="272"/>
      <c r="CG356" s="260"/>
      <c r="CH356" s="260"/>
      <c r="CI356" s="260"/>
      <c r="CJ356" s="260"/>
      <c r="CK356" s="260"/>
      <c r="CL356" s="260"/>
      <c r="CM356" s="260"/>
      <c r="CN356" s="260">
        <v>20</v>
      </c>
      <c r="CO356" s="260">
        <v>80</v>
      </c>
      <c r="CP356" s="260">
        <v>20</v>
      </c>
      <c r="CQ356" s="260">
        <v>80</v>
      </c>
      <c r="CR356" s="260">
        <v>40</v>
      </c>
      <c r="CS356" s="270">
        <v>160</v>
      </c>
      <c r="CT356" s="322">
        <v>519</v>
      </c>
      <c r="CU356" s="249">
        <f>Table2821115[[#This Row],[D28 - BR/18]]/Table2821115[[#This Row],[D0 - BR/18]]</f>
        <v>2</v>
      </c>
      <c r="CV356" s="248">
        <f>Table2821115[[#This Row],[D28 - KS/17]]/Table2821115[[#This Row],[D0 - KS/17]]</f>
        <v>8</v>
      </c>
      <c r="CW356" s="248">
        <f>Table2821115[[#This Row],[D28 - Phu/13]]/Table2821115[[#This Row],[D0 - Phu/13]]</f>
        <v>2</v>
      </c>
      <c r="CX356" s="248">
        <f>Table2821115[[#This Row],[D28 - CO/17]]/Table2821115[[#This Row],[D0 - CO/17]]</f>
        <v>4</v>
      </c>
      <c r="CY356" s="248">
        <f>LOG(Table2821115[[#This Row],[BR/18 Fold]],2)</f>
        <v>1</v>
      </c>
      <c r="CZ356" s="248">
        <f>LOG(Table2821115[[#This Row],[KS/17 Fold]],2)</f>
        <v>3</v>
      </c>
      <c r="DA356" s="248">
        <f>LOG(Table2821115[[#This Row],[Phu/13 Fold]],2)</f>
        <v>1</v>
      </c>
      <c r="DB356" s="248">
        <f>LOG(Table2821115[[#This Row],[CO/17 Fold]],2)</f>
        <v>2</v>
      </c>
      <c r="DC356" s="248">
        <f>SUM(Table2821115[[#This Row],[BR/18 Log2]:[CO/17 Log2]])</f>
        <v>7</v>
      </c>
    </row>
    <row r="357" spans="1:107" ht="24" customHeight="1">
      <c r="A357" s="321">
        <v>521</v>
      </c>
      <c r="B357" s="183">
        <v>36435</v>
      </c>
      <c r="C357" s="183">
        <v>43868</v>
      </c>
      <c r="D357" s="182">
        <v>20</v>
      </c>
      <c r="E357" s="3" t="s">
        <v>61</v>
      </c>
      <c r="F357" s="143" t="s">
        <v>63</v>
      </c>
      <c r="G357" s="142">
        <v>28.667455621301777</v>
      </c>
      <c r="H357" s="317" t="s">
        <v>59</v>
      </c>
      <c r="I357" s="277" t="s">
        <v>60</v>
      </c>
      <c r="J357" s="260">
        <v>5</v>
      </c>
      <c r="K357" s="260">
        <v>5</v>
      </c>
      <c r="L357" s="260"/>
      <c r="M357" s="260"/>
      <c r="N357" s="260"/>
      <c r="O357" s="260"/>
      <c r="P357" s="260"/>
      <c r="Q357" s="260"/>
      <c r="R357" s="260"/>
      <c r="S357" s="260"/>
      <c r="T357" s="260"/>
      <c r="U357" s="260"/>
      <c r="V357" s="260">
        <v>20</v>
      </c>
      <c r="W357" s="260">
        <v>40</v>
      </c>
      <c r="X357" s="260">
        <v>40</v>
      </c>
      <c r="Y357" s="260">
        <v>320</v>
      </c>
      <c r="Z357" s="260">
        <v>40</v>
      </c>
      <c r="AA357" s="260">
        <v>5</v>
      </c>
      <c r="AB357" s="260">
        <v>20</v>
      </c>
      <c r="AC357" s="260">
        <v>320</v>
      </c>
      <c r="AD357" s="260"/>
      <c r="AE357" s="260"/>
      <c r="AF357" s="260"/>
      <c r="AG357" s="260"/>
      <c r="AH357" s="32">
        <v>521</v>
      </c>
      <c r="AI357" s="272">
        <v>40</v>
      </c>
      <c r="AJ357" s="271">
        <v>80</v>
      </c>
      <c r="AK357" s="260"/>
      <c r="AL357" s="260"/>
      <c r="AM357" s="260"/>
      <c r="AN357" s="260"/>
      <c r="AO357" s="260"/>
      <c r="AP357" s="260"/>
      <c r="AQ357" s="260"/>
      <c r="AR357" s="260"/>
      <c r="AS357" s="260"/>
      <c r="AT357" s="260"/>
      <c r="AU357" s="260">
        <v>40</v>
      </c>
      <c r="AV357" s="271">
        <v>320</v>
      </c>
      <c r="AW357" s="260">
        <v>40</v>
      </c>
      <c r="AX357" s="271">
        <v>320</v>
      </c>
      <c r="AY357" s="260">
        <v>20</v>
      </c>
      <c r="AZ357" s="271">
        <v>160</v>
      </c>
      <c r="BA357" s="276">
        <v>20</v>
      </c>
      <c r="BB357" s="276">
        <v>160</v>
      </c>
      <c r="BC357" s="276"/>
      <c r="BD357" s="276"/>
      <c r="BE357" s="276">
        <v>5</v>
      </c>
      <c r="BF357" s="276">
        <v>160</v>
      </c>
      <c r="BG357" s="260">
        <v>20</v>
      </c>
      <c r="BH357" s="271">
        <v>80</v>
      </c>
      <c r="BI357" s="276"/>
      <c r="BJ357" s="276"/>
      <c r="BK357" s="276"/>
      <c r="BL357" s="275"/>
      <c r="BM357" s="320">
        <v>521</v>
      </c>
      <c r="BN357" s="272">
        <v>40</v>
      </c>
      <c r="BO357" s="270">
        <v>80</v>
      </c>
      <c r="BP357" s="272"/>
      <c r="BQ357" s="260"/>
      <c r="BR357" s="260"/>
      <c r="BS357" s="260"/>
      <c r="BT357" s="260"/>
      <c r="BU357" s="260"/>
      <c r="BV357" s="260">
        <v>5</v>
      </c>
      <c r="BW357" s="260">
        <v>160</v>
      </c>
      <c r="BX357" s="260"/>
      <c r="BY357" s="260"/>
      <c r="BZ357" s="260"/>
      <c r="CA357" s="260"/>
      <c r="CB357" s="260"/>
      <c r="CC357" s="260"/>
      <c r="CD357" s="260">
        <v>40</v>
      </c>
      <c r="CE357" s="260">
        <v>160</v>
      </c>
      <c r="CF357" s="272"/>
      <c r="CG357" s="260"/>
      <c r="CH357" s="260"/>
      <c r="CI357" s="260"/>
      <c r="CJ357" s="260"/>
      <c r="CK357" s="260"/>
      <c r="CL357" s="260"/>
      <c r="CM357" s="260"/>
      <c r="CN357" s="260">
        <v>40</v>
      </c>
      <c r="CO357" s="260">
        <v>320</v>
      </c>
      <c r="CP357" s="260">
        <v>40</v>
      </c>
      <c r="CQ357" s="260">
        <v>160</v>
      </c>
      <c r="CR357" s="260">
        <v>40</v>
      </c>
      <c r="CS357" s="270">
        <v>320</v>
      </c>
      <c r="CT357" s="319">
        <v>521</v>
      </c>
      <c r="CU357" s="249">
        <f>Table2821115[[#This Row],[D28 - BR/18]]/Table2821115[[#This Row],[D0 - BR/18]]</f>
        <v>16</v>
      </c>
      <c r="CV357" s="248">
        <f>Table2821115[[#This Row],[D28 - KS/17]]/Table2821115[[#This Row],[D0 - KS/17]]</f>
        <v>32</v>
      </c>
      <c r="CW357" s="248">
        <f>Table2821115[[#This Row],[D28 - Phu/13]]/Table2821115[[#This Row],[D0 - Phu/13]]</f>
        <v>4</v>
      </c>
      <c r="CX357" s="248">
        <f>Table2821115[[#This Row],[D28 - CO/17]]/Table2821115[[#This Row],[D0 - CO/17]]</f>
        <v>4</v>
      </c>
      <c r="CY357" s="248">
        <f>LOG(Table2821115[[#This Row],[BR/18 Fold]],2)</f>
        <v>4</v>
      </c>
      <c r="CZ357" s="248">
        <f>LOG(Table2821115[[#This Row],[KS/17 Fold]],2)</f>
        <v>5</v>
      </c>
      <c r="DA357" s="248">
        <f>LOG(Table2821115[[#This Row],[Phu/13 Fold]],2)</f>
        <v>2</v>
      </c>
      <c r="DB357" s="248">
        <f>LOG(Table2821115[[#This Row],[CO/17 Fold]],2)</f>
        <v>2</v>
      </c>
      <c r="DC357" s="248">
        <f>SUM(Table2821115[[#This Row],[BR/18 Log2]:[CO/17 Log2]])</f>
        <v>13</v>
      </c>
    </row>
    <row r="358" spans="1:107" ht="24" customHeight="1">
      <c r="A358" s="324">
        <v>522</v>
      </c>
      <c r="B358" s="190">
        <v>29908</v>
      </c>
      <c r="C358" s="190">
        <v>43868</v>
      </c>
      <c r="D358" s="189">
        <v>38</v>
      </c>
      <c r="E358" s="4" t="s">
        <v>58</v>
      </c>
      <c r="F358" s="143" t="s">
        <v>116</v>
      </c>
      <c r="G358" s="142">
        <v>25.618483092847423</v>
      </c>
      <c r="H358" s="317" t="s">
        <v>59</v>
      </c>
      <c r="I358" s="277" t="s">
        <v>60</v>
      </c>
      <c r="J358" s="260">
        <v>5</v>
      </c>
      <c r="K358" s="260">
        <v>20</v>
      </c>
      <c r="L358" s="260"/>
      <c r="M358" s="260"/>
      <c r="N358" s="260"/>
      <c r="O358" s="260"/>
      <c r="P358" s="260"/>
      <c r="Q358" s="260"/>
      <c r="R358" s="260"/>
      <c r="S358" s="260"/>
      <c r="T358" s="260"/>
      <c r="U358" s="260"/>
      <c r="V358" s="260">
        <v>10</v>
      </c>
      <c r="W358" s="260">
        <v>10</v>
      </c>
      <c r="X358" s="260">
        <v>5</v>
      </c>
      <c r="Y358" s="260">
        <v>160</v>
      </c>
      <c r="Z358" s="260">
        <v>40</v>
      </c>
      <c r="AA358" s="260">
        <v>320</v>
      </c>
      <c r="AB358" s="260">
        <v>40</v>
      </c>
      <c r="AC358" s="260">
        <v>80</v>
      </c>
      <c r="AD358" s="260"/>
      <c r="AE358" s="260"/>
      <c r="AF358" s="260"/>
      <c r="AG358" s="260"/>
      <c r="AH358" s="198">
        <v>522</v>
      </c>
      <c r="AI358" s="272">
        <v>5</v>
      </c>
      <c r="AJ358" s="271">
        <v>20</v>
      </c>
      <c r="AK358" s="260"/>
      <c r="AL358" s="260"/>
      <c r="AM358" s="260"/>
      <c r="AN358" s="260"/>
      <c r="AO358" s="260"/>
      <c r="AP358" s="260"/>
      <c r="AQ358" s="260"/>
      <c r="AR358" s="260"/>
      <c r="AS358" s="260"/>
      <c r="AT358" s="260"/>
      <c r="AU358" s="260">
        <v>5</v>
      </c>
      <c r="AV358" s="271">
        <v>20</v>
      </c>
      <c r="AW358" s="260">
        <v>5</v>
      </c>
      <c r="AX358" s="271">
        <v>20</v>
      </c>
      <c r="AY358" s="260">
        <v>5</v>
      </c>
      <c r="AZ358" s="271">
        <v>20</v>
      </c>
      <c r="BA358" s="276">
        <v>5</v>
      </c>
      <c r="BB358" s="276">
        <v>40</v>
      </c>
      <c r="BC358" s="276"/>
      <c r="BD358" s="276"/>
      <c r="BE358" s="276">
        <v>5</v>
      </c>
      <c r="BF358" s="276">
        <v>20</v>
      </c>
      <c r="BG358" s="260">
        <v>5</v>
      </c>
      <c r="BH358" s="271">
        <v>20</v>
      </c>
      <c r="BI358" s="276"/>
      <c r="BJ358" s="276"/>
      <c r="BK358" s="276"/>
      <c r="BL358" s="275"/>
      <c r="BM358" s="323">
        <v>522</v>
      </c>
      <c r="BN358" s="272">
        <v>5</v>
      </c>
      <c r="BO358" s="270">
        <v>160</v>
      </c>
      <c r="BP358" s="272"/>
      <c r="BQ358" s="260"/>
      <c r="BR358" s="260"/>
      <c r="BS358" s="260"/>
      <c r="BT358" s="260"/>
      <c r="BU358" s="260"/>
      <c r="BV358" s="260">
        <v>5</v>
      </c>
      <c r="BW358" s="260">
        <v>640</v>
      </c>
      <c r="BX358" s="260"/>
      <c r="BY358" s="260"/>
      <c r="BZ358" s="260"/>
      <c r="CA358" s="260"/>
      <c r="CB358" s="260"/>
      <c r="CC358" s="260"/>
      <c r="CD358" s="260">
        <v>160</v>
      </c>
      <c r="CE358" s="260">
        <v>320</v>
      </c>
      <c r="CF358" s="272"/>
      <c r="CG358" s="260"/>
      <c r="CH358" s="260"/>
      <c r="CI358" s="260"/>
      <c r="CJ358" s="260"/>
      <c r="CK358" s="260"/>
      <c r="CL358" s="260"/>
      <c r="CM358" s="260"/>
      <c r="CN358" s="260">
        <v>80</v>
      </c>
      <c r="CO358" s="260">
        <v>160</v>
      </c>
      <c r="CP358" s="260">
        <v>80</v>
      </c>
      <c r="CQ358" s="260">
        <v>160</v>
      </c>
      <c r="CR358" s="260">
        <v>80</v>
      </c>
      <c r="CS358" s="270">
        <v>320</v>
      </c>
      <c r="CT358" s="322">
        <v>522</v>
      </c>
      <c r="CU358" s="249">
        <f>Table2821115[[#This Row],[D28 - BR/18]]/Table2821115[[#This Row],[D0 - BR/18]]</f>
        <v>2</v>
      </c>
      <c r="CV358" s="248">
        <f>Table2821115[[#This Row],[D28 - KS/17]]/Table2821115[[#This Row],[D0 - KS/17]]</f>
        <v>4</v>
      </c>
      <c r="CW358" s="248">
        <f>Table2821115[[#This Row],[D28 - Phu/13]]/Table2821115[[#This Row],[D0 - Phu/13]]</f>
        <v>2</v>
      </c>
      <c r="CX358" s="248">
        <f>Table2821115[[#This Row],[D28 - CO/17]]/Table2821115[[#This Row],[D0 - CO/17]]</f>
        <v>2</v>
      </c>
      <c r="CY358" s="248">
        <f>LOG(Table2821115[[#This Row],[BR/18 Fold]],2)</f>
        <v>1</v>
      </c>
      <c r="CZ358" s="248">
        <f>LOG(Table2821115[[#This Row],[KS/17 Fold]],2)</f>
        <v>2</v>
      </c>
      <c r="DA358" s="248">
        <f>LOG(Table2821115[[#This Row],[Phu/13 Fold]],2)</f>
        <v>1</v>
      </c>
      <c r="DB358" s="248">
        <f>LOG(Table2821115[[#This Row],[CO/17 Fold]],2)</f>
        <v>1</v>
      </c>
      <c r="DC358" s="248">
        <f>SUM(Table2821115[[#This Row],[BR/18 Log2]:[CO/17 Log2]])</f>
        <v>5</v>
      </c>
    </row>
    <row r="359" spans="1:107" ht="24" customHeight="1">
      <c r="A359" s="321">
        <v>523</v>
      </c>
      <c r="B359" s="183">
        <v>33135</v>
      </c>
      <c r="C359" s="183">
        <v>43872</v>
      </c>
      <c r="D359" s="182">
        <v>29</v>
      </c>
      <c r="E359" s="4" t="s">
        <v>58</v>
      </c>
      <c r="F359" s="143" t="s">
        <v>116</v>
      </c>
      <c r="G359" s="142">
        <v>24.236499938905617</v>
      </c>
      <c r="H359" s="317" t="s">
        <v>59</v>
      </c>
      <c r="I359" s="277" t="s">
        <v>60</v>
      </c>
      <c r="J359" s="260">
        <v>5</v>
      </c>
      <c r="K359" s="260">
        <v>5</v>
      </c>
      <c r="L359" s="260"/>
      <c r="M359" s="260"/>
      <c r="N359" s="260"/>
      <c r="O359" s="260"/>
      <c r="P359" s="260"/>
      <c r="Q359" s="260"/>
      <c r="R359" s="260"/>
      <c r="S359" s="260"/>
      <c r="T359" s="260"/>
      <c r="U359" s="260"/>
      <c r="V359" s="260">
        <v>5</v>
      </c>
      <c r="W359" s="260">
        <v>10</v>
      </c>
      <c r="X359" s="260">
        <v>5</v>
      </c>
      <c r="Y359" s="260">
        <v>80</v>
      </c>
      <c r="Z359" s="260">
        <v>40</v>
      </c>
      <c r="AA359" s="260">
        <v>80</v>
      </c>
      <c r="AB359" s="260">
        <v>40</v>
      </c>
      <c r="AC359" s="260">
        <v>40</v>
      </c>
      <c r="AD359" s="260"/>
      <c r="AE359" s="260"/>
      <c r="AF359" s="260"/>
      <c r="AG359" s="260"/>
      <c r="AH359" s="32">
        <v>523</v>
      </c>
      <c r="AI359" s="272">
        <v>160</v>
      </c>
      <c r="AJ359" s="271">
        <v>160</v>
      </c>
      <c r="AK359" s="260"/>
      <c r="AL359" s="260"/>
      <c r="AM359" s="260"/>
      <c r="AN359" s="260"/>
      <c r="AO359" s="260"/>
      <c r="AP359" s="260"/>
      <c r="AQ359" s="260"/>
      <c r="AR359" s="260"/>
      <c r="AS359" s="260"/>
      <c r="AT359" s="260"/>
      <c r="AU359" s="260">
        <v>160</v>
      </c>
      <c r="AV359" s="271">
        <v>320</v>
      </c>
      <c r="AW359" s="260">
        <v>80</v>
      </c>
      <c r="AX359" s="271">
        <v>320</v>
      </c>
      <c r="AY359" s="260">
        <v>5</v>
      </c>
      <c r="AZ359" s="271">
        <v>160</v>
      </c>
      <c r="BA359" s="276">
        <v>80</v>
      </c>
      <c r="BB359" s="276">
        <v>320</v>
      </c>
      <c r="BC359" s="276"/>
      <c r="BD359" s="276"/>
      <c r="BE359" s="276">
        <v>5</v>
      </c>
      <c r="BF359" s="276">
        <v>80</v>
      </c>
      <c r="BG359" s="260">
        <v>80</v>
      </c>
      <c r="BH359" s="271">
        <v>320</v>
      </c>
      <c r="BI359" s="276"/>
      <c r="BJ359" s="276"/>
      <c r="BK359" s="276"/>
      <c r="BL359" s="275"/>
      <c r="BM359" s="320">
        <v>523</v>
      </c>
      <c r="BN359" s="272">
        <v>40</v>
      </c>
      <c r="BO359" s="270">
        <v>40</v>
      </c>
      <c r="BP359" s="272"/>
      <c r="BQ359" s="260"/>
      <c r="BR359" s="260"/>
      <c r="BS359" s="260"/>
      <c r="BT359" s="260"/>
      <c r="BU359" s="260"/>
      <c r="BV359" s="260">
        <v>5</v>
      </c>
      <c r="BW359" s="260">
        <v>80</v>
      </c>
      <c r="BX359" s="260"/>
      <c r="BY359" s="260"/>
      <c r="BZ359" s="260"/>
      <c r="CA359" s="260"/>
      <c r="CB359" s="260"/>
      <c r="CC359" s="260"/>
      <c r="CD359" s="260">
        <v>40</v>
      </c>
      <c r="CE359" s="260">
        <v>160</v>
      </c>
      <c r="CF359" s="272"/>
      <c r="CG359" s="260"/>
      <c r="CH359" s="260"/>
      <c r="CI359" s="260"/>
      <c r="CJ359" s="260"/>
      <c r="CK359" s="260"/>
      <c r="CL359" s="260"/>
      <c r="CM359" s="260"/>
      <c r="CN359" s="260">
        <v>10</v>
      </c>
      <c r="CO359" s="260">
        <v>40</v>
      </c>
      <c r="CP359" s="260">
        <v>20</v>
      </c>
      <c r="CQ359" s="260">
        <v>40</v>
      </c>
      <c r="CR359" s="260">
        <v>20</v>
      </c>
      <c r="CS359" s="270">
        <v>80</v>
      </c>
      <c r="CT359" s="319">
        <v>523</v>
      </c>
      <c r="CU359" s="249">
        <f>Table2821115[[#This Row],[D28 - BR/18]]/Table2821115[[#This Row],[D0 - BR/18]]</f>
        <v>1</v>
      </c>
      <c r="CV359" s="248">
        <f>Table2821115[[#This Row],[D28 - KS/17]]/Table2821115[[#This Row],[D0 - KS/17]]</f>
        <v>16</v>
      </c>
      <c r="CW359" s="248">
        <f>Table2821115[[#This Row],[D28 - Phu/13]]/Table2821115[[#This Row],[D0 - Phu/13]]</f>
        <v>4</v>
      </c>
      <c r="CX359" s="248">
        <f>Table2821115[[#This Row],[D28 - CO/17]]/Table2821115[[#This Row],[D0 - CO/17]]</f>
        <v>2</v>
      </c>
      <c r="CY359" s="248">
        <f>LOG(Table2821115[[#This Row],[BR/18 Fold]],2)</f>
        <v>0</v>
      </c>
      <c r="CZ359" s="248">
        <f>LOG(Table2821115[[#This Row],[KS/17 Fold]],2)</f>
        <v>4</v>
      </c>
      <c r="DA359" s="248">
        <f>LOG(Table2821115[[#This Row],[Phu/13 Fold]],2)</f>
        <v>2</v>
      </c>
      <c r="DB359" s="248">
        <f>LOG(Table2821115[[#This Row],[CO/17 Fold]],2)</f>
        <v>1</v>
      </c>
      <c r="DC359" s="248">
        <f>SUM(Table2821115[[#This Row],[BR/18 Log2]:[CO/17 Log2]])</f>
        <v>7</v>
      </c>
    </row>
    <row r="360" spans="1:107" ht="24" customHeight="1">
      <c r="A360" s="321">
        <v>524</v>
      </c>
      <c r="B360" s="183">
        <v>35259</v>
      </c>
      <c r="C360" s="183">
        <v>43871</v>
      </c>
      <c r="D360" s="182">
        <v>23</v>
      </c>
      <c r="E360" s="3" t="s">
        <v>61</v>
      </c>
      <c r="F360" s="143" t="s">
        <v>116</v>
      </c>
      <c r="G360" s="142">
        <v>22.553695005199181</v>
      </c>
      <c r="H360" s="317" t="s">
        <v>59</v>
      </c>
      <c r="I360" s="277" t="s">
        <v>60</v>
      </c>
      <c r="J360" s="260">
        <v>5</v>
      </c>
      <c r="K360" s="260">
        <v>5</v>
      </c>
      <c r="L360" s="260"/>
      <c r="M360" s="260"/>
      <c r="N360" s="260"/>
      <c r="O360" s="260"/>
      <c r="P360" s="260"/>
      <c r="Q360" s="260"/>
      <c r="R360" s="260"/>
      <c r="S360" s="260"/>
      <c r="T360" s="260"/>
      <c r="U360" s="260"/>
      <c r="V360" s="260">
        <v>40</v>
      </c>
      <c r="W360" s="260">
        <v>40</v>
      </c>
      <c r="X360" s="260">
        <v>160</v>
      </c>
      <c r="Y360" s="260">
        <v>320</v>
      </c>
      <c r="Z360" s="260">
        <v>320</v>
      </c>
      <c r="AA360" s="260">
        <v>640</v>
      </c>
      <c r="AB360" s="260">
        <v>160</v>
      </c>
      <c r="AC360" s="260">
        <v>320</v>
      </c>
      <c r="AD360" s="260"/>
      <c r="AE360" s="260"/>
      <c r="AF360" s="260"/>
      <c r="AG360" s="260"/>
      <c r="AH360" s="32">
        <v>524</v>
      </c>
      <c r="AI360" s="272">
        <v>80</v>
      </c>
      <c r="AJ360" s="271">
        <v>160</v>
      </c>
      <c r="AK360" s="260"/>
      <c r="AL360" s="260"/>
      <c r="AM360" s="260"/>
      <c r="AN360" s="260"/>
      <c r="AO360" s="260"/>
      <c r="AP360" s="260"/>
      <c r="AQ360" s="260"/>
      <c r="AR360" s="260"/>
      <c r="AS360" s="260"/>
      <c r="AT360" s="260"/>
      <c r="AU360" s="260">
        <v>80</v>
      </c>
      <c r="AV360" s="271">
        <v>640</v>
      </c>
      <c r="AW360" s="260">
        <v>80</v>
      </c>
      <c r="AX360" s="271">
        <v>640</v>
      </c>
      <c r="AY360" s="260">
        <v>80</v>
      </c>
      <c r="AZ360" s="271">
        <v>320</v>
      </c>
      <c r="BA360" s="276">
        <v>80</v>
      </c>
      <c r="BB360" s="276">
        <v>320</v>
      </c>
      <c r="BC360" s="276"/>
      <c r="BD360" s="276"/>
      <c r="BE360" s="276">
        <v>20</v>
      </c>
      <c r="BF360" s="276">
        <v>320</v>
      </c>
      <c r="BG360" s="260">
        <v>80</v>
      </c>
      <c r="BH360" s="271">
        <v>320</v>
      </c>
      <c r="BI360" s="276"/>
      <c r="BJ360" s="276"/>
      <c r="BK360" s="276"/>
      <c r="BL360" s="275"/>
      <c r="BM360" s="320">
        <v>524</v>
      </c>
      <c r="BN360" s="272">
        <v>80</v>
      </c>
      <c r="BO360" s="270">
        <v>80</v>
      </c>
      <c r="BP360" s="272"/>
      <c r="BQ360" s="260"/>
      <c r="BR360" s="260"/>
      <c r="BS360" s="260"/>
      <c r="BT360" s="260"/>
      <c r="BU360" s="260"/>
      <c r="BV360" s="260">
        <v>80</v>
      </c>
      <c r="BW360" s="260">
        <v>160</v>
      </c>
      <c r="BX360" s="260"/>
      <c r="BY360" s="260"/>
      <c r="BZ360" s="260"/>
      <c r="CA360" s="260"/>
      <c r="CB360" s="260"/>
      <c r="CC360" s="260"/>
      <c r="CD360" s="260">
        <v>80</v>
      </c>
      <c r="CE360" s="260">
        <v>160</v>
      </c>
      <c r="CF360" s="272"/>
      <c r="CG360" s="260"/>
      <c r="CH360" s="260"/>
      <c r="CI360" s="260"/>
      <c r="CJ360" s="260"/>
      <c r="CK360" s="260"/>
      <c r="CL360" s="260"/>
      <c r="CM360" s="260"/>
      <c r="CN360" s="260">
        <v>20</v>
      </c>
      <c r="CO360" s="260">
        <v>80</v>
      </c>
      <c r="CP360" s="260">
        <v>40</v>
      </c>
      <c r="CQ360" s="260">
        <v>80</v>
      </c>
      <c r="CR360" s="260">
        <v>40</v>
      </c>
      <c r="CS360" s="270">
        <v>160</v>
      </c>
      <c r="CT360" s="319">
        <v>524</v>
      </c>
      <c r="CU360" s="249">
        <f>Table2821115[[#This Row],[D28 - BR/18]]/Table2821115[[#This Row],[D0 - BR/18]]</f>
        <v>2</v>
      </c>
      <c r="CV360" s="248">
        <f>Table2821115[[#This Row],[D28 - KS/17]]/Table2821115[[#This Row],[D0 - KS/17]]</f>
        <v>16</v>
      </c>
      <c r="CW360" s="248">
        <f>Table2821115[[#This Row],[D28 - Phu/13]]/Table2821115[[#This Row],[D0 - Phu/13]]</f>
        <v>2</v>
      </c>
      <c r="CX360" s="248">
        <f>Table2821115[[#This Row],[D28 - CO/17]]/Table2821115[[#This Row],[D0 - CO/17]]</f>
        <v>2</v>
      </c>
      <c r="CY360" s="248">
        <f>LOG(Table2821115[[#This Row],[BR/18 Fold]],2)</f>
        <v>1</v>
      </c>
      <c r="CZ360" s="248">
        <f>LOG(Table2821115[[#This Row],[KS/17 Fold]],2)</f>
        <v>4</v>
      </c>
      <c r="DA360" s="248">
        <f>LOG(Table2821115[[#This Row],[Phu/13 Fold]],2)</f>
        <v>1</v>
      </c>
      <c r="DB360" s="248">
        <f>LOG(Table2821115[[#This Row],[CO/17 Fold]],2)</f>
        <v>1</v>
      </c>
      <c r="DC360" s="248">
        <f>SUM(Table2821115[[#This Row],[BR/18 Log2]:[CO/17 Log2]])</f>
        <v>7</v>
      </c>
    </row>
    <row r="361" spans="1:107" ht="24" customHeight="1">
      <c r="A361" s="318">
        <v>525</v>
      </c>
      <c r="B361" s="180">
        <v>20164</v>
      </c>
      <c r="C361" s="180">
        <v>43871</v>
      </c>
      <c r="D361" s="179">
        <v>64</v>
      </c>
      <c r="E361" s="3" t="s">
        <v>61</v>
      </c>
      <c r="F361" s="143" t="s">
        <v>116</v>
      </c>
      <c r="G361" s="142">
        <v>24.606676428101139</v>
      </c>
      <c r="H361" s="317" t="s">
        <v>59</v>
      </c>
      <c r="I361" s="277" t="s">
        <v>62</v>
      </c>
      <c r="J361" s="260">
        <v>5</v>
      </c>
      <c r="K361" s="260">
        <v>5</v>
      </c>
      <c r="L361" s="260"/>
      <c r="M361" s="260"/>
      <c r="N361" s="260"/>
      <c r="O361" s="260"/>
      <c r="P361" s="260"/>
      <c r="Q361" s="260"/>
      <c r="R361" s="260"/>
      <c r="S361" s="260"/>
      <c r="T361" s="260"/>
      <c r="U361" s="260"/>
      <c r="V361" s="260">
        <v>5</v>
      </c>
      <c r="W361" s="260">
        <v>5</v>
      </c>
      <c r="X361" s="260">
        <v>5</v>
      </c>
      <c r="Y361" s="260">
        <v>40</v>
      </c>
      <c r="Z361" s="260">
        <v>5</v>
      </c>
      <c r="AA361" s="260">
        <v>160</v>
      </c>
      <c r="AB361" s="260">
        <v>5</v>
      </c>
      <c r="AC361" s="260">
        <v>80</v>
      </c>
      <c r="AD361" s="260"/>
      <c r="AE361" s="260"/>
      <c r="AF361" s="260"/>
      <c r="AG361" s="260"/>
      <c r="AH361" s="195">
        <v>525</v>
      </c>
      <c r="AI361" s="272">
        <v>10</v>
      </c>
      <c r="AJ361" s="271">
        <v>160</v>
      </c>
      <c r="AK361" s="260"/>
      <c r="AL361" s="260"/>
      <c r="AM361" s="260"/>
      <c r="AN361" s="260"/>
      <c r="AO361" s="260"/>
      <c r="AP361" s="260"/>
      <c r="AQ361" s="260"/>
      <c r="AR361" s="260"/>
      <c r="AS361" s="260"/>
      <c r="AT361" s="260"/>
      <c r="AU361" s="260">
        <v>5</v>
      </c>
      <c r="AV361" s="271">
        <v>10</v>
      </c>
      <c r="AW361" s="260">
        <v>5</v>
      </c>
      <c r="AX361" s="271">
        <v>20</v>
      </c>
      <c r="AY361" s="260">
        <v>5</v>
      </c>
      <c r="AZ361" s="271">
        <v>10</v>
      </c>
      <c r="BA361" s="276">
        <v>5</v>
      </c>
      <c r="BB361" s="276">
        <v>10</v>
      </c>
      <c r="BC361" s="276"/>
      <c r="BD361" s="276"/>
      <c r="BE361" s="276">
        <v>5</v>
      </c>
      <c r="BF361" s="276">
        <v>20</v>
      </c>
      <c r="BG361" s="260">
        <v>5</v>
      </c>
      <c r="BH361" s="271">
        <v>10</v>
      </c>
      <c r="BI361" s="276"/>
      <c r="BJ361" s="276"/>
      <c r="BK361" s="276"/>
      <c r="BL361" s="275"/>
      <c r="BM361" s="316">
        <v>525</v>
      </c>
      <c r="BN361" s="272">
        <v>20</v>
      </c>
      <c r="BO361" s="270">
        <v>160</v>
      </c>
      <c r="BP361" s="272"/>
      <c r="BQ361" s="260"/>
      <c r="BR361" s="260"/>
      <c r="BS361" s="260"/>
      <c r="BT361" s="260"/>
      <c r="BU361" s="260"/>
      <c r="BV361" s="260">
        <v>5</v>
      </c>
      <c r="BW361" s="260">
        <v>1280</v>
      </c>
      <c r="BX361" s="260"/>
      <c r="BY361" s="260"/>
      <c r="BZ361" s="260"/>
      <c r="CA361" s="260"/>
      <c r="CB361" s="260"/>
      <c r="CC361" s="260"/>
      <c r="CD361" s="260">
        <v>20</v>
      </c>
      <c r="CE361" s="260">
        <v>1280</v>
      </c>
      <c r="CF361" s="272"/>
      <c r="CG361" s="260"/>
      <c r="CH361" s="260"/>
      <c r="CI361" s="260"/>
      <c r="CJ361" s="260"/>
      <c r="CK361" s="260"/>
      <c r="CL361" s="260"/>
      <c r="CM361" s="260"/>
      <c r="CN361" s="260">
        <v>10</v>
      </c>
      <c r="CO361" s="260">
        <v>320</v>
      </c>
      <c r="CP361" s="260">
        <v>5</v>
      </c>
      <c r="CQ361" s="260">
        <v>320</v>
      </c>
      <c r="CR361" s="260">
        <v>5</v>
      </c>
      <c r="CS361" s="270">
        <v>640</v>
      </c>
      <c r="CT361" s="315">
        <v>525</v>
      </c>
      <c r="CU361" s="249">
        <f>Table2821115[[#This Row],[D28 - BR/18]]/Table2821115[[#This Row],[D0 - BR/18]]</f>
        <v>16</v>
      </c>
      <c r="CV361" s="248">
        <f>Table2821115[[#This Row],[D28 - KS/17]]/Table2821115[[#This Row],[D0 - KS/17]]</f>
        <v>4</v>
      </c>
      <c r="CW361" s="248">
        <f>Table2821115[[#This Row],[D28 - Phu/13]]/Table2821115[[#This Row],[D0 - Phu/13]]</f>
        <v>64</v>
      </c>
      <c r="CX361" s="248">
        <f>Table2821115[[#This Row],[D28 - CO/17]]/Table2821115[[#This Row],[D0 - CO/17]]</f>
        <v>64</v>
      </c>
      <c r="CY361" s="248">
        <f>LOG(Table2821115[[#This Row],[BR/18 Fold]],2)</f>
        <v>4</v>
      </c>
      <c r="CZ361" s="248">
        <f>LOG(Table2821115[[#This Row],[KS/17 Fold]],2)</f>
        <v>2</v>
      </c>
      <c r="DA361" s="248">
        <f>LOG(Table2821115[[#This Row],[Phu/13 Fold]],2)</f>
        <v>6</v>
      </c>
      <c r="DB361" s="248">
        <f>LOG(Table2821115[[#This Row],[CO/17 Fold]],2)</f>
        <v>6</v>
      </c>
      <c r="DC361" s="248">
        <f>SUM(Table2821115[[#This Row],[BR/18 Log2]:[CO/17 Log2]])</f>
        <v>18</v>
      </c>
    </row>
    <row r="362" spans="1:107" ht="24" customHeight="1">
      <c r="A362" s="321">
        <v>526</v>
      </c>
      <c r="B362" s="183">
        <v>33943</v>
      </c>
      <c r="C362" s="183">
        <v>43879</v>
      </c>
      <c r="D362" s="182">
        <v>27</v>
      </c>
      <c r="E362" s="3" t="s">
        <v>61</v>
      </c>
      <c r="F362" s="143" t="s">
        <v>116</v>
      </c>
      <c r="G362" s="142">
        <v>27.409222543996439</v>
      </c>
      <c r="H362" s="317" t="s">
        <v>59</v>
      </c>
      <c r="I362" s="277" t="s">
        <v>62</v>
      </c>
      <c r="J362" s="260">
        <v>5</v>
      </c>
      <c r="K362" s="260">
        <v>5</v>
      </c>
      <c r="L362" s="260"/>
      <c r="M362" s="260"/>
      <c r="N362" s="260"/>
      <c r="O362" s="260"/>
      <c r="P362" s="260"/>
      <c r="Q362" s="260"/>
      <c r="R362" s="260"/>
      <c r="S362" s="260"/>
      <c r="T362" s="260"/>
      <c r="U362" s="260"/>
      <c r="V362" s="260">
        <v>160</v>
      </c>
      <c r="W362" s="260">
        <v>160</v>
      </c>
      <c r="X362" s="260">
        <v>320</v>
      </c>
      <c r="Y362" s="260">
        <v>320</v>
      </c>
      <c r="Z362" s="260">
        <v>320</v>
      </c>
      <c r="AA362" s="260">
        <v>320</v>
      </c>
      <c r="AB362" s="260">
        <v>160</v>
      </c>
      <c r="AC362" s="260">
        <v>320</v>
      </c>
      <c r="AD362" s="260"/>
      <c r="AE362" s="260"/>
      <c r="AF362" s="260"/>
      <c r="AG362" s="260"/>
      <c r="AH362" s="32">
        <v>526</v>
      </c>
      <c r="AI362" s="272">
        <v>80</v>
      </c>
      <c r="AJ362" s="271">
        <v>80</v>
      </c>
      <c r="AK362" s="260"/>
      <c r="AL362" s="260"/>
      <c r="AM362" s="260"/>
      <c r="AN362" s="260"/>
      <c r="AO362" s="260"/>
      <c r="AP362" s="260"/>
      <c r="AQ362" s="260"/>
      <c r="AR362" s="260"/>
      <c r="AS362" s="260"/>
      <c r="AT362" s="260"/>
      <c r="AU362" s="260">
        <v>40</v>
      </c>
      <c r="AV362" s="271">
        <v>160</v>
      </c>
      <c r="AW362" s="260">
        <v>40</v>
      </c>
      <c r="AX362" s="271">
        <v>320</v>
      </c>
      <c r="AY362" s="260">
        <v>5</v>
      </c>
      <c r="AZ362" s="271">
        <v>160</v>
      </c>
      <c r="BA362" s="276">
        <v>40</v>
      </c>
      <c r="BB362" s="276">
        <v>160</v>
      </c>
      <c r="BC362" s="276"/>
      <c r="BD362" s="276"/>
      <c r="BE362" s="276">
        <v>10</v>
      </c>
      <c r="BF362" s="276">
        <v>80</v>
      </c>
      <c r="BG362" s="260">
        <v>80</v>
      </c>
      <c r="BH362" s="271">
        <v>320</v>
      </c>
      <c r="BI362" s="276"/>
      <c r="BJ362" s="276"/>
      <c r="BK362" s="276"/>
      <c r="BL362" s="275"/>
      <c r="BM362" s="320">
        <v>526</v>
      </c>
      <c r="BN362" s="272">
        <v>160</v>
      </c>
      <c r="BO362" s="270">
        <v>320</v>
      </c>
      <c r="BP362" s="272"/>
      <c r="BQ362" s="260"/>
      <c r="BR362" s="260"/>
      <c r="BS362" s="260"/>
      <c r="BT362" s="260"/>
      <c r="BU362" s="260"/>
      <c r="BV362" s="260">
        <v>5</v>
      </c>
      <c r="BW362" s="260">
        <v>640</v>
      </c>
      <c r="BX362" s="260"/>
      <c r="BY362" s="260"/>
      <c r="BZ362" s="260"/>
      <c r="CA362" s="260"/>
      <c r="CB362" s="260"/>
      <c r="CC362" s="260"/>
      <c r="CD362" s="260">
        <v>80</v>
      </c>
      <c r="CE362" s="260">
        <v>640</v>
      </c>
      <c r="CF362" s="272"/>
      <c r="CG362" s="260"/>
      <c r="CH362" s="260"/>
      <c r="CI362" s="260"/>
      <c r="CJ362" s="260"/>
      <c r="CK362" s="260"/>
      <c r="CL362" s="260"/>
      <c r="CM362" s="260"/>
      <c r="CN362" s="260">
        <v>40</v>
      </c>
      <c r="CO362" s="260">
        <v>160</v>
      </c>
      <c r="CP362" s="260">
        <v>20</v>
      </c>
      <c r="CQ362" s="260">
        <v>160</v>
      </c>
      <c r="CR362" s="260">
        <v>10</v>
      </c>
      <c r="CS362" s="270">
        <v>160</v>
      </c>
      <c r="CT362" s="319">
        <v>526</v>
      </c>
      <c r="CU362" s="249">
        <f>Table2821115[[#This Row],[D28 - BR/18]]/Table2821115[[#This Row],[D0 - BR/18]]</f>
        <v>2</v>
      </c>
      <c r="CV362" s="248">
        <f>Table2821115[[#This Row],[D28 - KS/17]]/Table2821115[[#This Row],[D0 - KS/17]]</f>
        <v>8</v>
      </c>
      <c r="CW362" s="248">
        <f>Table2821115[[#This Row],[D28 - Phu/13]]/Table2821115[[#This Row],[D0 - Phu/13]]</f>
        <v>8</v>
      </c>
      <c r="CX362" s="248">
        <f>Table2821115[[#This Row],[D28 - CO/17]]/Table2821115[[#This Row],[D0 - CO/17]]</f>
        <v>8</v>
      </c>
      <c r="CY362" s="248">
        <f>LOG(Table2821115[[#This Row],[BR/18 Fold]],2)</f>
        <v>1</v>
      </c>
      <c r="CZ362" s="248">
        <f>LOG(Table2821115[[#This Row],[KS/17 Fold]],2)</f>
        <v>3</v>
      </c>
      <c r="DA362" s="248">
        <f>LOG(Table2821115[[#This Row],[Phu/13 Fold]],2)</f>
        <v>3</v>
      </c>
      <c r="DB362" s="248">
        <f>LOG(Table2821115[[#This Row],[CO/17 Fold]],2)</f>
        <v>3</v>
      </c>
      <c r="DC362" s="248">
        <f>SUM(Table2821115[[#This Row],[BR/18 Log2]:[CO/17 Log2]])</f>
        <v>10</v>
      </c>
    </row>
    <row r="363" spans="1:107" ht="24" customHeight="1">
      <c r="A363" s="321">
        <v>527</v>
      </c>
      <c r="B363" s="183">
        <v>33959</v>
      </c>
      <c r="C363" s="183">
        <v>43875</v>
      </c>
      <c r="D363" s="182">
        <v>27</v>
      </c>
      <c r="E363" s="3" t="s">
        <v>61</v>
      </c>
      <c r="F363" s="143" t="s">
        <v>116</v>
      </c>
      <c r="G363" s="142">
        <v>28.054819116553752</v>
      </c>
      <c r="H363" s="317" t="s">
        <v>59</v>
      </c>
      <c r="I363" s="277" t="s">
        <v>62</v>
      </c>
      <c r="J363" s="260">
        <v>5</v>
      </c>
      <c r="K363" s="260">
        <v>5</v>
      </c>
      <c r="L363" s="260"/>
      <c r="M363" s="260"/>
      <c r="N363" s="260"/>
      <c r="O363" s="260"/>
      <c r="P363" s="260"/>
      <c r="Q363" s="260"/>
      <c r="R363" s="260"/>
      <c r="S363" s="260"/>
      <c r="T363" s="260"/>
      <c r="U363" s="260"/>
      <c r="V363" s="260">
        <v>5</v>
      </c>
      <c r="W363" s="260">
        <v>5</v>
      </c>
      <c r="X363" s="260">
        <v>5</v>
      </c>
      <c r="Y363" s="260">
        <v>640</v>
      </c>
      <c r="Z363" s="260">
        <v>10</v>
      </c>
      <c r="AA363" s="260">
        <v>1280</v>
      </c>
      <c r="AB363" s="260">
        <v>5</v>
      </c>
      <c r="AC363" s="260">
        <v>640</v>
      </c>
      <c r="AD363" s="260"/>
      <c r="AE363" s="260"/>
      <c r="AF363" s="260"/>
      <c r="AG363" s="260"/>
      <c r="AH363" s="32">
        <v>527</v>
      </c>
      <c r="AI363" s="272">
        <v>80</v>
      </c>
      <c r="AJ363" s="271">
        <v>640</v>
      </c>
      <c r="AK363" s="260"/>
      <c r="AL363" s="260"/>
      <c r="AM363" s="260"/>
      <c r="AN363" s="260"/>
      <c r="AO363" s="260"/>
      <c r="AP363" s="260"/>
      <c r="AQ363" s="260"/>
      <c r="AR363" s="260"/>
      <c r="AS363" s="260"/>
      <c r="AT363" s="260"/>
      <c r="AU363" s="260">
        <v>80</v>
      </c>
      <c r="AV363" s="271">
        <v>640</v>
      </c>
      <c r="AW363" s="260">
        <v>40</v>
      </c>
      <c r="AX363" s="271">
        <v>1280</v>
      </c>
      <c r="AY363" s="260">
        <v>5</v>
      </c>
      <c r="AZ363" s="271">
        <v>640</v>
      </c>
      <c r="BA363" s="276">
        <v>80</v>
      </c>
      <c r="BB363" s="276">
        <v>640</v>
      </c>
      <c r="BC363" s="276"/>
      <c r="BD363" s="276"/>
      <c r="BE363" s="276">
        <v>10</v>
      </c>
      <c r="BF363" s="276">
        <v>640</v>
      </c>
      <c r="BG363" s="260">
        <v>80</v>
      </c>
      <c r="BH363" s="271">
        <v>1280</v>
      </c>
      <c r="BI363" s="276"/>
      <c r="BJ363" s="276"/>
      <c r="BK363" s="276"/>
      <c r="BL363" s="275"/>
      <c r="BM363" s="320">
        <v>527</v>
      </c>
      <c r="BN363" s="272">
        <v>40</v>
      </c>
      <c r="BO363" s="270">
        <v>80</v>
      </c>
      <c r="BP363" s="272"/>
      <c r="BQ363" s="260"/>
      <c r="BR363" s="260"/>
      <c r="BS363" s="260"/>
      <c r="BT363" s="260"/>
      <c r="BU363" s="260"/>
      <c r="BV363" s="260">
        <v>5</v>
      </c>
      <c r="BW363" s="260">
        <v>5</v>
      </c>
      <c r="BX363" s="260"/>
      <c r="BY363" s="260"/>
      <c r="BZ363" s="260"/>
      <c r="CA363" s="260"/>
      <c r="CB363" s="260"/>
      <c r="CC363" s="260"/>
      <c r="CD363" s="260">
        <v>40</v>
      </c>
      <c r="CE363" s="260">
        <v>160</v>
      </c>
      <c r="CF363" s="272"/>
      <c r="CG363" s="260"/>
      <c r="CH363" s="260"/>
      <c r="CI363" s="260"/>
      <c r="CJ363" s="260"/>
      <c r="CK363" s="260"/>
      <c r="CL363" s="260"/>
      <c r="CM363" s="260"/>
      <c r="CN363" s="260">
        <v>10</v>
      </c>
      <c r="CO363" s="260">
        <v>20</v>
      </c>
      <c r="CP363" s="260">
        <v>20</v>
      </c>
      <c r="CQ363" s="260">
        <v>40</v>
      </c>
      <c r="CR363" s="260">
        <v>20</v>
      </c>
      <c r="CS363" s="270">
        <v>40</v>
      </c>
      <c r="CT363" s="319">
        <v>527</v>
      </c>
      <c r="CU363" s="249">
        <f>Table2821115[[#This Row],[D28 - BR/18]]/Table2821115[[#This Row],[D0 - BR/18]]</f>
        <v>128</v>
      </c>
      <c r="CV363" s="248">
        <f>Table2821115[[#This Row],[D28 - KS/17]]/Table2821115[[#This Row],[D0 - KS/17]]</f>
        <v>64</v>
      </c>
      <c r="CW363" s="248">
        <f>Table2821115[[#This Row],[D28 - Phu/13]]/Table2821115[[#This Row],[D0 - Phu/13]]</f>
        <v>4</v>
      </c>
      <c r="CX363" s="248">
        <f>Table2821115[[#This Row],[D28 - CO/17]]/Table2821115[[#This Row],[D0 - CO/17]]</f>
        <v>2</v>
      </c>
      <c r="CY363" s="248">
        <f>LOG(Table2821115[[#This Row],[BR/18 Fold]],2)</f>
        <v>7</v>
      </c>
      <c r="CZ363" s="248">
        <f>LOG(Table2821115[[#This Row],[KS/17 Fold]],2)</f>
        <v>6</v>
      </c>
      <c r="DA363" s="248">
        <f>LOG(Table2821115[[#This Row],[Phu/13 Fold]],2)</f>
        <v>2</v>
      </c>
      <c r="DB363" s="248">
        <f>LOG(Table2821115[[#This Row],[CO/17 Fold]],2)</f>
        <v>1</v>
      </c>
      <c r="DC363" s="248">
        <f>SUM(Table2821115[[#This Row],[BR/18 Log2]:[CO/17 Log2]])</f>
        <v>16</v>
      </c>
    </row>
    <row r="364" spans="1:107" ht="24" customHeight="1">
      <c r="A364" s="321">
        <v>528</v>
      </c>
      <c r="B364" s="183">
        <v>34950</v>
      </c>
      <c r="C364" s="183">
        <v>43879</v>
      </c>
      <c r="D364" s="182">
        <v>24</v>
      </c>
      <c r="E364" s="3" t="s">
        <v>61</v>
      </c>
      <c r="F364" s="143" t="s">
        <v>116</v>
      </c>
      <c r="G364" s="142">
        <v>20.642494565442657</v>
      </c>
      <c r="H364" s="317" t="s">
        <v>59</v>
      </c>
      <c r="I364" s="277" t="s">
        <v>60</v>
      </c>
      <c r="J364" s="260">
        <v>5</v>
      </c>
      <c r="K364" s="260">
        <v>5</v>
      </c>
      <c r="L364" s="260"/>
      <c r="M364" s="260"/>
      <c r="N364" s="260"/>
      <c r="O364" s="260"/>
      <c r="P364" s="260"/>
      <c r="Q364" s="260"/>
      <c r="R364" s="260"/>
      <c r="S364" s="260"/>
      <c r="T364" s="260"/>
      <c r="U364" s="260"/>
      <c r="V364" s="260">
        <v>5</v>
      </c>
      <c r="W364" s="260">
        <v>5</v>
      </c>
      <c r="X364" s="260">
        <v>80</v>
      </c>
      <c r="Y364" s="260">
        <v>160</v>
      </c>
      <c r="Z364" s="260">
        <v>160</v>
      </c>
      <c r="AA364" s="260">
        <v>160</v>
      </c>
      <c r="AB364" s="260">
        <v>80</v>
      </c>
      <c r="AC364" s="260">
        <v>160</v>
      </c>
      <c r="AD364" s="260"/>
      <c r="AE364" s="260"/>
      <c r="AF364" s="260"/>
      <c r="AG364" s="260"/>
      <c r="AH364" s="32">
        <v>528</v>
      </c>
      <c r="AI364" s="272">
        <v>80</v>
      </c>
      <c r="AJ364" s="271">
        <v>80</v>
      </c>
      <c r="AK364" s="260"/>
      <c r="AL364" s="260"/>
      <c r="AM364" s="260"/>
      <c r="AN364" s="260"/>
      <c r="AO364" s="260"/>
      <c r="AP364" s="260"/>
      <c r="AQ364" s="260"/>
      <c r="AR364" s="260"/>
      <c r="AS364" s="260"/>
      <c r="AT364" s="260"/>
      <c r="AU364" s="260">
        <v>80</v>
      </c>
      <c r="AV364" s="271">
        <v>80</v>
      </c>
      <c r="AW364" s="260">
        <v>80</v>
      </c>
      <c r="AX364" s="271">
        <v>80</v>
      </c>
      <c r="AY364" s="260">
        <v>5</v>
      </c>
      <c r="AZ364" s="271">
        <v>20</v>
      </c>
      <c r="BA364" s="276">
        <v>20</v>
      </c>
      <c r="BB364" s="276">
        <v>40</v>
      </c>
      <c r="BC364" s="276"/>
      <c r="BD364" s="276"/>
      <c r="BE364" s="276">
        <v>10</v>
      </c>
      <c r="BF364" s="276">
        <v>20</v>
      </c>
      <c r="BG364" s="260">
        <v>80</v>
      </c>
      <c r="BH364" s="271">
        <v>80</v>
      </c>
      <c r="BI364" s="276"/>
      <c r="BJ364" s="276"/>
      <c r="BK364" s="276"/>
      <c r="BL364" s="275"/>
      <c r="BM364" s="320">
        <v>528</v>
      </c>
      <c r="BN364" s="272">
        <v>80</v>
      </c>
      <c r="BO364" s="270">
        <v>80</v>
      </c>
      <c r="BP364" s="272"/>
      <c r="BQ364" s="260"/>
      <c r="BR364" s="260"/>
      <c r="BS364" s="260"/>
      <c r="BT364" s="260"/>
      <c r="BU364" s="260"/>
      <c r="BV364" s="260">
        <v>5</v>
      </c>
      <c r="BW364" s="260">
        <v>80</v>
      </c>
      <c r="BX364" s="260"/>
      <c r="BY364" s="260"/>
      <c r="BZ364" s="260"/>
      <c r="CA364" s="260"/>
      <c r="CB364" s="260"/>
      <c r="CC364" s="260"/>
      <c r="CD364" s="260">
        <v>40</v>
      </c>
      <c r="CE364" s="260">
        <v>80</v>
      </c>
      <c r="CF364" s="272"/>
      <c r="CG364" s="260"/>
      <c r="CH364" s="260"/>
      <c r="CI364" s="260"/>
      <c r="CJ364" s="260"/>
      <c r="CK364" s="260"/>
      <c r="CL364" s="260"/>
      <c r="CM364" s="260"/>
      <c r="CN364" s="260">
        <v>160</v>
      </c>
      <c r="CO364" s="260">
        <v>160</v>
      </c>
      <c r="CP364" s="260">
        <v>160</v>
      </c>
      <c r="CQ364" s="260">
        <v>320</v>
      </c>
      <c r="CR364" s="260">
        <v>160</v>
      </c>
      <c r="CS364" s="270">
        <v>320</v>
      </c>
      <c r="CT364" s="319">
        <v>528</v>
      </c>
      <c r="CU364" s="249">
        <f>Table2821115[[#This Row],[D28 - BR/18]]/Table2821115[[#This Row],[D0 - BR/18]]</f>
        <v>2</v>
      </c>
      <c r="CV364" s="248">
        <f>Table2821115[[#This Row],[D28 - KS/17]]/Table2821115[[#This Row],[D0 - KS/17]]</f>
        <v>2</v>
      </c>
      <c r="CW364" s="248">
        <f>Table2821115[[#This Row],[D28 - Phu/13]]/Table2821115[[#This Row],[D0 - Phu/13]]</f>
        <v>2</v>
      </c>
      <c r="CX364" s="248">
        <f>Table2821115[[#This Row],[D28 - CO/17]]/Table2821115[[#This Row],[D0 - CO/17]]</f>
        <v>2</v>
      </c>
      <c r="CY364" s="248">
        <f>LOG(Table2821115[[#This Row],[BR/18 Fold]],2)</f>
        <v>1</v>
      </c>
      <c r="CZ364" s="248">
        <f>LOG(Table2821115[[#This Row],[KS/17 Fold]],2)</f>
        <v>1</v>
      </c>
      <c r="DA364" s="248">
        <f>LOG(Table2821115[[#This Row],[Phu/13 Fold]],2)</f>
        <v>1</v>
      </c>
      <c r="DB364" s="248">
        <f>LOG(Table2821115[[#This Row],[CO/17 Fold]],2)</f>
        <v>1</v>
      </c>
      <c r="DC364" s="248">
        <f>SUM(Table2821115[[#This Row],[BR/18 Log2]:[CO/17 Log2]])</f>
        <v>4</v>
      </c>
    </row>
    <row r="365" spans="1:107" ht="24" customHeight="1">
      <c r="A365" s="321">
        <v>529</v>
      </c>
      <c r="B365" s="183">
        <v>35786</v>
      </c>
      <c r="C365" s="183">
        <v>43878</v>
      </c>
      <c r="D365" s="182">
        <v>22</v>
      </c>
      <c r="E365" s="3" t="s">
        <v>61</v>
      </c>
      <c r="F365" s="143" t="s">
        <v>116</v>
      </c>
      <c r="G365" s="142">
        <v>28.453199274990599</v>
      </c>
      <c r="H365" s="317" t="s">
        <v>59</v>
      </c>
      <c r="I365" s="277" t="s">
        <v>60</v>
      </c>
      <c r="J365" s="260">
        <v>5</v>
      </c>
      <c r="K365" s="260">
        <v>5</v>
      </c>
      <c r="L365" s="260"/>
      <c r="M365" s="260"/>
      <c r="N365" s="260"/>
      <c r="O365" s="260"/>
      <c r="P365" s="260"/>
      <c r="Q365" s="260"/>
      <c r="R365" s="260"/>
      <c r="S365" s="260"/>
      <c r="T365" s="260"/>
      <c r="U365" s="260"/>
      <c r="V365" s="260">
        <v>80</v>
      </c>
      <c r="W365" s="260">
        <v>40</v>
      </c>
      <c r="X365" s="260">
        <v>40</v>
      </c>
      <c r="Y365" s="260">
        <v>80</v>
      </c>
      <c r="Z365" s="260">
        <v>40</v>
      </c>
      <c r="AA365" s="260">
        <v>160</v>
      </c>
      <c r="AB365" s="260">
        <v>40</v>
      </c>
      <c r="AC365" s="260">
        <v>80</v>
      </c>
      <c r="AD365" s="260"/>
      <c r="AE365" s="260"/>
      <c r="AF365" s="260"/>
      <c r="AG365" s="260"/>
      <c r="AH365" s="32">
        <v>529</v>
      </c>
      <c r="AI365" s="272">
        <v>160</v>
      </c>
      <c r="AJ365" s="271">
        <v>640</v>
      </c>
      <c r="AK365" s="260"/>
      <c r="AL365" s="260"/>
      <c r="AM365" s="260"/>
      <c r="AN365" s="260"/>
      <c r="AO365" s="260"/>
      <c r="AP365" s="260"/>
      <c r="AQ365" s="260"/>
      <c r="AR365" s="260"/>
      <c r="AS365" s="260"/>
      <c r="AT365" s="260"/>
      <c r="AU365" s="260">
        <v>320</v>
      </c>
      <c r="AV365" s="271">
        <v>1280</v>
      </c>
      <c r="AW365" s="260">
        <v>320</v>
      </c>
      <c r="AX365" s="271">
        <v>2560</v>
      </c>
      <c r="AY365" s="260">
        <v>160</v>
      </c>
      <c r="AZ365" s="271">
        <v>1280</v>
      </c>
      <c r="BA365" s="276">
        <v>320</v>
      </c>
      <c r="BB365" s="276">
        <v>1280</v>
      </c>
      <c r="BC365" s="276"/>
      <c r="BD365" s="276"/>
      <c r="BE365" s="276">
        <v>80</v>
      </c>
      <c r="BF365" s="276">
        <v>640</v>
      </c>
      <c r="BG365" s="260">
        <v>640</v>
      </c>
      <c r="BH365" s="271">
        <v>2560</v>
      </c>
      <c r="BI365" s="276"/>
      <c r="BJ365" s="276"/>
      <c r="BK365" s="276"/>
      <c r="BL365" s="275"/>
      <c r="BM365" s="320">
        <v>529</v>
      </c>
      <c r="BN365" s="272">
        <v>80</v>
      </c>
      <c r="BO365" s="270">
        <v>80</v>
      </c>
      <c r="BP365" s="272"/>
      <c r="BQ365" s="260"/>
      <c r="BR365" s="260"/>
      <c r="BS365" s="260"/>
      <c r="BT365" s="260"/>
      <c r="BU365" s="260"/>
      <c r="BV365" s="260">
        <v>5</v>
      </c>
      <c r="BW365" s="260">
        <v>5</v>
      </c>
      <c r="BX365" s="260"/>
      <c r="BY365" s="260"/>
      <c r="BZ365" s="260"/>
      <c r="CA365" s="260"/>
      <c r="CB365" s="260"/>
      <c r="CC365" s="260"/>
      <c r="CD365" s="260">
        <v>80</v>
      </c>
      <c r="CE365" s="260">
        <v>80</v>
      </c>
      <c r="CF365" s="272"/>
      <c r="CG365" s="260"/>
      <c r="CH365" s="260"/>
      <c r="CI365" s="260"/>
      <c r="CJ365" s="260"/>
      <c r="CK365" s="260"/>
      <c r="CL365" s="260"/>
      <c r="CM365" s="260"/>
      <c r="CN365" s="260">
        <v>40</v>
      </c>
      <c r="CO365" s="260">
        <v>40</v>
      </c>
      <c r="CP365" s="260">
        <v>40</v>
      </c>
      <c r="CQ365" s="260">
        <v>80</v>
      </c>
      <c r="CR365" s="260">
        <v>80</v>
      </c>
      <c r="CS365" s="270">
        <v>80</v>
      </c>
      <c r="CT365" s="319">
        <v>529</v>
      </c>
      <c r="CU365" s="249">
        <f>Table2821115[[#This Row],[D28 - BR/18]]/Table2821115[[#This Row],[D0 - BR/18]]</f>
        <v>2</v>
      </c>
      <c r="CV365" s="248">
        <f>Table2821115[[#This Row],[D28 - KS/17]]/Table2821115[[#This Row],[D0 - KS/17]]</f>
        <v>8</v>
      </c>
      <c r="CW365" s="248">
        <f>Table2821115[[#This Row],[D28 - Phu/13]]/Table2821115[[#This Row],[D0 - Phu/13]]</f>
        <v>1</v>
      </c>
      <c r="CX365" s="248">
        <f>Table2821115[[#This Row],[D28 - CO/17]]/Table2821115[[#This Row],[D0 - CO/17]]</f>
        <v>2</v>
      </c>
      <c r="CY365" s="248">
        <f>LOG(Table2821115[[#This Row],[BR/18 Fold]],2)</f>
        <v>1</v>
      </c>
      <c r="CZ365" s="248">
        <f>LOG(Table2821115[[#This Row],[KS/17 Fold]],2)</f>
        <v>3</v>
      </c>
      <c r="DA365" s="248">
        <f>LOG(Table2821115[[#This Row],[Phu/13 Fold]],2)</f>
        <v>0</v>
      </c>
      <c r="DB365" s="248">
        <f>LOG(Table2821115[[#This Row],[CO/17 Fold]],2)</f>
        <v>1</v>
      </c>
      <c r="DC365" s="248">
        <f>SUM(Table2821115[[#This Row],[BR/18 Log2]:[CO/17 Log2]])</f>
        <v>5</v>
      </c>
    </row>
    <row r="366" spans="1:107" ht="24" customHeight="1">
      <c r="A366" s="321">
        <v>530</v>
      </c>
      <c r="B366" s="183">
        <v>33552</v>
      </c>
      <c r="C366" s="183">
        <v>43874</v>
      </c>
      <c r="D366" s="182">
        <v>28</v>
      </c>
      <c r="E366" s="4" t="s">
        <v>58</v>
      </c>
      <c r="F366" s="143" t="s">
        <v>116</v>
      </c>
      <c r="G366" s="142">
        <v>33.338349219856681</v>
      </c>
      <c r="H366" s="317" t="s">
        <v>59</v>
      </c>
      <c r="I366" s="277" t="s">
        <v>62</v>
      </c>
      <c r="J366" s="260">
        <v>5</v>
      </c>
      <c r="K366" s="260">
        <v>5</v>
      </c>
      <c r="L366" s="260"/>
      <c r="M366" s="260"/>
      <c r="N366" s="260"/>
      <c r="O366" s="260"/>
      <c r="P366" s="260"/>
      <c r="Q366" s="260"/>
      <c r="R366" s="260"/>
      <c r="S366" s="260"/>
      <c r="T366" s="260"/>
      <c r="U366" s="260"/>
      <c r="V366" s="260">
        <v>5</v>
      </c>
      <c r="W366" s="260">
        <v>10</v>
      </c>
      <c r="X366" s="260">
        <v>5</v>
      </c>
      <c r="Y366" s="260">
        <v>320</v>
      </c>
      <c r="Z366" s="260">
        <v>5</v>
      </c>
      <c r="AA366" s="260">
        <v>640</v>
      </c>
      <c r="AB366" s="260">
        <v>5</v>
      </c>
      <c r="AC366" s="260">
        <v>160</v>
      </c>
      <c r="AD366" s="260"/>
      <c r="AE366" s="260"/>
      <c r="AF366" s="260"/>
      <c r="AG366" s="260"/>
      <c r="AH366" s="32">
        <v>530</v>
      </c>
      <c r="AI366" s="272">
        <v>20</v>
      </c>
      <c r="AJ366" s="271">
        <v>40</v>
      </c>
      <c r="AK366" s="260"/>
      <c r="AL366" s="260"/>
      <c r="AM366" s="260"/>
      <c r="AN366" s="260"/>
      <c r="AO366" s="260"/>
      <c r="AP366" s="260"/>
      <c r="AQ366" s="260"/>
      <c r="AR366" s="260"/>
      <c r="AS366" s="260"/>
      <c r="AT366" s="260"/>
      <c r="AU366" s="260">
        <v>20</v>
      </c>
      <c r="AV366" s="271">
        <v>160</v>
      </c>
      <c r="AW366" s="260">
        <v>10</v>
      </c>
      <c r="AX366" s="271">
        <v>160</v>
      </c>
      <c r="AY366" s="260">
        <v>5</v>
      </c>
      <c r="AZ366" s="271">
        <v>160</v>
      </c>
      <c r="BA366" s="276">
        <v>10</v>
      </c>
      <c r="BB366" s="276">
        <v>160</v>
      </c>
      <c r="BC366" s="276"/>
      <c r="BD366" s="276"/>
      <c r="BE366" s="276">
        <v>5</v>
      </c>
      <c r="BF366" s="276">
        <v>80</v>
      </c>
      <c r="BG366" s="260">
        <v>40</v>
      </c>
      <c r="BH366" s="271">
        <v>80</v>
      </c>
      <c r="BI366" s="276"/>
      <c r="BJ366" s="276"/>
      <c r="BK366" s="276"/>
      <c r="BL366" s="275"/>
      <c r="BM366" s="320">
        <v>530</v>
      </c>
      <c r="BN366" s="272">
        <v>5</v>
      </c>
      <c r="BO366" s="270">
        <v>80</v>
      </c>
      <c r="BP366" s="272"/>
      <c r="BQ366" s="260"/>
      <c r="BR366" s="260"/>
      <c r="BS366" s="260"/>
      <c r="BT366" s="260"/>
      <c r="BU366" s="260"/>
      <c r="BV366" s="260">
        <v>5</v>
      </c>
      <c r="BW366" s="260">
        <v>320</v>
      </c>
      <c r="BX366" s="260"/>
      <c r="BY366" s="260"/>
      <c r="BZ366" s="260"/>
      <c r="CA366" s="260"/>
      <c r="CB366" s="260"/>
      <c r="CC366" s="260"/>
      <c r="CD366" s="260">
        <v>5</v>
      </c>
      <c r="CE366" s="260">
        <v>320</v>
      </c>
      <c r="CF366" s="272"/>
      <c r="CG366" s="260"/>
      <c r="CH366" s="260"/>
      <c r="CI366" s="260"/>
      <c r="CJ366" s="260"/>
      <c r="CK366" s="260"/>
      <c r="CL366" s="260"/>
      <c r="CM366" s="260"/>
      <c r="CN366" s="260">
        <v>5</v>
      </c>
      <c r="CO366" s="260">
        <v>80</v>
      </c>
      <c r="CP366" s="260">
        <v>5</v>
      </c>
      <c r="CQ366" s="260">
        <v>80</v>
      </c>
      <c r="CR366" s="260">
        <v>5</v>
      </c>
      <c r="CS366" s="270">
        <v>160</v>
      </c>
      <c r="CT366" s="319">
        <v>530</v>
      </c>
      <c r="CU366" s="249">
        <f>Table2821115[[#This Row],[D28 - BR/18]]/Table2821115[[#This Row],[D0 - BR/18]]</f>
        <v>32</v>
      </c>
      <c r="CV366" s="248">
        <f>Table2821115[[#This Row],[D28 - KS/17]]/Table2821115[[#This Row],[D0 - KS/17]]</f>
        <v>16</v>
      </c>
      <c r="CW366" s="248">
        <f>Table2821115[[#This Row],[D28 - Phu/13]]/Table2821115[[#This Row],[D0 - Phu/13]]</f>
        <v>64</v>
      </c>
      <c r="CX366" s="248">
        <f>Table2821115[[#This Row],[D28 - CO/17]]/Table2821115[[#This Row],[D0 - CO/17]]</f>
        <v>16</v>
      </c>
      <c r="CY366" s="248">
        <f>LOG(Table2821115[[#This Row],[BR/18 Fold]],2)</f>
        <v>5</v>
      </c>
      <c r="CZ366" s="248">
        <f>LOG(Table2821115[[#This Row],[KS/17 Fold]],2)</f>
        <v>4</v>
      </c>
      <c r="DA366" s="248">
        <f>LOG(Table2821115[[#This Row],[Phu/13 Fold]],2)</f>
        <v>6</v>
      </c>
      <c r="DB366" s="248">
        <f>LOG(Table2821115[[#This Row],[CO/17 Fold]],2)</f>
        <v>4</v>
      </c>
      <c r="DC366" s="248">
        <f>SUM(Table2821115[[#This Row],[BR/18 Log2]:[CO/17 Log2]])</f>
        <v>19</v>
      </c>
    </row>
    <row r="367" spans="1:107" ht="24" customHeight="1">
      <c r="A367" s="321">
        <v>531</v>
      </c>
      <c r="B367" s="183">
        <v>36725</v>
      </c>
      <c r="C367" s="183">
        <v>43878</v>
      </c>
      <c r="D367" s="182">
        <v>19</v>
      </c>
      <c r="E367" s="3" t="s">
        <v>61</v>
      </c>
      <c r="F367" s="143" t="s">
        <v>116</v>
      </c>
      <c r="G367" s="142">
        <v>26.808802879044823</v>
      </c>
      <c r="H367" s="317" t="s">
        <v>59</v>
      </c>
      <c r="I367" s="277" t="s">
        <v>62</v>
      </c>
      <c r="J367" s="260">
        <v>5</v>
      </c>
      <c r="K367" s="260">
        <v>5</v>
      </c>
      <c r="L367" s="260"/>
      <c r="M367" s="260"/>
      <c r="N367" s="260"/>
      <c r="O367" s="260"/>
      <c r="P367" s="260"/>
      <c r="Q367" s="260"/>
      <c r="R367" s="260"/>
      <c r="S367" s="260"/>
      <c r="T367" s="260"/>
      <c r="U367" s="260"/>
      <c r="V367" s="260">
        <v>5</v>
      </c>
      <c r="W367" s="260">
        <v>10</v>
      </c>
      <c r="X367" s="260">
        <v>5</v>
      </c>
      <c r="Y367" s="260">
        <v>40</v>
      </c>
      <c r="Z367" s="260">
        <v>40</v>
      </c>
      <c r="AA367" s="260">
        <v>80</v>
      </c>
      <c r="AB367" s="260">
        <v>20</v>
      </c>
      <c r="AC367" s="260">
        <v>80</v>
      </c>
      <c r="AD367" s="260"/>
      <c r="AE367" s="260"/>
      <c r="AF367" s="260"/>
      <c r="AG367" s="260"/>
      <c r="AH367" s="32">
        <v>531</v>
      </c>
      <c r="AI367" s="272">
        <v>5</v>
      </c>
      <c r="AJ367" s="271">
        <v>40</v>
      </c>
      <c r="AK367" s="260"/>
      <c r="AL367" s="260"/>
      <c r="AM367" s="260"/>
      <c r="AN367" s="260"/>
      <c r="AO367" s="260"/>
      <c r="AP367" s="260"/>
      <c r="AQ367" s="260"/>
      <c r="AR367" s="260"/>
      <c r="AS367" s="260"/>
      <c r="AT367" s="260"/>
      <c r="AU367" s="260">
        <v>320</v>
      </c>
      <c r="AV367" s="271">
        <v>1280</v>
      </c>
      <c r="AW367" s="260">
        <v>160</v>
      </c>
      <c r="AX367" s="271">
        <v>640</v>
      </c>
      <c r="AY367" s="260">
        <v>5</v>
      </c>
      <c r="AZ367" s="271">
        <v>640</v>
      </c>
      <c r="BA367" s="276">
        <v>160</v>
      </c>
      <c r="BB367" s="276">
        <v>1280</v>
      </c>
      <c r="BC367" s="276"/>
      <c r="BD367" s="276"/>
      <c r="BE367" s="276">
        <v>5</v>
      </c>
      <c r="BF367" s="276">
        <v>160</v>
      </c>
      <c r="BG367" s="260">
        <v>160</v>
      </c>
      <c r="BH367" s="271">
        <v>640</v>
      </c>
      <c r="BI367" s="276"/>
      <c r="BJ367" s="276"/>
      <c r="BK367" s="276"/>
      <c r="BL367" s="275"/>
      <c r="BM367" s="320">
        <v>531</v>
      </c>
      <c r="BN367" s="272">
        <v>160</v>
      </c>
      <c r="BO367" s="270">
        <v>160</v>
      </c>
      <c r="BP367" s="272"/>
      <c r="BQ367" s="260"/>
      <c r="BR367" s="260"/>
      <c r="BS367" s="260"/>
      <c r="BT367" s="260"/>
      <c r="BU367" s="260"/>
      <c r="BV367" s="260">
        <v>5</v>
      </c>
      <c r="BW367" s="260">
        <v>5</v>
      </c>
      <c r="BX367" s="260"/>
      <c r="BY367" s="260"/>
      <c r="BZ367" s="260"/>
      <c r="CA367" s="260"/>
      <c r="CB367" s="260"/>
      <c r="CC367" s="260"/>
      <c r="CD367" s="260">
        <v>10</v>
      </c>
      <c r="CE367" s="260">
        <v>160</v>
      </c>
      <c r="CF367" s="272"/>
      <c r="CG367" s="260"/>
      <c r="CH367" s="260"/>
      <c r="CI367" s="260"/>
      <c r="CJ367" s="260"/>
      <c r="CK367" s="260"/>
      <c r="CL367" s="260"/>
      <c r="CM367" s="260"/>
      <c r="CN367" s="260">
        <v>80</v>
      </c>
      <c r="CO367" s="260">
        <v>160</v>
      </c>
      <c r="CP367" s="260">
        <v>80</v>
      </c>
      <c r="CQ367" s="260">
        <v>160</v>
      </c>
      <c r="CR367" s="260">
        <v>80</v>
      </c>
      <c r="CS367" s="270">
        <v>160</v>
      </c>
      <c r="CT367" s="319">
        <v>531</v>
      </c>
      <c r="CU367" s="249">
        <f>Table2821115[[#This Row],[D28 - BR/18]]/Table2821115[[#This Row],[D0 - BR/18]]</f>
        <v>4</v>
      </c>
      <c r="CV367" s="248">
        <f>Table2821115[[#This Row],[D28 - KS/17]]/Table2821115[[#This Row],[D0 - KS/17]]</f>
        <v>32</v>
      </c>
      <c r="CW367" s="248">
        <f>Table2821115[[#This Row],[D28 - Phu/13]]/Table2821115[[#This Row],[D0 - Phu/13]]</f>
        <v>16</v>
      </c>
      <c r="CX367" s="248">
        <f>Table2821115[[#This Row],[D28 - CO/17]]/Table2821115[[#This Row],[D0 - CO/17]]</f>
        <v>2</v>
      </c>
      <c r="CY367" s="248">
        <f>LOG(Table2821115[[#This Row],[BR/18 Fold]],2)</f>
        <v>2</v>
      </c>
      <c r="CZ367" s="248">
        <f>LOG(Table2821115[[#This Row],[KS/17 Fold]],2)</f>
        <v>5</v>
      </c>
      <c r="DA367" s="248">
        <f>LOG(Table2821115[[#This Row],[Phu/13 Fold]],2)</f>
        <v>4</v>
      </c>
      <c r="DB367" s="248">
        <f>LOG(Table2821115[[#This Row],[CO/17 Fold]],2)</f>
        <v>1</v>
      </c>
      <c r="DC367" s="248">
        <f>SUM(Table2821115[[#This Row],[BR/18 Log2]:[CO/17 Log2]])</f>
        <v>12</v>
      </c>
    </row>
    <row r="368" spans="1:107" ht="24" customHeight="1">
      <c r="A368" s="318">
        <v>535</v>
      </c>
      <c r="B368" s="180">
        <v>20575</v>
      </c>
      <c r="C368" s="180">
        <v>43885</v>
      </c>
      <c r="D368" s="179">
        <v>63</v>
      </c>
      <c r="E368" s="3" t="s">
        <v>61</v>
      </c>
      <c r="F368" s="143" t="s">
        <v>116</v>
      </c>
      <c r="G368" s="142">
        <v>27.98920978139671</v>
      </c>
      <c r="H368" s="317" t="s">
        <v>59</v>
      </c>
      <c r="I368" s="277" t="s">
        <v>62</v>
      </c>
      <c r="J368" s="260">
        <v>5</v>
      </c>
      <c r="K368" s="260">
        <v>5</v>
      </c>
      <c r="L368" s="260"/>
      <c r="M368" s="260"/>
      <c r="N368" s="260"/>
      <c r="O368" s="260"/>
      <c r="P368" s="260"/>
      <c r="Q368" s="260"/>
      <c r="R368" s="260"/>
      <c r="S368" s="260"/>
      <c r="T368" s="260"/>
      <c r="U368" s="260"/>
      <c r="V368" s="260">
        <v>5</v>
      </c>
      <c r="W368" s="260">
        <v>5</v>
      </c>
      <c r="X368" s="260">
        <v>5</v>
      </c>
      <c r="Y368" s="260">
        <v>10</v>
      </c>
      <c r="Z368" s="260">
        <v>10</v>
      </c>
      <c r="AA368" s="260">
        <v>160</v>
      </c>
      <c r="AB368" s="260">
        <v>10</v>
      </c>
      <c r="AC368" s="260">
        <v>320</v>
      </c>
      <c r="AD368" s="260"/>
      <c r="AE368" s="260"/>
      <c r="AF368" s="260"/>
      <c r="AG368" s="260"/>
      <c r="AH368" s="195">
        <v>535</v>
      </c>
      <c r="AI368" s="272">
        <v>5</v>
      </c>
      <c r="AJ368" s="271">
        <v>20</v>
      </c>
      <c r="AK368" s="260"/>
      <c r="AL368" s="260"/>
      <c r="AM368" s="260"/>
      <c r="AN368" s="260"/>
      <c r="AO368" s="260"/>
      <c r="AP368" s="260"/>
      <c r="AQ368" s="260"/>
      <c r="AR368" s="260"/>
      <c r="AS368" s="260"/>
      <c r="AT368" s="260"/>
      <c r="AU368" s="260">
        <v>10</v>
      </c>
      <c r="AV368" s="271">
        <v>20</v>
      </c>
      <c r="AW368" s="260">
        <v>5</v>
      </c>
      <c r="AX368" s="271">
        <v>20</v>
      </c>
      <c r="AY368" s="260">
        <v>5</v>
      </c>
      <c r="AZ368" s="271">
        <v>10</v>
      </c>
      <c r="BA368" s="276">
        <v>5</v>
      </c>
      <c r="BB368" s="276">
        <v>20</v>
      </c>
      <c r="BC368" s="276"/>
      <c r="BD368" s="276"/>
      <c r="BE368" s="276">
        <v>5</v>
      </c>
      <c r="BF368" s="276">
        <v>10</v>
      </c>
      <c r="BG368" s="260">
        <v>5</v>
      </c>
      <c r="BH368" s="271">
        <v>20</v>
      </c>
      <c r="BI368" s="276"/>
      <c r="BJ368" s="276"/>
      <c r="BK368" s="276"/>
      <c r="BL368" s="275"/>
      <c r="BM368" s="316">
        <v>535</v>
      </c>
      <c r="BN368" s="272">
        <v>10</v>
      </c>
      <c r="BO368" s="270">
        <v>160</v>
      </c>
      <c r="BP368" s="272"/>
      <c r="BQ368" s="260"/>
      <c r="BR368" s="260"/>
      <c r="BS368" s="260"/>
      <c r="BT368" s="260"/>
      <c r="BU368" s="260"/>
      <c r="BV368" s="260">
        <v>5</v>
      </c>
      <c r="BW368" s="260">
        <v>5</v>
      </c>
      <c r="BX368" s="260"/>
      <c r="BY368" s="260"/>
      <c r="BZ368" s="260"/>
      <c r="CA368" s="260"/>
      <c r="CB368" s="260"/>
      <c r="CC368" s="260"/>
      <c r="CD368" s="260">
        <v>5</v>
      </c>
      <c r="CE368" s="260">
        <v>320</v>
      </c>
      <c r="CF368" s="272"/>
      <c r="CG368" s="260"/>
      <c r="CH368" s="260"/>
      <c r="CI368" s="260"/>
      <c r="CJ368" s="260"/>
      <c r="CK368" s="260"/>
      <c r="CL368" s="260"/>
      <c r="CM368" s="260"/>
      <c r="CN368" s="260">
        <v>5</v>
      </c>
      <c r="CO368" s="260">
        <v>80</v>
      </c>
      <c r="CP368" s="260">
        <v>5</v>
      </c>
      <c r="CQ368" s="260">
        <v>40</v>
      </c>
      <c r="CR368" s="260">
        <v>5</v>
      </c>
      <c r="CS368" s="270">
        <v>40</v>
      </c>
      <c r="CT368" s="315">
        <v>535</v>
      </c>
      <c r="CU368" s="249">
        <f>Table2821115[[#This Row],[D28 - BR/18]]/Table2821115[[#This Row],[D0 - BR/18]]</f>
        <v>32</v>
      </c>
      <c r="CV368" s="248">
        <f>Table2821115[[#This Row],[D28 - KS/17]]/Table2821115[[#This Row],[D0 - KS/17]]</f>
        <v>2</v>
      </c>
      <c r="CW368" s="248">
        <f>Table2821115[[#This Row],[D28 - Phu/13]]/Table2821115[[#This Row],[D0 - Phu/13]]</f>
        <v>64</v>
      </c>
      <c r="CX368" s="248">
        <f>Table2821115[[#This Row],[D28 - CO/17]]/Table2821115[[#This Row],[D0 - CO/17]]</f>
        <v>8</v>
      </c>
      <c r="CY368" s="248">
        <f>LOG(Table2821115[[#This Row],[BR/18 Fold]],2)</f>
        <v>5</v>
      </c>
      <c r="CZ368" s="248">
        <f>LOG(Table2821115[[#This Row],[KS/17 Fold]],2)</f>
        <v>1</v>
      </c>
      <c r="DA368" s="248">
        <f>LOG(Table2821115[[#This Row],[Phu/13 Fold]],2)</f>
        <v>6</v>
      </c>
      <c r="DB368" s="248">
        <f>LOG(Table2821115[[#This Row],[CO/17 Fold]],2)</f>
        <v>3</v>
      </c>
      <c r="DC368" s="248">
        <f>SUM(Table2821115[[#This Row],[BR/18 Log2]:[CO/17 Log2]])</f>
        <v>15</v>
      </c>
    </row>
    <row r="369" spans="1:107" ht="24" customHeight="1">
      <c r="A369" s="282" t="s">
        <v>130</v>
      </c>
      <c r="B369" s="151">
        <v>37583</v>
      </c>
      <c r="C369" s="151">
        <v>43767</v>
      </c>
      <c r="D369" s="150">
        <v>16</v>
      </c>
      <c r="E369" s="3" t="s">
        <v>61</v>
      </c>
      <c r="F369" s="143" t="s">
        <v>116</v>
      </c>
      <c r="G369" s="142">
        <v>20.884674443678083</v>
      </c>
      <c r="H369" s="11" t="s">
        <v>59</v>
      </c>
      <c r="I369" s="281" t="s">
        <v>60</v>
      </c>
      <c r="J369" s="260">
        <v>5</v>
      </c>
      <c r="K369" s="260">
        <v>5</v>
      </c>
      <c r="L369" s="260"/>
      <c r="M369" s="260"/>
      <c r="N369" s="260"/>
      <c r="O369" s="260"/>
      <c r="P369" s="260"/>
      <c r="Q369" s="260"/>
      <c r="R369" s="260"/>
      <c r="S369" s="260"/>
      <c r="T369" s="260"/>
      <c r="U369" s="260"/>
      <c r="V369" s="260">
        <v>80</v>
      </c>
      <c r="W369" s="260">
        <v>80</v>
      </c>
      <c r="X369" s="260">
        <v>160</v>
      </c>
      <c r="Y369" s="260">
        <v>320</v>
      </c>
      <c r="Z369" s="260">
        <v>320</v>
      </c>
      <c r="AA369" s="260">
        <v>320</v>
      </c>
      <c r="AB369" s="260">
        <v>160</v>
      </c>
      <c r="AC369" s="260">
        <v>320</v>
      </c>
      <c r="AD369" s="260"/>
      <c r="AE369" s="260"/>
      <c r="AF369" s="260"/>
      <c r="AG369" s="260"/>
      <c r="AH369" s="174" t="s">
        <v>130</v>
      </c>
      <c r="AI369" s="272">
        <v>10</v>
      </c>
      <c r="AJ369" s="271">
        <v>20</v>
      </c>
      <c r="AK369" s="260"/>
      <c r="AL369" s="260"/>
      <c r="AM369" s="260"/>
      <c r="AN369" s="260"/>
      <c r="AO369" s="260"/>
      <c r="AP369" s="260"/>
      <c r="AQ369" s="260"/>
      <c r="AR369" s="260"/>
      <c r="AS369" s="260"/>
      <c r="AT369" s="260"/>
      <c r="AU369" s="260">
        <v>320</v>
      </c>
      <c r="AV369" s="271">
        <v>640</v>
      </c>
      <c r="AW369" s="260">
        <v>640</v>
      </c>
      <c r="AX369" s="271">
        <v>1280</v>
      </c>
      <c r="AY369" s="260">
        <v>320</v>
      </c>
      <c r="AZ369" s="271">
        <v>640</v>
      </c>
      <c r="BA369" s="276">
        <v>640</v>
      </c>
      <c r="BB369" s="276">
        <v>640</v>
      </c>
      <c r="BC369" s="276"/>
      <c r="BD369" s="276"/>
      <c r="BE369" s="276">
        <v>320</v>
      </c>
      <c r="BF369" s="276">
        <v>640</v>
      </c>
      <c r="BG369" s="260">
        <v>320</v>
      </c>
      <c r="BH369" s="271">
        <v>320</v>
      </c>
      <c r="BI369" s="276"/>
      <c r="BJ369" s="276"/>
      <c r="BK369" s="276"/>
      <c r="BL369" s="275"/>
      <c r="BM369" s="280" t="s">
        <v>130</v>
      </c>
      <c r="BN369" s="272">
        <v>40</v>
      </c>
      <c r="BO369" s="270">
        <v>40</v>
      </c>
      <c r="BP369" s="272"/>
      <c r="BQ369" s="260"/>
      <c r="BR369" s="260"/>
      <c r="BS369" s="260"/>
      <c r="BT369" s="260"/>
      <c r="BU369" s="260"/>
      <c r="BV369" s="260">
        <v>320</v>
      </c>
      <c r="BW369" s="260">
        <v>320</v>
      </c>
      <c r="BX369" s="260"/>
      <c r="BY369" s="260"/>
      <c r="BZ369" s="260"/>
      <c r="CA369" s="260"/>
      <c r="CB369" s="260"/>
      <c r="CC369" s="260"/>
      <c r="CD369" s="260">
        <v>320</v>
      </c>
      <c r="CE369" s="260">
        <v>320</v>
      </c>
      <c r="CF369" s="272"/>
      <c r="CG369" s="260"/>
      <c r="CH369" s="260"/>
      <c r="CI369" s="260"/>
      <c r="CJ369" s="260"/>
      <c r="CK369" s="260"/>
      <c r="CL369" s="260"/>
      <c r="CM369" s="260"/>
      <c r="CN369" s="260">
        <v>40</v>
      </c>
      <c r="CO369" s="260">
        <v>40</v>
      </c>
      <c r="CP369" s="260">
        <v>40</v>
      </c>
      <c r="CQ369" s="260">
        <v>80</v>
      </c>
      <c r="CR369" s="260">
        <v>40</v>
      </c>
      <c r="CS369" s="270">
        <v>80</v>
      </c>
      <c r="CT369" s="279" t="s">
        <v>130</v>
      </c>
      <c r="CU369" s="249">
        <f>Table2821115[[#This Row],[D28 - BR/18]]/Table2821115[[#This Row],[D0 - BR/18]]</f>
        <v>2</v>
      </c>
      <c r="CV369" s="248">
        <f>Table2821115[[#This Row],[D28 - KS/17]]/Table2821115[[#This Row],[D0 - KS/17]]</f>
        <v>2</v>
      </c>
      <c r="CW369" s="248">
        <f>Table2821115[[#This Row],[D28 - Phu/13]]/Table2821115[[#This Row],[D0 - Phu/13]]</f>
        <v>1</v>
      </c>
      <c r="CX369" s="248">
        <f>Table2821115[[#This Row],[D28 - CO/17]]/Table2821115[[#This Row],[D0 - CO/17]]</f>
        <v>2</v>
      </c>
      <c r="CY369" s="248">
        <f>LOG(Table2821115[[#This Row],[BR/18 Fold]],2)</f>
        <v>1</v>
      </c>
      <c r="CZ369" s="248">
        <f>LOG(Table2821115[[#This Row],[KS/17 Fold]],2)</f>
        <v>1</v>
      </c>
      <c r="DA369" s="248">
        <f>LOG(Table2821115[[#This Row],[Phu/13 Fold]],2)</f>
        <v>0</v>
      </c>
      <c r="DB369" s="248">
        <f>LOG(Table2821115[[#This Row],[CO/17 Fold]],2)</f>
        <v>1</v>
      </c>
      <c r="DC369" s="248">
        <f>SUM(Table2821115[[#This Row],[BR/18 Log2]:[CO/17 Log2]])</f>
        <v>3</v>
      </c>
    </row>
    <row r="370" spans="1:107" ht="24" customHeight="1">
      <c r="A370" s="282" t="s">
        <v>131</v>
      </c>
      <c r="B370" s="151">
        <v>37368</v>
      </c>
      <c r="C370" s="151">
        <v>43840</v>
      </c>
      <c r="D370" s="150">
        <v>17</v>
      </c>
      <c r="E370" s="3" t="s">
        <v>61</v>
      </c>
      <c r="F370" s="143" t="s">
        <v>116</v>
      </c>
      <c r="G370" s="142">
        <v>25.897987683432159</v>
      </c>
      <c r="H370" s="11" t="s">
        <v>59</v>
      </c>
      <c r="I370" s="281" t="s">
        <v>60</v>
      </c>
      <c r="J370" s="260">
        <v>5</v>
      </c>
      <c r="K370" s="260">
        <v>5</v>
      </c>
      <c r="L370" s="260"/>
      <c r="M370" s="260"/>
      <c r="N370" s="260"/>
      <c r="O370" s="260"/>
      <c r="P370" s="260"/>
      <c r="Q370" s="260"/>
      <c r="R370" s="260"/>
      <c r="S370" s="260"/>
      <c r="T370" s="260"/>
      <c r="U370" s="260"/>
      <c r="V370" s="260">
        <v>20</v>
      </c>
      <c r="W370" s="260">
        <v>80</v>
      </c>
      <c r="X370" s="260">
        <v>80</v>
      </c>
      <c r="Y370" s="260">
        <v>160</v>
      </c>
      <c r="Z370" s="260">
        <v>160</v>
      </c>
      <c r="AA370" s="260">
        <v>160</v>
      </c>
      <c r="AB370" s="260">
        <v>80</v>
      </c>
      <c r="AC370" s="260">
        <v>160</v>
      </c>
      <c r="AD370" s="260"/>
      <c r="AE370" s="260"/>
      <c r="AF370" s="260"/>
      <c r="AG370" s="260"/>
      <c r="AH370" s="174" t="s">
        <v>131</v>
      </c>
      <c r="AI370" s="272">
        <v>40</v>
      </c>
      <c r="AJ370" s="271">
        <v>80</v>
      </c>
      <c r="AK370" s="260"/>
      <c r="AL370" s="260"/>
      <c r="AM370" s="260"/>
      <c r="AN370" s="260"/>
      <c r="AO370" s="260"/>
      <c r="AP370" s="260"/>
      <c r="AQ370" s="260"/>
      <c r="AR370" s="260"/>
      <c r="AS370" s="260"/>
      <c r="AT370" s="260"/>
      <c r="AU370" s="260">
        <v>320</v>
      </c>
      <c r="AV370" s="271">
        <v>640</v>
      </c>
      <c r="AW370" s="260">
        <v>320</v>
      </c>
      <c r="AX370" s="271">
        <v>640</v>
      </c>
      <c r="AY370" s="260">
        <v>320</v>
      </c>
      <c r="AZ370" s="271">
        <v>640</v>
      </c>
      <c r="BA370" s="276">
        <v>640</v>
      </c>
      <c r="BB370" s="276">
        <v>640</v>
      </c>
      <c r="BC370" s="276"/>
      <c r="BD370" s="276"/>
      <c r="BE370" s="276">
        <v>80</v>
      </c>
      <c r="BF370" s="276">
        <v>320</v>
      </c>
      <c r="BG370" s="260">
        <v>320</v>
      </c>
      <c r="BH370" s="271">
        <v>640</v>
      </c>
      <c r="BI370" s="276"/>
      <c r="BJ370" s="276"/>
      <c r="BK370" s="276"/>
      <c r="BL370" s="275"/>
      <c r="BM370" s="280" t="s">
        <v>131</v>
      </c>
      <c r="BN370" s="272">
        <v>160</v>
      </c>
      <c r="BO370" s="270">
        <v>160</v>
      </c>
      <c r="BP370" s="272"/>
      <c r="BQ370" s="260"/>
      <c r="BR370" s="260"/>
      <c r="BS370" s="260"/>
      <c r="BT370" s="260"/>
      <c r="BU370" s="260"/>
      <c r="BV370" s="260">
        <v>160</v>
      </c>
      <c r="BW370" s="260">
        <v>320</v>
      </c>
      <c r="BX370" s="260"/>
      <c r="BY370" s="260"/>
      <c r="BZ370" s="260"/>
      <c r="CA370" s="260"/>
      <c r="CB370" s="260"/>
      <c r="CC370" s="260"/>
      <c r="CD370" s="260">
        <v>160</v>
      </c>
      <c r="CE370" s="260">
        <v>160</v>
      </c>
      <c r="CF370" s="272"/>
      <c r="CG370" s="260"/>
      <c r="CH370" s="260"/>
      <c r="CI370" s="260"/>
      <c r="CJ370" s="260"/>
      <c r="CK370" s="260"/>
      <c r="CL370" s="260"/>
      <c r="CM370" s="260"/>
      <c r="CN370" s="260">
        <v>160</v>
      </c>
      <c r="CO370" s="260">
        <v>320</v>
      </c>
      <c r="CP370" s="260">
        <v>640</v>
      </c>
      <c r="CQ370" s="260">
        <v>320</v>
      </c>
      <c r="CR370" s="260">
        <v>320</v>
      </c>
      <c r="CS370" s="270">
        <v>320</v>
      </c>
      <c r="CT370" s="279" t="s">
        <v>131</v>
      </c>
      <c r="CU370" s="249">
        <f>Table2821115[[#This Row],[D28 - BR/18]]/Table2821115[[#This Row],[D0 - BR/18]]</f>
        <v>2</v>
      </c>
      <c r="CV370" s="248">
        <f>Table2821115[[#This Row],[D28 - KS/17]]/Table2821115[[#This Row],[D0 - KS/17]]</f>
        <v>4</v>
      </c>
      <c r="CW370" s="248">
        <f>Table2821115[[#This Row],[D28 - Phu/13]]/Table2821115[[#This Row],[D0 - Phu/13]]</f>
        <v>1</v>
      </c>
      <c r="CX370" s="248">
        <f>Table2821115[[#This Row],[D28 - CO/17]]/Table2821115[[#This Row],[D0 - CO/17]]</f>
        <v>0.5</v>
      </c>
      <c r="CY370" s="248">
        <f>LOG(Table2821115[[#This Row],[BR/18 Fold]],2)</f>
        <v>1</v>
      </c>
      <c r="CZ370" s="248">
        <f>LOG(Table2821115[[#This Row],[KS/17 Fold]],2)</f>
        <v>2</v>
      </c>
      <c r="DA370" s="248">
        <f>LOG(Table2821115[[#This Row],[Phu/13 Fold]],2)</f>
        <v>0</v>
      </c>
      <c r="DB370" s="248">
        <f>LOG(Table2821115[[#This Row],[CO/17 Fold]],2)</f>
        <v>-1</v>
      </c>
      <c r="DC370" s="248">
        <f>SUM(Table2821115[[#This Row],[BR/18 Log2]:[CO/17 Log2]])</f>
        <v>2</v>
      </c>
    </row>
    <row r="371" spans="1:107" ht="24" customHeight="1">
      <c r="A371" s="282" t="s">
        <v>132</v>
      </c>
      <c r="B371" s="151">
        <v>37470</v>
      </c>
      <c r="C371" s="151">
        <v>43771</v>
      </c>
      <c r="D371" s="150">
        <v>17</v>
      </c>
      <c r="E371" s="3" t="s">
        <v>61</v>
      </c>
      <c r="F371" s="143" t="s">
        <v>116</v>
      </c>
      <c r="G371" s="142">
        <v>20.083361613630231</v>
      </c>
      <c r="H371" s="11" t="s">
        <v>59</v>
      </c>
      <c r="I371" s="281" t="s">
        <v>60</v>
      </c>
      <c r="J371" s="260">
        <v>5</v>
      </c>
      <c r="K371" s="260">
        <v>5</v>
      </c>
      <c r="L371" s="260"/>
      <c r="M371" s="260"/>
      <c r="N371" s="260"/>
      <c r="O371" s="260"/>
      <c r="P371" s="260"/>
      <c r="Q371" s="260"/>
      <c r="R371" s="260"/>
      <c r="S371" s="260"/>
      <c r="T371" s="260"/>
      <c r="U371" s="260"/>
      <c r="V371" s="260">
        <v>5</v>
      </c>
      <c r="W371" s="260">
        <v>5</v>
      </c>
      <c r="X371" s="260">
        <v>40</v>
      </c>
      <c r="Y371" s="260">
        <v>40</v>
      </c>
      <c r="Z371" s="260">
        <v>40</v>
      </c>
      <c r="AA371" s="260">
        <v>40</v>
      </c>
      <c r="AB371" s="260">
        <v>20</v>
      </c>
      <c r="AC371" s="260">
        <v>20</v>
      </c>
      <c r="AD371" s="260"/>
      <c r="AE371" s="260"/>
      <c r="AF371" s="260"/>
      <c r="AG371" s="260"/>
      <c r="AH371" s="174" t="s">
        <v>132</v>
      </c>
      <c r="AI371" s="272">
        <v>80</v>
      </c>
      <c r="AJ371" s="271">
        <v>80</v>
      </c>
      <c r="AK371" s="260"/>
      <c r="AL371" s="260"/>
      <c r="AM371" s="260"/>
      <c r="AN371" s="260"/>
      <c r="AO371" s="260"/>
      <c r="AP371" s="260"/>
      <c r="AQ371" s="260"/>
      <c r="AR371" s="260"/>
      <c r="AS371" s="260"/>
      <c r="AT371" s="260"/>
      <c r="AU371" s="260">
        <v>160</v>
      </c>
      <c r="AV371" s="271">
        <v>320</v>
      </c>
      <c r="AW371" s="260">
        <v>160</v>
      </c>
      <c r="AX371" s="271">
        <v>320</v>
      </c>
      <c r="AY371" s="260">
        <v>80</v>
      </c>
      <c r="AZ371" s="271">
        <v>80</v>
      </c>
      <c r="BA371" s="276">
        <v>160</v>
      </c>
      <c r="BB371" s="276">
        <v>160</v>
      </c>
      <c r="BC371" s="276"/>
      <c r="BD371" s="276"/>
      <c r="BE371" s="276">
        <v>160</v>
      </c>
      <c r="BF371" s="276">
        <v>160</v>
      </c>
      <c r="BG371" s="260">
        <v>320</v>
      </c>
      <c r="BH371" s="271">
        <v>320</v>
      </c>
      <c r="BI371" s="276"/>
      <c r="BJ371" s="276"/>
      <c r="BK371" s="276"/>
      <c r="BL371" s="275"/>
      <c r="BM371" s="280" t="s">
        <v>132</v>
      </c>
      <c r="BN371" s="272">
        <v>5</v>
      </c>
      <c r="BO371" s="270">
        <v>5</v>
      </c>
      <c r="BP371" s="272"/>
      <c r="BQ371" s="260"/>
      <c r="BR371" s="260"/>
      <c r="BS371" s="260"/>
      <c r="BT371" s="260"/>
      <c r="BU371" s="260"/>
      <c r="BV371" s="260">
        <v>80</v>
      </c>
      <c r="BW371" s="260">
        <v>80</v>
      </c>
      <c r="BX371" s="260"/>
      <c r="BY371" s="260"/>
      <c r="BZ371" s="260"/>
      <c r="CA371" s="260"/>
      <c r="CB371" s="260"/>
      <c r="CC371" s="260"/>
      <c r="CD371" s="260">
        <v>80</v>
      </c>
      <c r="CE371" s="260">
        <v>80</v>
      </c>
      <c r="CF371" s="272"/>
      <c r="CG371" s="260"/>
      <c r="CH371" s="260"/>
      <c r="CI371" s="260"/>
      <c r="CJ371" s="260"/>
      <c r="CK371" s="260"/>
      <c r="CL371" s="260"/>
      <c r="CM371" s="260"/>
      <c r="CN371" s="260">
        <v>5</v>
      </c>
      <c r="CO371" s="260">
        <v>5</v>
      </c>
      <c r="CP371" s="260">
        <v>5</v>
      </c>
      <c r="CQ371" s="260">
        <v>5</v>
      </c>
      <c r="CR371" s="260">
        <v>5</v>
      </c>
      <c r="CS371" s="270">
        <v>5</v>
      </c>
      <c r="CT371" s="279" t="s">
        <v>132</v>
      </c>
      <c r="CU371" s="249">
        <f>Table2821115[[#This Row],[D28 - BR/18]]/Table2821115[[#This Row],[D0 - BR/18]]</f>
        <v>1</v>
      </c>
      <c r="CV371" s="248">
        <f>Table2821115[[#This Row],[D28 - KS/17]]/Table2821115[[#This Row],[D0 - KS/17]]</f>
        <v>1</v>
      </c>
      <c r="CW371" s="248">
        <f>Table2821115[[#This Row],[D28 - Phu/13]]/Table2821115[[#This Row],[D0 - Phu/13]]</f>
        <v>1</v>
      </c>
      <c r="CX371" s="248">
        <f>Table2821115[[#This Row],[D28 - CO/17]]/Table2821115[[#This Row],[D0 - CO/17]]</f>
        <v>1</v>
      </c>
      <c r="CY371" s="248">
        <f>LOG(Table2821115[[#This Row],[BR/18 Fold]],2)</f>
        <v>0</v>
      </c>
      <c r="CZ371" s="248">
        <f>LOG(Table2821115[[#This Row],[KS/17 Fold]],2)</f>
        <v>0</v>
      </c>
      <c r="DA371" s="248">
        <f>LOG(Table2821115[[#This Row],[Phu/13 Fold]],2)</f>
        <v>0</v>
      </c>
      <c r="DB371" s="248">
        <f>LOG(Table2821115[[#This Row],[CO/17 Fold]],2)</f>
        <v>0</v>
      </c>
      <c r="DC371" s="248">
        <f>SUM(Table2821115[[#This Row],[BR/18 Log2]:[CO/17 Log2]])</f>
        <v>0</v>
      </c>
    </row>
    <row r="372" spans="1:107" ht="24" customHeight="1">
      <c r="A372" s="282" t="s">
        <v>133</v>
      </c>
      <c r="B372" s="151">
        <v>37366</v>
      </c>
      <c r="C372" s="151">
        <v>43760</v>
      </c>
      <c r="D372" s="150">
        <v>17</v>
      </c>
      <c r="E372" s="4" t="s">
        <v>58</v>
      </c>
      <c r="F372" s="143" t="s">
        <v>116</v>
      </c>
      <c r="G372" s="142">
        <v>24.029858101220142</v>
      </c>
      <c r="H372" s="11" t="s">
        <v>59</v>
      </c>
      <c r="I372" s="281" t="s">
        <v>60</v>
      </c>
      <c r="J372" s="260">
        <v>5</v>
      </c>
      <c r="K372" s="260">
        <v>5</v>
      </c>
      <c r="L372" s="260"/>
      <c r="M372" s="260"/>
      <c r="N372" s="260"/>
      <c r="O372" s="260"/>
      <c r="P372" s="260"/>
      <c r="Q372" s="260"/>
      <c r="R372" s="260"/>
      <c r="S372" s="260"/>
      <c r="T372" s="260"/>
      <c r="U372" s="260"/>
      <c r="V372" s="260">
        <v>5</v>
      </c>
      <c r="W372" s="260">
        <v>40</v>
      </c>
      <c r="X372" s="260">
        <v>80</v>
      </c>
      <c r="Y372" s="260">
        <v>160</v>
      </c>
      <c r="Z372" s="260">
        <v>5</v>
      </c>
      <c r="AA372" s="260">
        <v>320</v>
      </c>
      <c r="AB372" s="260">
        <v>80</v>
      </c>
      <c r="AC372" s="260">
        <v>160</v>
      </c>
      <c r="AD372" s="260"/>
      <c r="AE372" s="260"/>
      <c r="AF372" s="260"/>
      <c r="AG372" s="260"/>
      <c r="AH372" s="174" t="s">
        <v>133</v>
      </c>
      <c r="AI372" s="272">
        <v>80</v>
      </c>
      <c r="AJ372" s="271">
        <v>320</v>
      </c>
      <c r="AK372" s="260"/>
      <c r="AL372" s="260"/>
      <c r="AM372" s="260"/>
      <c r="AN372" s="260"/>
      <c r="AO372" s="260"/>
      <c r="AP372" s="260"/>
      <c r="AQ372" s="260"/>
      <c r="AR372" s="260"/>
      <c r="AS372" s="260"/>
      <c r="AT372" s="260"/>
      <c r="AU372" s="260">
        <v>160</v>
      </c>
      <c r="AV372" s="271">
        <v>1280</v>
      </c>
      <c r="AW372" s="260">
        <v>160</v>
      </c>
      <c r="AX372" s="271">
        <v>640</v>
      </c>
      <c r="AY372" s="260">
        <v>160</v>
      </c>
      <c r="AZ372" s="271">
        <v>640</v>
      </c>
      <c r="BA372" s="276">
        <v>320</v>
      </c>
      <c r="BB372" s="276">
        <v>1280</v>
      </c>
      <c r="BC372" s="276"/>
      <c r="BD372" s="276"/>
      <c r="BE372" s="276">
        <v>40</v>
      </c>
      <c r="BF372" s="276">
        <v>640</v>
      </c>
      <c r="BG372" s="260">
        <v>320</v>
      </c>
      <c r="BH372" s="271">
        <v>1280</v>
      </c>
      <c r="BI372" s="276"/>
      <c r="BJ372" s="276"/>
      <c r="BK372" s="276"/>
      <c r="BL372" s="275"/>
      <c r="BM372" s="280" t="s">
        <v>133</v>
      </c>
      <c r="BN372" s="272">
        <v>40</v>
      </c>
      <c r="BO372" s="270">
        <v>80</v>
      </c>
      <c r="BP372" s="272"/>
      <c r="BQ372" s="260"/>
      <c r="BR372" s="260"/>
      <c r="BS372" s="260"/>
      <c r="BT372" s="260"/>
      <c r="BU372" s="260"/>
      <c r="BV372" s="260">
        <v>5</v>
      </c>
      <c r="BW372" s="260">
        <v>5</v>
      </c>
      <c r="BX372" s="260"/>
      <c r="BY372" s="260"/>
      <c r="BZ372" s="260"/>
      <c r="CA372" s="260"/>
      <c r="CB372" s="260"/>
      <c r="CC372" s="260"/>
      <c r="CD372" s="260">
        <v>80</v>
      </c>
      <c r="CE372" s="260">
        <v>80</v>
      </c>
      <c r="CF372" s="272"/>
      <c r="CG372" s="260"/>
      <c r="CH372" s="260"/>
      <c r="CI372" s="260"/>
      <c r="CJ372" s="260"/>
      <c r="CK372" s="260"/>
      <c r="CL372" s="260"/>
      <c r="CM372" s="260"/>
      <c r="CN372" s="260">
        <v>80</v>
      </c>
      <c r="CO372" s="260">
        <v>160</v>
      </c>
      <c r="CP372" s="260">
        <v>160</v>
      </c>
      <c r="CQ372" s="260">
        <v>160</v>
      </c>
      <c r="CR372" s="260">
        <v>80</v>
      </c>
      <c r="CS372" s="270">
        <v>160</v>
      </c>
      <c r="CT372" s="279" t="s">
        <v>133</v>
      </c>
      <c r="CU372" s="249">
        <f>Table2821115[[#This Row],[D28 - BR/18]]/Table2821115[[#This Row],[D0 - BR/18]]</f>
        <v>2</v>
      </c>
      <c r="CV372" s="248">
        <f>Table2821115[[#This Row],[D28 - KS/17]]/Table2821115[[#This Row],[D0 - KS/17]]</f>
        <v>16</v>
      </c>
      <c r="CW372" s="248">
        <f>Table2821115[[#This Row],[D28 - Phu/13]]/Table2821115[[#This Row],[D0 - Phu/13]]</f>
        <v>1</v>
      </c>
      <c r="CX372" s="248">
        <f>Table2821115[[#This Row],[D28 - CO/17]]/Table2821115[[#This Row],[D0 - CO/17]]</f>
        <v>1</v>
      </c>
      <c r="CY372" s="248">
        <f>LOG(Table2821115[[#This Row],[BR/18 Fold]],2)</f>
        <v>1</v>
      </c>
      <c r="CZ372" s="248">
        <f>LOG(Table2821115[[#This Row],[KS/17 Fold]],2)</f>
        <v>4</v>
      </c>
      <c r="DA372" s="248">
        <f>LOG(Table2821115[[#This Row],[Phu/13 Fold]],2)</f>
        <v>0</v>
      </c>
      <c r="DB372" s="248">
        <f>LOG(Table2821115[[#This Row],[CO/17 Fold]],2)</f>
        <v>0</v>
      </c>
      <c r="DC372" s="248">
        <f>SUM(Table2821115[[#This Row],[BR/18 Log2]:[CO/17 Log2]])</f>
        <v>5</v>
      </c>
    </row>
    <row r="373" spans="1:107" ht="24" customHeight="1">
      <c r="A373" s="278" t="s">
        <v>134</v>
      </c>
      <c r="B373" s="145">
        <v>38439</v>
      </c>
      <c r="C373" s="145">
        <v>43759</v>
      </c>
      <c r="D373" s="144">
        <v>14</v>
      </c>
      <c r="E373" s="3" t="s">
        <v>61</v>
      </c>
      <c r="F373" s="143" t="s">
        <v>116</v>
      </c>
      <c r="G373" s="142">
        <v>21.760889446996217</v>
      </c>
      <c r="H373" s="11" t="s">
        <v>59</v>
      </c>
      <c r="I373" s="281" t="s">
        <v>60</v>
      </c>
      <c r="J373" s="260">
        <v>5</v>
      </c>
      <c r="K373" s="260">
        <v>5</v>
      </c>
      <c r="L373" s="260"/>
      <c r="M373" s="260"/>
      <c r="N373" s="260"/>
      <c r="O373" s="260"/>
      <c r="P373" s="260"/>
      <c r="Q373" s="260"/>
      <c r="R373" s="260"/>
      <c r="S373" s="260"/>
      <c r="T373" s="260"/>
      <c r="U373" s="260"/>
      <c r="V373" s="260">
        <v>5</v>
      </c>
      <c r="W373" s="260">
        <v>5</v>
      </c>
      <c r="X373" s="260">
        <v>40</v>
      </c>
      <c r="Y373" s="260">
        <v>80</v>
      </c>
      <c r="Z373" s="260">
        <v>5</v>
      </c>
      <c r="AA373" s="260">
        <v>80</v>
      </c>
      <c r="AB373" s="260">
        <v>20</v>
      </c>
      <c r="AC373" s="260">
        <v>80</v>
      </c>
      <c r="AD373" s="260"/>
      <c r="AE373" s="260"/>
      <c r="AF373" s="260"/>
      <c r="AG373" s="260"/>
      <c r="AH373" s="176" t="s">
        <v>134</v>
      </c>
      <c r="AI373" s="272">
        <v>20</v>
      </c>
      <c r="AJ373" s="271">
        <v>160</v>
      </c>
      <c r="AK373" s="260"/>
      <c r="AL373" s="260"/>
      <c r="AM373" s="260"/>
      <c r="AN373" s="260"/>
      <c r="AO373" s="260"/>
      <c r="AP373" s="260"/>
      <c r="AQ373" s="260"/>
      <c r="AR373" s="260"/>
      <c r="AS373" s="260"/>
      <c r="AT373" s="260"/>
      <c r="AU373" s="260">
        <v>160</v>
      </c>
      <c r="AV373" s="271">
        <v>1280</v>
      </c>
      <c r="AW373" s="260">
        <v>160</v>
      </c>
      <c r="AX373" s="271">
        <v>1280</v>
      </c>
      <c r="AY373" s="260">
        <v>160</v>
      </c>
      <c r="AZ373" s="271">
        <v>640</v>
      </c>
      <c r="BA373" s="276">
        <v>320</v>
      </c>
      <c r="BB373" s="276">
        <v>1280</v>
      </c>
      <c r="BC373" s="276"/>
      <c r="BD373" s="276"/>
      <c r="BE373" s="276">
        <v>80</v>
      </c>
      <c r="BF373" s="276">
        <v>640</v>
      </c>
      <c r="BG373" s="260">
        <v>320</v>
      </c>
      <c r="BH373" s="271">
        <v>1280</v>
      </c>
      <c r="BI373" s="276"/>
      <c r="BJ373" s="276"/>
      <c r="BK373" s="276"/>
      <c r="BL373" s="275"/>
      <c r="BM373" s="274" t="s">
        <v>134</v>
      </c>
      <c r="BN373" s="272">
        <v>40</v>
      </c>
      <c r="BO373" s="270">
        <v>40</v>
      </c>
      <c r="BP373" s="272"/>
      <c r="BQ373" s="260"/>
      <c r="BR373" s="260"/>
      <c r="BS373" s="260"/>
      <c r="BT373" s="260"/>
      <c r="BU373" s="260"/>
      <c r="BV373" s="260">
        <v>5</v>
      </c>
      <c r="BW373" s="260">
        <v>80</v>
      </c>
      <c r="BX373" s="260"/>
      <c r="BY373" s="260"/>
      <c r="BZ373" s="260"/>
      <c r="CA373" s="260"/>
      <c r="CB373" s="260"/>
      <c r="CC373" s="260"/>
      <c r="CD373" s="260">
        <v>80</v>
      </c>
      <c r="CE373" s="260">
        <v>80</v>
      </c>
      <c r="CF373" s="272"/>
      <c r="CG373" s="260"/>
      <c r="CH373" s="260"/>
      <c r="CI373" s="260"/>
      <c r="CJ373" s="260"/>
      <c r="CK373" s="260"/>
      <c r="CL373" s="260"/>
      <c r="CM373" s="260"/>
      <c r="CN373" s="260">
        <v>80</v>
      </c>
      <c r="CO373" s="260">
        <v>80</v>
      </c>
      <c r="CP373" s="260">
        <v>160</v>
      </c>
      <c r="CQ373" s="260">
        <v>160</v>
      </c>
      <c r="CR373" s="260">
        <v>80</v>
      </c>
      <c r="CS373" s="270">
        <v>80</v>
      </c>
      <c r="CT373" s="269" t="s">
        <v>134</v>
      </c>
      <c r="CU373" s="249">
        <f>Table2821115[[#This Row],[D28 - BR/18]]/Table2821115[[#This Row],[D0 - BR/18]]</f>
        <v>4</v>
      </c>
      <c r="CV373" s="248">
        <f>Table2821115[[#This Row],[D28 - KS/17]]/Table2821115[[#This Row],[D0 - KS/17]]</f>
        <v>8</v>
      </c>
      <c r="CW373" s="248">
        <f>Table2821115[[#This Row],[D28 - Phu/13]]/Table2821115[[#This Row],[D0 - Phu/13]]</f>
        <v>1</v>
      </c>
      <c r="CX373" s="248">
        <f>Table2821115[[#This Row],[D28 - CO/17]]/Table2821115[[#This Row],[D0 - CO/17]]</f>
        <v>1</v>
      </c>
      <c r="CY373" s="248">
        <f>LOG(Table2821115[[#This Row],[BR/18 Fold]],2)</f>
        <v>2</v>
      </c>
      <c r="CZ373" s="248">
        <f>LOG(Table2821115[[#This Row],[KS/17 Fold]],2)</f>
        <v>3</v>
      </c>
      <c r="DA373" s="248">
        <f>LOG(Table2821115[[#This Row],[Phu/13 Fold]],2)</f>
        <v>0</v>
      </c>
      <c r="DB373" s="248">
        <f>LOG(Table2821115[[#This Row],[CO/17 Fold]],2)</f>
        <v>0</v>
      </c>
      <c r="DC373" s="248">
        <f>SUM(Table2821115[[#This Row],[BR/18 Log2]:[CO/17 Log2]])</f>
        <v>5</v>
      </c>
    </row>
    <row r="374" spans="1:107" ht="24" customHeight="1">
      <c r="A374" s="282" t="s">
        <v>135</v>
      </c>
      <c r="B374" s="151">
        <v>37441</v>
      </c>
      <c r="C374" s="151">
        <v>43743</v>
      </c>
      <c r="D374" s="150">
        <v>17</v>
      </c>
      <c r="E374" s="4" t="s">
        <v>58</v>
      </c>
      <c r="F374" s="143" t="s">
        <v>116</v>
      </c>
      <c r="G374" s="142">
        <v>18.800093151429294</v>
      </c>
      <c r="H374" s="11" t="s">
        <v>59</v>
      </c>
      <c r="I374" s="281" t="s">
        <v>60</v>
      </c>
      <c r="J374" s="260">
        <v>5</v>
      </c>
      <c r="K374" s="260">
        <v>5</v>
      </c>
      <c r="L374" s="260"/>
      <c r="M374" s="260"/>
      <c r="N374" s="260"/>
      <c r="O374" s="260"/>
      <c r="P374" s="260"/>
      <c r="Q374" s="260"/>
      <c r="R374" s="260"/>
      <c r="S374" s="260"/>
      <c r="T374" s="260"/>
      <c r="U374" s="260"/>
      <c r="V374" s="260">
        <v>20</v>
      </c>
      <c r="W374" s="260">
        <v>40</v>
      </c>
      <c r="X374" s="260">
        <v>40</v>
      </c>
      <c r="Y374" s="260">
        <v>160</v>
      </c>
      <c r="Z374" s="260">
        <v>5</v>
      </c>
      <c r="AA374" s="260">
        <v>160</v>
      </c>
      <c r="AB374" s="260">
        <v>40</v>
      </c>
      <c r="AC374" s="260">
        <v>80</v>
      </c>
      <c r="AD374" s="260"/>
      <c r="AE374" s="260"/>
      <c r="AF374" s="260"/>
      <c r="AG374" s="260"/>
      <c r="AH374" s="174" t="s">
        <v>135</v>
      </c>
      <c r="AI374" s="272">
        <v>80</v>
      </c>
      <c r="AJ374" s="271">
        <v>80</v>
      </c>
      <c r="AK374" s="260"/>
      <c r="AL374" s="260"/>
      <c r="AM374" s="260"/>
      <c r="AN374" s="260"/>
      <c r="AO374" s="260"/>
      <c r="AP374" s="260"/>
      <c r="AQ374" s="260"/>
      <c r="AR374" s="260"/>
      <c r="AS374" s="260"/>
      <c r="AT374" s="260"/>
      <c r="AU374" s="260">
        <v>1280</v>
      </c>
      <c r="AV374" s="271">
        <v>2560</v>
      </c>
      <c r="AW374" s="260">
        <v>640</v>
      </c>
      <c r="AX374" s="271">
        <v>2560</v>
      </c>
      <c r="AY374" s="260">
        <v>640</v>
      </c>
      <c r="AZ374" s="271">
        <v>640</v>
      </c>
      <c r="BA374" s="276">
        <v>640</v>
      </c>
      <c r="BB374" s="276">
        <v>1280</v>
      </c>
      <c r="BC374" s="276"/>
      <c r="BD374" s="276"/>
      <c r="BE374" s="276">
        <v>320</v>
      </c>
      <c r="BF374" s="276">
        <v>1280</v>
      </c>
      <c r="BG374" s="260">
        <v>1280</v>
      </c>
      <c r="BH374" s="271">
        <v>2560</v>
      </c>
      <c r="BI374" s="276"/>
      <c r="BJ374" s="276"/>
      <c r="BK374" s="276"/>
      <c r="BL374" s="275"/>
      <c r="BM374" s="280" t="s">
        <v>135</v>
      </c>
      <c r="BN374" s="272">
        <v>160</v>
      </c>
      <c r="BO374" s="270">
        <v>160</v>
      </c>
      <c r="BP374" s="272"/>
      <c r="BQ374" s="260"/>
      <c r="BR374" s="260"/>
      <c r="BS374" s="260"/>
      <c r="BT374" s="260"/>
      <c r="BU374" s="260"/>
      <c r="BV374" s="260">
        <v>320</v>
      </c>
      <c r="BW374" s="260">
        <v>320</v>
      </c>
      <c r="BX374" s="260"/>
      <c r="BY374" s="260"/>
      <c r="BZ374" s="260"/>
      <c r="CA374" s="260"/>
      <c r="CB374" s="260"/>
      <c r="CC374" s="260"/>
      <c r="CD374" s="260">
        <v>320</v>
      </c>
      <c r="CE374" s="260">
        <v>320</v>
      </c>
      <c r="CF374" s="272"/>
      <c r="CG374" s="260"/>
      <c r="CH374" s="260"/>
      <c r="CI374" s="260"/>
      <c r="CJ374" s="260"/>
      <c r="CK374" s="260"/>
      <c r="CL374" s="260"/>
      <c r="CM374" s="260"/>
      <c r="CN374" s="260">
        <v>160</v>
      </c>
      <c r="CO374" s="260">
        <v>160</v>
      </c>
      <c r="CP374" s="260">
        <v>320</v>
      </c>
      <c r="CQ374" s="260">
        <v>320</v>
      </c>
      <c r="CR374" s="260">
        <v>320</v>
      </c>
      <c r="CS374" s="270">
        <v>320</v>
      </c>
      <c r="CT374" s="279" t="s">
        <v>135</v>
      </c>
      <c r="CU374" s="249">
        <f>Table2821115[[#This Row],[D28 - BR/18]]/Table2821115[[#This Row],[D0 - BR/18]]</f>
        <v>2</v>
      </c>
      <c r="CV374" s="248">
        <f>Table2821115[[#This Row],[D28 - KS/17]]/Table2821115[[#This Row],[D0 - KS/17]]</f>
        <v>4</v>
      </c>
      <c r="CW374" s="248">
        <f>Table2821115[[#This Row],[D28 - Phu/13]]/Table2821115[[#This Row],[D0 - Phu/13]]</f>
        <v>1</v>
      </c>
      <c r="CX374" s="248">
        <f>Table2821115[[#This Row],[D28 - CO/17]]/Table2821115[[#This Row],[D0 - CO/17]]</f>
        <v>1</v>
      </c>
      <c r="CY374" s="248">
        <f>LOG(Table2821115[[#This Row],[BR/18 Fold]],2)</f>
        <v>1</v>
      </c>
      <c r="CZ374" s="248">
        <f>LOG(Table2821115[[#This Row],[KS/17 Fold]],2)</f>
        <v>2</v>
      </c>
      <c r="DA374" s="248">
        <f>LOG(Table2821115[[#This Row],[Phu/13 Fold]],2)</f>
        <v>0</v>
      </c>
      <c r="DB374" s="248">
        <f>LOG(Table2821115[[#This Row],[CO/17 Fold]],2)</f>
        <v>0</v>
      </c>
      <c r="DC374" s="248">
        <f>SUM(Table2821115[[#This Row],[BR/18 Log2]:[CO/17 Log2]])</f>
        <v>3</v>
      </c>
    </row>
    <row r="375" spans="1:107" ht="24" customHeight="1">
      <c r="A375" s="282" t="s">
        <v>136</v>
      </c>
      <c r="B375" s="151">
        <v>37656</v>
      </c>
      <c r="C375" s="151">
        <v>43773</v>
      </c>
      <c r="D375" s="150">
        <v>16</v>
      </c>
      <c r="E375" s="4" t="s">
        <v>58</v>
      </c>
      <c r="F375" s="143" t="s">
        <v>127</v>
      </c>
      <c r="G375" s="142">
        <v>23.663481404958677</v>
      </c>
      <c r="H375" s="11" t="s">
        <v>59</v>
      </c>
      <c r="I375" s="281" t="s">
        <v>60</v>
      </c>
      <c r="J375" s="260">
        <v>5</v>
      </c>
      <c r="K375" s="260">
        <v>5</v>
      </c>
      <c r="L375" s="260"/>
      <c r="M375" s="260"/>
      <c r="N375" s="260"/>
      <c r="O375" s="260"/>
      <c r="P375" s="260"/>
      <c r="Q375" s="260"/>
      <c r="R375" s="260"/>
      <c r="S375" s="260"/>
      <c r="T375" s="260"/>
      <c r="U375" s="260"/>
      <c r="V375" s="260">
        <v>20</v>
      </c>
      <c r="W375" s="260">
        <v>80</v>
      </c>
      <c r="X375" s="260">
        <v>80</v>
      </c>
      <c r="Y375" s="260">
        <v>160</v>
      </c>
      <c r="Z375" s="260">
        <v>5</v>
      </c>
      <c r="AA375" s="260">
        <v>320</v>
      </c>
      <c r="AB375" s="260">
        <v>160</v>
      </c>
      <c r="AC375" s="260">
        <v>160</v>
      </c>
      <c r="AD375" s="260"/>
      <c r="AE375" s="260"/>
      <c r="AF375" s="260"/>
      <c r="AG375" s="260"/>
      <c r="AH375" s="174" t="s">
        <v>136</v>
      </c>
      <c r="AI375" s="272">
        <v>20</v>
      </c>
      <c r="AJ375" s="271">
        <v>20</v>
      </c>
      <c r="AK375" s="260"/>
      <c r="AL375" s="260"/>
      <c r="AM375" s="260"/>
      <c r="AN375" s="260"/>
      <c r="AO375" s="260"/>
      <c r="AP375" s="260"/>
      <c r="AQ375" s="260"/>
      <c r="AR375" s="260"/>
      <c r="AS375" s="260"/>
      <c r="AT375" s="260"/>
      <c r="AU375" s="260">
        <v>160</v>
      </c>
      <c r="AV375" s="271">
        <v>160</v>
      </c>
      <c r="AW375" s="260">
        <v>160</v>
      </c>
      <c r="AX375" s="271">
        <v>160</v>
      </c>
      <c r="AY375" s="260">
        <v>160</v>
      </c>
      <c r="AZ375" s="271">
        <v>160</v>
      </c>
      <c r="BA375" s="276">
        <v>320</v>
      </c>
      <c r="BB375" s="276">
        <v>320</v>
      </c>
      <c r="BC375" s="276"/>
      <c r="BD375" s="276"/>
      <c r="BE375" s="276">
        <v>10</v>
      </c>
      <c r="BF375" s="276">
        <v>40</v>
      </c>
      <c r="BG375" s="260">
        <v>160</v>
      </c>
      <c r="BH375" s="271">
        <v>160</v>
      </c>
      <c r="BI375" s="276"/>
      <c r="BJ375" s="276"/>
      <c r="BK375" s="276"/>
      <c r="BL375" s="275"/>
      <c r="BM375" s="280" t="s">
        <v>136</v>
      </c>
      <c r="BN375" s="272">
        <v>160</v>
      </c>
      <c r="BO375" s="270">
        <v>320</v>
      </c>
      <c r="BP375" s="272"/>
      <c r="BQ375" s="260"/>
      <c r="BR375" s="260"/>
      <c r="BS375" s="260"/>
      <c r="BT375" s="260"/>
      <c r="BU375" s="260"/>
      <c r="BV375" s="260">
        <v>320</v>
      </c>
      <c r="BW375" s="260">
        <v>320</v>
      </c>
      <c r="BX375" s="260"/>
      <c r="BY375" s="260"/>
      <c r="BZ375" s="260"/>
      <c r="CA375" s="260"/>
      <c r="CB375" s="260"/>
      <c r="CC375" s="260"/>
      <c r="CD375" s="260">
        <v>320</v>
      </c>
      <c r="CE375" s="260">
        <v>320</v>
      </c>
      <c r="CF375" s="272"/>
      <c r="CG375" s="260"/>
      <c r="CH375" s="260"/>
      <c r="CI375" s="260"/>
      <c r="CJ375" s="260"/>
      <c r="CK375" s="260"/>
      <c r="CL375" s="260"/>
      <c r="CM375" s="260"/>
      <c r="CN375" s="260">
        <v>80</v>
      </c>
      <c r="CO375" s="260">
        <v>160</v>
      </c>
      <c r="CP375" s="260">
        <v>160</v>
      </c>
      <c r="CQ375" s="260">
        <v>160</v>
      </c>
      <c r="CR375" s="260">
        <v>80</v>
      </c>
      <c r="CS375" s="270">
        <v>80</v>
      </c>
      <c r="CT375" s="279" t="s">
        <v>136</v>
      </c>
      <c r="CU375" s="249">
        <f>Table2821115[[#This Row],[D28 - BR/18]]/Table2821115[[#This Row],[D0 - BR/18]]</f>
        <v>1</v>
      </c>
      <c r="CV375" s="248">
        <f>Table2821115[[#This Row],[D28 - KS/17]]/Table2821115[[#This Row],[D0 - KS/17]]</f>
        <v>4</v>
      </c>
      <c r="CW375" s="248">
        <f>Table2821115[[#This Row],[D28 - Phu/13]]/Table2821115[[#This Row],[D0 - Phu/13]]</f>
        <v>1</v>
      </c>
      <c r="CX375" s="248">
        <f>Table2821115[[#This Row],[D28 - CO/17]]/Table2821115[[#This Row],[D0 - CO/17]]</f>
        <v>1</v>
      </c>
      <c r="CY375" s="248">
        <f>LOG(Table2821115[[#This Row],[BR/18 Fold]],2)</f>
        <v>0</v>
      </c>
      <c r="CZ375" s="248">
        <f>LOG(Table2821115[[#This Row],[KS/17 Fold]],2)</f>
        <v>2</v>
      </c>
      <c r="DA375" s="248">
        <f>LOG(Table2821115[[#This Row],[Phu/13 Fold]],2)</f>
        <v>0</v>
      </c>
      <c r="DB375" s="248">
        <f>LOG(Table2821115[[#This Row],[CO/17 Fold]],2)</f>
        <v>0</v>
      </c>
      <c r="DC375" s="248">
        <f>SUM(Table2821115[[#This Row],[BR/18 Log2]:[CO/17 Log2]])</f>
        <v>2</v>
      </c>
    </row>
    <row r="376" spans="1:107" ht="24" customHeight="1">
      <c r="A376" s="278" t="s">
        <v>137</v>
      </c>
      <c r="B376" s="145">
        <v>38604</v>
      </c>
      <c r="C376" s="145">
        <v>43773</v>
      </c>
      <c r="D376" s="144">
        <v>14</v>
      </c>
      <c r="E376" s="3" t="s">
        <v>61</v>
      </c>
      <c r="F376" s="143" t="s">
        <v>116</v>
      </c>
      <c r="G376" s="142">
        <v>26.307573246201258</v>
      </c>
      <c r="H376" s="11" t="s">
        <v>59</v>
      </c>
      <c r="I376" s="281" t="s">
        <v>60</v>
      </c>
      <c r="J376" s="260">
        <v>5</v>
      </c>
      <c r="K376" s="260">
        <v>5</v>
      </c>
      <c r="L376" s="260"/>
      <c r="M376" s="260"/>
      <c r="N376" s="260"/>
      <c r="O376" s="260"/>
      <c r="P376" s="260"/>
      <c r="Q376" s="260"/>
      <c r="R376" s="260"/>
      <c r="S376" s="260"/>
      <c r="T376" s="260"/>
      <c r="U376" s="260"/>
      <c r="V376" s="260">
        <v>5</v>
      </c>
      <c r="W376" s="260">
        <v>10</v>
      </c>
      <c r="X376" s="260">
        <v>80</v>
      </c>
      <c r="Y376" s="260">
        <v>160</v>
      </c>
      <c r="Z376" s="260">
        <v>5</v>
      </c>
      <c r="AA376" s="260">
        <v>320</v>
      </c>
      <c r="AB376" s="260">
        <v>160</v>
      </c>
      <c r="AC376" s="260">
        <v>160</v>
      </c>
      <c r="AD376" s="260"/>
      <c r="AE376" s="260"/>
      <c r="AF376" s="260"/>
      <c r="AG376" s="260"/>
      <c r="AH376" s="176" t="s">
        <v>137</v>
      </c>
      <c r="AI376" s="272">
        <v>20</v>
      </c>
      <c r="AJ376" s="271">
        <v>80</v>
      </c>
      <c r="AK376" s="260"/>
      <c r="AL376" s="260"/>
      <c r="AM376" s="260"/>
      <c r="AN376" s="260"/>
      <c r="AO376" s="260"/>
      <c r="AP376" s="260"/>
      <c r="AQ376" s="260"/>
      <c r="AR376" s="260"/>
      <c r="AS376" s="260"/>
      <c r="AT376" s="260"/>
      <c r="AU376" s="260">
        <v>640</v>
      </c>
      <c r="AV376" s="271">
        <v>640</v>
      </c>
      <c r="AW376" s="260">
        <v>320</v>
      </c>
      <c r="AX376" s="271">
        <v>640</v>
      </c>
      <c r="AY376" s="260">
        <v>320</v>
      </c>
      <c r="AZ376" s="271">
        <v>640</v>
      </c>
      <c r="BA376" s="276">
        <v>640</v>
      </c>
      <c r="BB376" s="276">
        <v>640</v>
      </c>
      <c r="BC376" s="276"/>
      <c r="BD376" s="276"/>
      <c r="BE376" s="276">
        <v>160</v>
      </c>
      <c r="BF376" s="276">
        <v>320</v>
      </c>
      <c r="BG376" s="260">
        <v>640</v>
      </c>
      <c r="BH376" s="271">
        <v>640</v>
      </c>
      <c r="BI376" s="276"/>
      <c r="BJ376" s="276"/>
      <c r="BK376" s="276"/>
      <c r="BL376" s="275"/>
      <c r="BM376" s="274" t="s">
        <v>137</v>
      </c>
      <c r="BN376" s="272">
        <v>80</v>
      </c>
      <c r="BO376" s="270">
        <v>80</v>
      </c>
      <c r="BP376" s="272"/>
      <c r="BQ376" s="260"/>
      <c r="BR376" s="260"/>
      <c r="BS376" s="260"/>
      <c r="BT376" s="260"/>
      <c r="BU376" s="260"/>
      <c r="BV376" s="260">
        <v>5</v>
      </c>
      <c r="BW376" s="260">
        <v>320</v>
      </c>
      <c r="BX376" s="260"/>
      <c r="BY376" s="260"/>
      <c r="BZ376" s="260"/>
      <c r="CA376" s="260"/>
      <c r="CB376" s="260"/>
      <c r="CC376" s="260"/>
      <c r="CD376" s="260">
        <v>80</v>
      </c>
      <c r="CE376" s="260">
        <v>160</v>
      </c>
      <c r="CF376" s="272"/>
      <c r="CG376" s="260"/>
      <c r="CH376" s="260"/>
      <c r="CI376" s="260"/>
      <c r="CJ376" s="260"/>
      <c r="CK376" s="260"/>
      <c r="CL376" s="260"/>
      <c r="CM376" s="260"/>
      <c r="CN376" s="260">
        <v>80</v>
      </c>
      <c r="CO376" s="260">
        <v>160</v>
      </c>
      <c r="CP376" s="260">
        <v>160</v>
      </c>
      <c r="CQ376" s="260">
        <v>160</v>
      </c>
      <c r="CR376" s="260">
        <v>160</v>
      </c>
      <c r="CS376" s="270">
        <v>160</v>
      </c>
      <c r="CT376" s="269" t="s">
        <v>137</v>
      </c>
      <c r="CU376" s="249">
        <f>Table2821115[[#This Row],[D28 - BR/18]]/Table2821115[[#This Row],[D0 - BR/18]]</f>
        <v>1</v>
      </c>
      <c r="CV376" s="248">
        <f>Table2821115[[#This Row],[D28 - KS/17]]/Table2821115[[#This Row],[D0 - KS/17]]</f>
        <v>2</v>
      </c>
      <c r="CW376" s="248">
        <f>Table2821115[[#This Row],[D28 - Phu/13]]/Table2821115[[#This Row],[D0 - Phu/13]]</f>
        <v>2</v>
      </c>
      <c r="CX376" s="248">
        <f>Table2821115[[#This Row],[D28 - CO/17]]/Table2821115[[#This Row],[D0 - CO/17]]</f>
        <v>1</v>
      </c>
      <c r="CY376" s="248">
        <f>LOG(Table2821115[[#This Row],[BR/18 Fold]],2)</f>
        <v>0</v>
      </c>
      <c r="CZ376" s="248">
        <f>LOG(Table2821115[[#This Row],[KS/17 Fold]],2)</f>
        <v>1</v>
      </c>
      <c r="DA376" s="248">
        <f>LOG(Table2821115[[#This Row],[Phu/13 Fold]],2)</f>
        <v>1</v>
      </c>
      <c r="DB376" s="248">
        <f>LOG(Table2821115[[#This Row],[CO/17 Fold]],2)</f>
        <v>0</v>
      </c>
      <c r="DC376" s="248">
        <f>SUM(Table2821115[[#This Row],[BR/18 Log2]:[CO/17 Log2]])</f>
        <v>2</v>
      </c>
    </row>
    <row r="377" spans="1:107" ht="24" customHeight="1">
      <c r="A377" s="282" t="s">
        <v>138</v>
      </c>
      <c r="B377" s="151">
        <v>37240</v>
      </c>
      <c r="C377" s="151">
        <v>43753</v>
      </c>
      <c r="D377" s="150">
        <v>17</v>
      </c>
      <c r="E377" s="4" t="s">
        <v>58</v>
      </c>
      <c r="F377" s="143" t="s">
        <v>116</v>
      </c>
      <c r="G377" s="142">
        <v>21.79003168615796</v>
      </c>
      <c r="H377" s="11" t="s">
        <v>59</v>
      </c>
      <c r="I377" s="281" t="s">
        <v>60</v>
      </c>
      <c r="J377" s="260">
        <v>5</v>
      </c>
      <c r="K377" s="260">
        <v>5</v>
      </c>
      <c r="L377" s="260"/>
      <c r="M377" s="260"/>
      <c r="N377" s="260"/>
      <c r="O377" s="260"/>
      <c r="P377" s="260"/>
      <c r="Q377" s="260"/>
      <c r="R377" s="260"/>
      <c r="S377" s="260"/>
      <c r="T377" s="260"/>
      <c r="U377" s="260"/>
      <c r="V377" s="260">
        <v>5</v>
      </c>
      <c r="W377" s="260">
        <v>10</v>
      </c>
      <c r="X377" s="260">
        <v>40</v>
      </c>
      <c r="Y377" s="260">
        <v>80</v>
      </c>
      <c r="Z377" s="260">
        <v>80</v>
      </c>
      <c r="AA377" s="260">
        <v>160</v>
      </c>
      <c r="AB377" s="260">
        <v>80</v>
      </c>
      <c r="AC377" s="260">
        <v>80</v>
      </c>
      <c r="AD377" s="260"/>
      <c r="AE377" s="260"/>
      <c r="AF377" s="260"/>
      <c r="AG377" s="260"/>
      <c r="AH377" s="174" t="s">
        <v>138</v>
      </c>
      <c r="AI377" s="272">
        <v>40</v>
      </c>
      <c r="AJ377" s="271">
        <v>40</v>
      </c>
      <c r="AK377" s="260"/>
      <c r="AL377" s="260"/>
      <c r="AM377" s="260"/>
      <c r="AN377" s="260"/>
      <c r="AO377" s="260"/>
      <c r="AP377" s="260"/>
      <c r="AQ377" s="260"/>
      <c r="AR377" s="260"/>
      <c r="AS377" s="260"/>
      <c r="AT377" s="260"/>
      <c r="AU377" s="260">
        <v>160</v>
      </c>
      <c r="AV377" s="271">
        <v>160</v>
      </c>
      <c r="AW377" s="260">
        <v>20</v>
      </c>
      <c r="AX377" s="271">
        <v>40</v>
      </c>
      <c r="AY377" s="260">
        <v>5</v>
      </c>
      <c r="AZ377" s="271">
        <v>80</v>
      </c>
      <c r="BA377" s="276">
        <v>80</v>
      </c>
      <c r="BB377" s="276">
        <v>80</v>
      </c>
      <c r="BC377" s="276"/>
      <c r="BD377" s="276"/>
      <c r="BE377" s="276">
        <v>5</v>
      </c>
      <c r="BF377" s="276">
        <v>40</v>
      </c>
      <c r="BG377" s="260">
        <v>80</v>
      </c>
      <c r="BH377" s="271">
        <v>80</v>
      </c>
      <c r="BI377" s="276"/>
      <c r="BJ377" s="276"/>
      <c r="BK377" s="276"/>
      <c r="BL377" s="275"/>
      <c r="BM377" s="280" t="s">
        <v>138</v>
      </c>
      <c r="BN377" s="272">
        <v>40</v>
      </c>
      <c r="BO377" s="270">
        <v>80</v>
      </c>
      <c r="BP377" s="272"/>
      <c r="BQ377" s="260"/>
      <c r="BR377" s="260"/>
      <c r="BS377" s="260"/>
      <c r="BT377" s="260"/>
      <c r="BU377" s="260"/>
      <c r="BV377" s="260">
        <v>5</v>
      </c>
      <c r="BW377" s="260">
        <v>80</v>
      </c>
      <c r="BX377" s="260"/>
      <c r="BY377" s="260"/>
      <c r="BZ377" s="260"/>
      <c r="CA377" s="260"/>
      <c r="CB377" s="260"/>
      <c r="CC377" s="260"/>
      <c r="CD377" s="260">
        <v>80</v>
      </c>
      <c r="CE377" s="260">
        <v>80</v>
      </c>
      <c r="CF377" s="272"/>
      <c r="CG377" s="260"/>
      <c r="CH377" s="260"/>
      <c r="CI377" s="260"/>
      <c r="CJ377" s="260"/>
      <c r="CK377" s="260"/>
      <c r="CL377" s="260"/>
      <c r="CM377" s="260"/>
      <c r="CN377" s="260">
        <v>80</v>
      </c>
      <c r="CO377" s="260">
        <v>80</v>
      </c>
      <c r="CP377" s="260">
        <v>160</v>
      </c>
      <c r="CQ377" s="260">
        <v>80</v>
      </c>
      <c r="CR377" s="260">
        <v>80</v>
      </c>
      <c r="CS377" s="270">
        <v>80</v>
      </c>
      <c r="CT377" s="279" t="s">
        <v>138</v>
      </c>
      <c r="CU377" s="249">
        <f>Table2821115[[#This Row],[D28 - BR/18]]/Table2821115[[#This Row],[D0 - BR/18]]</f>
        <v>1</v>
      </c>
      <c r="CV377" s="248">
        <f>Table2821115[[#This Row],[D28 - KS/17]]/Table2821115[[#This Row],[D0 - KS/17]]</f>
        <v>8</v>
      </c>
      <c r="CW377" s="248">
        <f>Table2821115[[#This Row],[D28 - Phu/13]]/Table2821115[[#This Row],[D0 - Phu/13]]</f>
        <v>1</v>
      </c>
      <c r="CX377" s="248">
        <f>Table2821115[[#This Row],[D28 - CO/17]]/Table2821115[[#This Row],[D0 - CO/17]]</f>
        <v>0.5</v>
      </c>
      <c r="CY377" s="248">
        <f>LOG(Table2821115[[#This Row],[BR/18 Fold]],2)</f>
        <v>0</v>
      </c>
      <c r="CZ377" s="248">
        <f>LOG(Table2821115[[#This Row],[KS/17 Fold]],2)</f>
        <v>3</v>
      </c>
      <c r="DA377" s="248">
        <f>LOG(Table2821115[[#This Row],[Phu/13 Fold]],2)</f>
        <v>0</v>
      </c>
      <c r="DB377" s="248">
        <f>LOG(Table2821115[[#This Row],[CO/17 Fold]],2)</f>
        <v>-1</v>
      </c>
      <c r="DC377" s="248">
        <f>SUM(Table2821115[[#This Row],[BR/18 Log2]:[CO/17 Log2]])</f>
        <v>2</v>
      </c>
    </row>
    <row r="378" spans="1:107" ht="24" customHeight="1">
      <c r="A378" s="282" t="s">
        <v>139</v>
      </c>
      <c r="B378" s="151">
        <v>38007</v>
      </c>
      <c r="C378" s="151">
        <v>43792</v>
      </c>
      <c r="D378" s="150">
        <v>15</v>
      </c>
      <c r="E378" s="3" t="s">
        <v>61</v>
      </c>
      <c r="F378" s="143" t="s">
        <v>116</v>
      </c>
      <c r="G378" s="142">
        <v>28.308517284464799</v>
      </c>
      <c r="H378" s="11" t="s">
        <v>59</v>
      </c>
      <c r="I378" s="281" t="s">
        <v>60</v>
      </c>
      <c r="J378" s="260">
        <v>5</v>
      </c>
      <c r="K378" s="260">
        <v>5</v>
      </c>
      <c r="L378" s="260"/>
      <c r="M378" s="260"/>
      <c r="N378" s="260"/>
      <c r="O378" s="260"/>
      <c r="P378" s="260"/>
      <c r="Q378" s="260"/>
      <c r="R378" s="260"/>
      <c r="S378" s="260"/>
      <c r="T378" s="260"/>
      <c r="U378" s="260"/>
      <c r="V378" s="260">
        <v>20</v>
      </c>
      <c r="W378" s="260">
        <v>40</v>
      </c>
      <c r="X378" s="260">
        <v>320</v>
      </c>
      <c r="Y378" s="260">
        <v>320</v>
      </c>
      <c r="Z378" s="260">
        <v>640</v>
      </c>
      <c r="AA378" s="260">
        <v>640</v>
      </c>
      <c r="AB378" s="260">
        <v>320</v>
      </c>
      <c r="AC378" s="260">
        <v>320</v>
      </c>
      <c r="AD378" s="260"/>
      <c r="AE378" s="260"/>
      <c r="AF378" s="260"/>
      <c r="AG378" s="260"/>
      <c r="AH378" s="174" t="s">
        <v>139</v>
      </c>
      <c r="AI378" s="272">
        <v>80</v>
      </c>
      <c r="AJ378" s="271">
        <v>80</v>
      </c>
      <c r="AK378" s="260"/>
      <c r="AL378" s="260"/>
      <c r="AM378" s="260"/>
      <c r="AN378" s="260"/>
      <c r="AO378" s="260"/>
      <c r="AP378" s="260"/>
      <c r="AQ378" s="260"/>
      <c r="AR378" s="260"/>
      <c r="AS378" s="260"/>
      <c r="AT378" s="260"/>
      <c r="AU378" s="260">
        <v>320</v>
      </c>
      <c r="AV378" s="271">
        <v>1280</v>
      </c>
      <c r="AW378" s="260">
        <v>640</v>
      </c>
      <c r="AX378" s="271">
        <v>2560</v>
      </c>
      <c r="AY378" s="260">
        <v>640</v>
      </c>
      <c r="AZ378" s="271">
        <v>1280</v>
      </c>
      <c r="BA378" s="276">
        <v>640</v>
      </c>
      <c r="BB378" s="276">
        <v>1280</v>
      </c>
      <c r="BC378" s="276"/>
      <c r="BD378" s="276"/>
      <c r="BE378" s="276">
        <v>80</v>
      </c>
      <c r="BF378" s="276">
        <v>1280</v>
      </c>
      <c r="BG378" s="260">
        <v>640</v>
      </c>
      <c r="BH378" s="271">
        <v>1280</v>
      </c>
      <c r="BI378" s="276"/>
      <c r="BJ378" s="276"/>
      <c r="BK378" s="276"/>
      <c r="BL378" s="275"/>
      <c r="BM378" s="280" t="s">
        <v>139</v>
      </c>
      <c r="BN378" s="272">
        <v>40</v>
      </c>
      <c r="BO378" s="270">
        <v>80</v>
      </c>
      <c r="BP378" s="272"/>
      <c r="BQ378" s="260"/>
      <c r="BR378" s="260"/>
      <c r="BS378" s="260"/>
      <c r="BT378" s="260"/>
      <c r="BU378" s="260"/>
      <c r="BV378" s="260">
        <v>160</v>
      </c>
      <c r="BW378" s="260">
        <v>160</v>
      </c>
      <c r="BX378" s="260"/>
      <c r="BY378" s="260"/>
      <c r="BZ378" s="260"/>
      <c r="CA378" s="260"/>
      <c r="CB378" s="260"/>
      <c r="CC378" s="260"/>
      <c r="CD378" s="260">
        <v>160</v>
      </c>
      <c r="CE378" s="260">
        <v>160</v>
      </c>
      <c r="CF378" s="272"/>
      <c r="CG378" s="260"/>
      <c r="CH378" s="260"/>
      <c r="CI378" s="260"/>
      <c r="CJ378" s="260"/>
      <c r="CK378" s="260"/>
      <c r="CL378" s="260"/>
      <c r="CM378" s="260"/>
      <c r="CN378" s="260">
        <v>80</v>
      </c>
      <c r="CO378" s="260">
        <v>160</v>
      </c>
      <c r="CP378" s="260">
        <v>160</v>
      </c>
      <c r="CQ378" s="260">
        <v>160</v>
      </c>
      <c r="CR378" s="260">
        <v>80</v>
      </c>
      <c r="CS378" s="270">
        <v>160</v>
      </c>
      <c r="CT378" s="279" t="s">
        <v>139</v>
      </c>
      <c r="CU378" s="249">
        <f>Table2821115[[#This Row],[D28 - BR/18]]/Table2821115[[#This Row],[D0 - BR/18]]</f>
        <v>1</v>
      </c>
      <c r="CV378" s="248">
        <f>Table2821115[[#This Row],[D28 - KS/17]]/Table2821115[[#This Row],[D0 - KS/17]]</f>
        <v>16</v>
      </c>
      <c r="CW378" s="248">
        <f>Table2821115[[#This Row],[D28 - Phu/13]]/Table2821115[[#This Row],[D0 - Phu/13]]</f>
        <v>1</v>
      </c>
      <c r="CX378" s="248">
        <f>Table2821115[[#This Row],[D28 - CO/17]]/Table2821115[[#This Row],[D0 - CO/17]]</f>
        <v>1</v>
      </c>
      <c r="CY378" s="248">
        <f>LOG(Table2821115[[#This Row],[BR/18 Fold]],2)</f>
        <v>0</v>
      </c>
      <c r="CZ378" s="248">
        <f>LOG(Table2821115[[#This Row],[KS/17 Fold]],2)</f>
        <v>4</v>
      </c>
      <c r="DA378" s="248">
        <f>LOG(Table2821115[[#This Row],[Phu/13 Fold]],2)</f>
        <v>0</v>
      </c>
      <c r="DB378" s="248">
        <f>LOG(Table2821115[[#This Row],[CO/17 Fold]],2)</f>
        <v>0</v>
      </c>
      <c r="DC378" s="248">
        <f>SUM(Table2821115[[#This Row],[BR/18 Log2]:[CO/17 Log2]])</f>
        <v>4</v>
      </c>
    </row>
    <row r="379" spans="1:107" ht="24" customHeight="1">
      <c r="A379" s="282" t="s">
        <v>140</v>
      </c>
      <c r="B379" s="151">
        <v>37776</v>
      </c>
      <c r="C379" s="151">
        <v>43780</v>
      </c>
      <c r="D379" s="150">
        <v>16</v>
      </c>
      <c r="E379" s="3" t="s">
        <v>61</v>
      </c>
      <c r="F379" s="143" t="s">
        <v>116</v>
      </c>
      <c r="G379" s="142">
        <v>24.03904486883933</v>
      </c>
      <c r="H379" s="11" t="s">
        <v>59</v>
      </c>
      <c r="I379" s="281" t="s">
        <v>60</v>
      </c>
      <c r="J379" s="260">
        <v>5</v>
      </c>
      <c r="K379" s="260">
        <v>5</v>
      </c>
      <c r="L379" s="260"/>
      <c r="M379" s="260"/>
      <c r="N379" s="260"/>
      <c r="O379" s="260"/>
      <c r="P379" s="260"/>
      <c r="Q379" s="260"/>
      <c r="R379" s="260"/>
      <c r="S379" s="260"/>
      <c r="T379" s="260"/>
      <c r="U379" s="260"/>
      <c r="V379" s="260">
        <v>5</v>
      </c>
      <c r="W379" s="260">
        <v>5</v>
      </c>
      <c r="X379" s="260">
        <v>160</v>
      </c>
      <c r="Y379" s="260">
        <v>160</v>
      </c>
      <c r="Z379" s="260">
        <v>320</v>
      </c>
      <c r="AA379" s="260">
        <v>320</v>
      </c>
      <c r="AB379" s="260">
        <v>160</v>
      </c>
      <c r="AC379" s="260">
        <v>160</v>
      </c>
      <c r="AD379" s="260"/>
      <c r="AE379" s="260"/>
      <c r="AF379" s="260"/>
      <c r="AG379" s="260"/>
      <c r="AH379" s="174" t="s">
        <v>140</v>
      </c>
      <c r="AI379" s="272">
        <v>5</v>
      </c>
      <c r="AJ379" s="271">
        <v>20</v>
      </c>
      <c r="AK379" s="260"/>
      <c r="AL379" s="260"/>
      <c r="AM379" s="260"/>
      <c r="AN379" s="260"/>
      <c r="AO379" s="260"/>
      <c r="AP379" s="260"/>
      <c r="AQ379" s="260"/>
      <c r="AR379" s="260"/>
      <c r="AS379" s="260"/>
      <c r="AT379" s="260"/>
      <c r="AU379" s="260">
        <v>80</v>
      </c>
      <c r="AV379" s="271">
        <v>640</v>
      </c>
      <c r="AW379" s="260">
        <v>80</v>
      </c>
      <c r="AX379" s="271">
        <v>640</v>
      </c>
      <c r="AY379" s="260">
        <v>40</v>
      </c>
      <c r="AZ379" s="271">
        <v>80</v>
      </c>
      <c r="BA379" s="276">
        <v>80</v>
      </c>
      <c r="BB379" s="276">
        <v>160</v>
      </c>
      <c r="BC379" s="276"/>
      <c r="BD379" s="276"/>
      <c r="BE379" s="276">
        <v>20</v>
      </c>
      <c r="BF379" s="276">
        <v>320</v>
      </c>
      <c r="BG379" s="260">
        <v>160</v>
      </c>
      <c r="BH379" s="271">
        <v>640</v>
      </c>
      <c r="BI379" s="276"/>
      <c r="BJ379" s="276"/>
      <c r="BK379" s="276"/>
      <c r="BL379" s="275"/>
      <c r="BM379" s="280" t="s">
        <v>140</v>
      </c>
      <c r="BN379" s="272">
        <v>80</v>
      </c>
      <c r="BO379" s="270">
        <v>80</v>
      </c>
      <c r="BP379" s="272"/>
      <c r="BQ379" s="260"/>
      <c r="BR379" s="260"/>
      <c r="BS379" s="260"/>
      <c r="BT379" s="260"/>
      <c r="BU379" s="260"/>
      <c r="BV379" s="260">
        <v>160</v>
      </c>
      <c r="BW379" s="260">
        <v>160</v>
      </c>
      <c r="BX379" s="260"/>
      <c r="BY379" s="260"/>
      <c r="BZ379" s="260"/>
      <c r="CA379" s="260"/>
      <c r="CB379" s="260"/>
      <c r="CC379" s="260"/>
      <c r="CD379" s="260">
        <v>160</v>
      </c>
      <c r="CE379" s="260">
        <v>160</v>
      </c>
      <c r="CF379" s="272"/>
      <c r="CG379" s="260"/>
      <c r="CH379" s="260"/>
      <c r="CI379" s="260"/>
      <c r="CJ379" s="260"/>
      <c r="CK379" s="260"/>
      <c r="CL379" s="260"/>
      <c r="CM379" s="260"/>
      <c r="CN379" s="260">
        <v>40</v>
      </c>
      <c r="CO379" s="260">
        <v>40</v>
      </c>
      <c r="CP379" s="260">
        <v>80</v>
      </c>
      <c r="CQ379" s="260">
        <v>80</v>
      </c>
      <c r="CR379" s="260">
        <v>20</v>
      </c>
      <c r="CS379" s="270">
        <v>40</v>
      </c>
      <c r="CT379" s="279" t="s">
        <v>140</v>
      </c>
      <c r="CU379" s="249">
        <f>Table2821115[[#This Row],[D28 - BR/18]]/Table2821115[[#This Row],[D0 - BR/18]]</f>
        <v>1</v>
      </c>
      <c r="CV379" s="248">
        <f>Table2821115[[#This Row],[D28 - KS/17]]/Table2821115[[#This Row],[D0 - KS/17]]</f>
        <v>16</v>
      </c>
      <c r="CW379" s="248">
        <f>Table2821115[[#This Row],[D28 - Phu/13]]/Table2821115[[#This Row],[D0 - Phu/13]]</f>
        <v>1</v>
      </c>
      <c r="CX379" s="248">
        <f>Table2821115[[#This Row],[D28 - CO/17]]/Table2821115[[#This Row],[D0 - CO/17]]</f>
        <v>1</v>
      </c>
      <c r="CY379" s="248">
        <f>LOG(Table2821115[[#This Row],[BR/18 Fold]],2)</f>
        <v>0</v>
      </c>
      <c r="CZ379" s="248">
        <f>LOG(Table2821115[[#This Row],[KS/17 Fold]],2)</f>
        <v>4</v>
      </c>
      <c r="DA379" s="248">
        <f>LOG(Table2821115[[#This Row],[Phu/13 Fold]],2)</f>
        <v>0</v>
      </c>
      <c r="DB379" s="248">
        <f>LOG(Table2821115[[#This Row],[CO/17 Fold]],2)</f>
        <v>0</v>
      </c>
      <c r="DC379" s="248">
        <f>SUM(Table2821115[[#This Row],[BR/18 Log2]:[CO/17 Log2]])</f>
        <v>4</v>
      </c>
    </row>
    <row r="380" spans="1:107" ht="24" customHeight="1">
      <c r="A380" s="282" t="s">
        <v>141</v>
      </c>
      <c r="B380" s="151">
        <v>37663</v>
      </c>
      <c r="C380" s="151">
        <v>43756</v>
      </c>
      <c r="D380" s="150">
        <v>16</v>
      </c>
      <c r="E380" s="4" t="s">
        <v>58</v>
      </c>
      <c r="F380" s="143" t="s">
        <v>116</v>
      </c>
      <c r="G380" s="142">
        <v>25.710360549401543</v>
      </c>
      <c r="H380" s="11" t="s">
        <v>59</v>
      </c>
      <c r="I380" s="281" t="s">
        <v>60</v>
      </c>
      <c r="J380" s="260">
        <v>5</v>
      </c>
      <c r="K380" s="260">
        <v>5</v>
      </c>
      <c r="L380" s="260"/>
      <c r="M380" s="260"/>
      <c r="N380" s="260"/>
      <c r="O380" s="260"/>
      <c r="P380" s="260"/>
      <c r="Q380" s="260"/>
      <c r="R380" s="260"/>
      <c r="S380" s="260"/>
      <c r="T380" s="260"/>
      <c r="U380" s="260"/>
      <c r="V380" s="260">
        <v>5</v>
      </c>
      <c r="W380" s="260">
        <v>20</v>
      </c>
      <c r="X380" s="260">
        <v>320</v>
      </c>
      <c r="Y380" s="260">
        <v>320</v>
      </c>
      <c r="Z380" s="260">
        <v>640</v>
      </c>
      <c r="AA380" s="260">
        <v>80</v>
      </c>
      <c r="AB380" s="260">
        <v>320</v>
      </c>
      <c r="AC380" s="260">
        <v>320</v>
      </c>
      <c r="AD380" s="260"/>
      <c r="AE380" s="260"/>
      <c r="AF380" s="260"/>
      <c r="AG380" s="260"/>
      <c r="AH380" s="174" t="s">
        <v>141</v>
      </c>
      <c r="AI380" s="272">
        <v>5</v>
      </c>
      <c r="AJ380" s="271">
        <v>80</v>
      </c>
      <c r="AK380" s="260"/>
      <c r="AL380" s="260"/>
      <c r="AM380" s="260"/>
      <c r="AN380" s="260"/>
      <c r="AO380" s="260"/>
      <c r="AP380" s="260"/>
      <c r="AQ380" s="260"/>
      <c r="AR380" s="260"/>
      <c r="AS380" s="260"/>
      <c r="AT380" s="260"/>
      <c r="AU380" s="260">
        <v>40</v>
      </c>
      <c r="AV380" s="271">
        <v>1280</v>
      </c>
      <c r="AW380" s="260">
        <v>40</v>
      </c>
      <c r="AX380" s="271">
        <v>2560</v>
      </c>
      <c r="AY380" s="260">
        <v>10</v>
      </c>
      <c r="AZ380" s="271">
        <v>320</v>
      </c>
      <c r="BA380" s="276">
        <v>20</v>
      </c>
      <c r="BB380" s="276">
        <v>640</v>
      </c>
      <c r="BC380" s="276"/>
      <c r="BD380" s="276"/>
      <c r="BE380" s="276">
        <v>20</v>
      </c>
      <c r="BF380" s="276">
        <v>1280</v>
      </c>
      <c r="BG380" s="260">
        <v>20</v>
      </c>
      <c r="BH380" s="271">
        <v>320</v>
      </c>
      <c r="BI380" s="276"/>
      <c r="BJ380" s="276"/>
      <c r="BK380" s="276"/>
      <c r="BL380" s="275"/>
      <c r="BM380" s="280" t="s">
        <v>141</v>
      </c>
      <c r="BN380" s="272">
        <v>20</v>
      </c>
      <c r="BO380" s="270">
        <v>40</v>
      </c>
      <c r="BP380" s="272"/>
      <c r="BQ380" s="260"/>
      <c r="BR380" s="260"/>
      <c r="BS380" s="260"/>
      <c r="BT380" s="260"/>
      <c r="BU380" s="260"/>
      <c r="BV380" s="260">
        <v>5</v>
      </c>
      <c r="BW380" s="260">
        <v>160</v>
      </c>
      <c r="BX380" s="260"/>
      <c r="BY380" s="260"/>
      <c r="BZ380" s="260"/>
      <c r="CA380" s="260"/>
      <c r="CB380" s="260"/>
      <c r="CC380" s="260"/>
      <c r="CD380" s="260">
        <v>80</v>
      </c>
      <c r="CE380" s="260">
        <v>160</v>
      </c>
      <c r="CF380" s="272"/>
      <c r="CG380" s="260"/>
      <c r="CH380" s="260"/>
      <c r="CI380" s="260"/>
      <c r="CJ380" s="260"/>
      <c r="CK380" s="260"/>
      <c r="CL380" s="260"/>
      <c r="CM380" s="260"/>
      <c r="CN380" s="260">
        <v>40</v>
      </c>
      <c r="CO380" s="260">
        <v>80</v>
      </c>
      <c r="CP380" s="260">
        <v>80</v>
      </c>
      <c r="CQ380" s="260">
        <v>80</v>
      </c>
      <c r="CR380" s="260">
        <v>40</v>
      </c>
      <c r="CS380" s="270">
        <v>80</v>
      </c>
      <c r="CT380" s="279" t="s">
        <v>141</v>
      </c>
      <c r="CU380" s="249">
        <f>Table2821115[[#This Row],[D28 - BR/18]]/Table2821115[[#This Row],[D0 - BR/18]]</f>
        <v>1</v>
      </c>
      <c r="CV380" s="248">
        <f>Table2821115[[#This Row],[D28 - KS/17]]/Table2821115[[#This Row],[D0 - KS/17]]</f>
        <v>64</v>
      </c>
      <c r="CW380" s="248">
        <f>Table2821115[[#This Row],[D28 - Phu/13]]/Table2821115[[#This Row],[D0 - Phu/13]]</f>
        <v>2</v>
      </c>
      <c r="CX380" s="248">
        <f>Table2821115[[#This Row],[D28 - CO/17]]/Table2821115[[#This Row],[D0 - CO/17]]</f>
        <v>1</v>
      </c>
      <c r="CY380" s="248">
        <f>LOG(Table2821115[[#This Row],[BR/18 Fold]],2)</f>
        <v>0</v>
      </c>
      <c r="CZ380" s="248">
        <f>LOG(Table2821115[[#This Row],[KS/17 Fold]],2)</f>
        <v>6</v>
      </c>
      <c r="DA380" s="248">
        <f>LOG(Table2821115[[#This Row],[Phu/13 Fold]],2)</f>
        <v>1</v>
      </c>
      <c r="DB380" s="248">
        <f>LOG(Table2821115[[#This Row],[CO/17 Fold]],2)</f>
        <v>0</v>
      </c>
      <c r="DC380" s="248">
        <f>SUM(Table2821115[[#This Row],[BR/18 Log2]:[CO/17 Log2]])</f>
        <v>7</v>
      </c>
    </row>
    <row r="381" spans="1:107" ht="24" customHeight="1">
      <c r="A381" s="282" t="s">
        <v>142</v>
      </c>
      <c r="B381" s="151">
        <v>37810</v>
      </c>
      <c r="C381" s="151">
        <v>43781</v>
      </c>
      <c r="D381" s="150">
        <v>16</v>
      </c>
      <c r="E381" s="3" t="s">
        <v>61</v>
      </c>
      <c r="F381" s="143" t="s">
        <v>116</v>
      </c>
      <c r="G381" s="142">
        <v>27.101249337354364</v>
      </c>
      <c r="H381" s="11" t="s">
        <v>59</v>
      </c>
      <c r="I381" s="281" t="s">
        <v>60</v>
      </c>
      <c r="J381" s="260">
        <v>5</v>
      </c>
      <c r="K381" s="260">
        <v>5</v>
      </c>
      <c r="L381" s="260"/>
      <c r="M381" s="260"/>
      <c r="N381" s="260"/>
      <c r="O381" s="260"/>
      <c r="P381" s="260"/>
      <c r="Q381" s="260"/>
      <c r="R381" s="260"/>
      <c r="S381" s="260"/>
      <c r="T381" s="260"/>
      <c r="U381" s="260"/>
      <c r="V381" s="260">
        <v>5</v>
      </c>
      <c r="W381" s="260">
        <v>80</v>
      </c>
      <c r="X381" s="260">
        <v>20</v>
      </c>
      <c r="Y381" s="260">
        <v>40</v>
      </c>
      <c r="Z381" s="260">
        <v>40</v>
      </c>
      <c r="AA381" s="260">
        <v>80</v>
      </c>
      <c r="AB381" s="260">
        <v>20</v>
      </c>
      <c r="AC381" s="260">
        <v>40</v>
      </c>
      <c r="AD381" s="260"/>
      <c r="AE381" s="260"/>
      <c r="AF381" s="260"/>
      <c r="AG381" s="260"/>
      <c r="AH381" s="174" t="s">
        <v>142</v>
      </c>
      <c r="AI381" s="272">
        <v>40</v>
      </c>
      <c r="AJ381" s="271">
        <v>40</v>
      </c>
      <c r="AK381" s="260"/>
      <c r="AL381" s="260"/>
      <c r="AM381" s="260"/>
      <c r="AN381" s="260"/>
      <c r="AO381" s="260"/>
      <c r="AP381" s="260"/>
      <c r="AQ381" s="260"/>
      <c r="AR381" s="260"/>
      <c r="AS381" s="260"/>
      <c r="AT381" s="260"/>
      <c r="AU381" s="260">
        <v>160</v>
      </c>
      <c r="AV381" s="271">
        <v>160</v>
      </c>
      <c r="AW381" s="260">
        <v>80</v>
      </c>
      <c r="AX381" s="271">
        <v>80</v>
      </c>
      <c r="AY381" s="260">
        <v>80</v>
      </c>
      <c r="AZ381" s="271">
        <v>80</v>
      </c>
      <c r="BA381" s="276">
        <v>80</v>
      </c>
      <c r="BB381" s="276">
        <v>80</v>
      </c>
      <c r="BC381" s="276"/>
      <c r="BD381" s="276"/>
      <c r="BE381" s="276">
        <v>10</v>
      </c>
      <c r="BF381" s="276">
        <v>80</v>
      </c>
      <c r="BG381" s="260">
        <v>80</v>
      </c>
      <c r="BH381" s="271">
        <v>80</v>
      </c>
      <c r="BI381" s="276"/>
      <c r="BJ381" s="276"/>
      <c r="BK381" s="276"/>
      <c r="BL381" s="275"/>
      <c r="BM381" s="280" t="s">
        <v>142</v>
      </c>
      <c r="BN381" s="272">
        <v>80</v>
      </c>
      <c r="BO381" s="270">
        <v>80</v>
      </c>
      <c r="BP381" s="272"/>
      <c r="BQ381" s="260"/>
      <c r="BR381" s="260"/>
      <c r="BS381" s="260"/>
      <c r="BT381" s="260"/>
      <c r="BU381" s="260"/>
      <c r="BV381" s="260">
        <v>160</v>
      </c>
      <c r="BW381" s="260">
        <v>160</v>
      </c>
      <c r="BX381" s="260"/>
      <c r="BY381" s="260"/>
      <c r="BZ381" s="260"/>
      <c r="CA381" s="260"/>
      <c r="CB381" s="260"/>
      <c r="CC381" s="260"/>
      <c r="CD381" s="260">
        <v>80</v>
      </c>
      <c r="CE381" s="260">
        <v>160</v>
      </c>
      <c r="CF381" s="272"/>
      <c r="CG381" s="260"/>
      <c r="CH381" s="260"/>
      <c r="CI381" s="260"/>
      <c r="CJ381" s="260"/>
      <c r="CK381" s="260"/>
      <c r="CL381" s="260"/>
      <c r="CM381" s="260"/>
      <c r="CN381" s="260">
        <v>80</v>
      </c>
      <c r="CO381" s="260">
        <v>80</v>
      </c>
      <c r="CP381" s="260">
        <v>160</v>
      </c>
      <c r="CQ381" s="260">
        <v>160</v>
      </c>
      <c r="CR381" s="260">
        <v>80</v>
      </c>
      <c r="CS381" s="270">
        <v>160</v>
      </c>
      <c r="CT381" s="279" t="s">
        <v>142</v>
      </c>
      <c r="CU381" s="249">
        <f>Table2821115[[#This Row],[D28 - BR/18]]/Table2821115[[#This Row],[D0 - BR/18]]</f>
        <v>2</v>
      </c>
      <c r="CV381" s="248">
        <f>Table2821115[[#This Row],[D28 - KS/17]]/Table2821115[[#This Row],[D0 - KS/17]]</f>
        <v>8</v>
      </c>
      <c r="CW381" s="248">
        <f>Table2821115[[#This Row],[D28 - Phu/13]]/Table2821115[[#This Row],[D0 - Phu/13]]</f>
        <v>2</v>
      </c>
      <c r="CX381" s="248">
        <f>Table2821115[[#This Row],[D28 - CO/17]]/Table2821115[[#This Row],[D0 - CO/17]]</f>
        <v>1</v>
      </c>
      <c r="CY381" s="248">
        <f>LOG(Table2821115[[#This Row],[BR/18 Fold]],2)</f>
        <v>1</v>
      </c>
      <c r="CZ381" s="248">
        <f>LOG(Table2821115[[#This Row],[KS/17 Fold]],2)</f>
        <v>3</v>
      </c>
      <c r="DA381" s="248">
        <f>LOG(Table2821115[[#This Row],[Phu/13 Fold]],2)</f>
        <v>1</v>
      </c>
      <c r="DB381" s="248">
        <f>LOG(Table2821115[[#This Row],[CO/17 Fold]],2)</f>
        <v>0</v>
      </c>
      <c r="DC381" s="248">
        <f>SUM(Table2821115[[#This Row],[BR/18 Log2]:[CO/17 Log2]])</f>
        <v>5</v>
      </c>
    </row>
    <row r="382" spans="1:107" ht="24" customHeight="1">
      <c r="A382" s="282" t="s">
        <v>143</v>
      </c>
      <c r="B382" s="151">
        <v>37475</v>
      </c>
      <c r="C382" s="151">
        <v>43783</v>
      </c>
      <c r="D382" s="150">
        <v>17</v>
      </c>
      <c r="E382" s="3" t="s">
        <v>61</v>
      </c>
      <c r="F382" s="143" t="s">
        <v>116</v>
      </c>
      <c r="G382" s="142">
        <v>23.138103344301506</v>
      </c>
      <c r="H382" s="11" t="s">
        <v>59</v>
      </c>
      <c r="I382" s="281" t="s">
        <v>60</v>
      </c>
      <c r="J382" s="260">
        <v>5</v>
      </c>
      <c r="K382" s="260">
        <v>5</v>
      </c>
      <c r="L382" s="260"/>
      <c r="M382" s="260"/>
      <c r="N382" s="260"/>
      <c r="O382" s="260"/>
      <c r="P382" s="260"/>
      <c r="Q382" s="260"/>
      <c r="R382" s="260"/>
      <c r="S382" s="260"/>
      <c r="T382" s="260"/>
      <c r="U382" s="260"/>
      <c r="V382" s="260">
        <v>20</v>
      </c>
      <c r="W382" s="260">
        <v>40</v>
      </c>
      <c r="X382" s="260">
        <v>160</v>
      </c>
      <c r="Y382" s="260">
        <v>320</v>
      </c>
      <c r="Z382" s="260">
        <v>320</v>
      </c>
      <c r="AA382" s="260">
        <v>640</v>
      </c>
      <c r="AB382" s="260">
        <v>80</v>
      </c>
      <c r="AC382" s="260">
        <v>160</v>
      </c>
      <c r="AD382" s="260"/>
      <c r="AE382" s="260"/>
      <c r="AF382" s="260"/>
      <c r="AG382" s="260"/>
      <c r="AH382" s="174" t="s">
        <v>143</v>
      </c>
      <c r="AI382" s="272">
        <v>5</v>
      </c>
      <c r="AJ382" s="271">
        <v>5</v>
      </c>
      <c r="AK382" s="260"/>
      <c r="AL382" s="260"/>
      <c r="AM382" s="260"/>
      <c r="AN382" s="260"/>
      <c r="AO382" s="260"/>
      <c r="AP382" s="260"/>
      <c r="AQ382" s="260"/>
      <c r="AR382" s="260"/>
      <c r="AS382" s="260"/>
      <c r="AT382" s="260"/>
      <c r="AU382" s="260">
        <v>80</v>
      </c>
      <c r="AV382" s="271">
        <v>320</v>
      </c>
      <c r="AW382" s="260">
        <v>80</v>
      </c>
      <c r="AX382" s="271">
        <v>320</v>
      </c>
      <c r="AY382" s="260">
        <v>40</v>
      </c>
      <c r="AZ382" s="271">
        <v>80</v>
      </c>
      <c r="BA382" s="276">
        <v>80</v>
      </c>
      <c r="BB382" s="276">
        <v>160</v>
      </c>
      <c r="BC382" s="276"/>
      <c r="BD382" s="276"/>
      <c r="BE382" s="276">
        <v>20</v>
      </c>
      <c r="BF382" s="276">
        <v>320</v>
      </c>
      <c r="BG382" s="260">
        <v>160</v>
      </c>
      <c r="BH382" s="271">
        <v>160</v>
      </c>
      <c r="BI382" s="276"/>
      <c r="BJ382" s="276"/>
      <c r="BK382" s="276"/>
      <c r="BL382" s="275"/>
      <c r="BM382" s="280" t="s">
        <v>143</v>
      </c>
      <c r="BN382" s="272">
        <v>20</v>
      </c>
      <c r="BO382" s="270">
        <v>40</v>
      </c>
      <c r="BP382" s="272"/>
      <c r="BQ382" s="260"/>
      <c r="BR382" s="260"/>
      <c r="BS382" s="260"/>
      <c r="BT382" s="260"/>
      <c r="BU382" s="260"/>
      <c r="BV382" s="260">
        <v>160</v>
      </c>
      <c r="BW382" s="260">
        <v>160</v>
      </c>
      <c r="BX382" s="260"/>
      <c r="BY382" s="260"/>
      <c r="BZ382" s="260"/>
      <c r="CA382" s="260"/>
      <c r="CB382" s="260"/>
      <c r="CC382" s="260"/>
      <c r="CD382" s="260">
        <v>80</v>
      </c>
      <c r="CE382" s="260">
        <v>160</v>
      </c>
      <c r="CF382" s="272"/>
      <c r="CG382" s="260"/>
      <c r="CH382" s="260"/>
      <c r="CI382" s="260"/>
      <c r="CJ382" s="260"/>
      <c r="CK382" s="260"/>
      <c r="CL382" s="260"/>
      <c r="CM382" s="260"/>
      <c r="CN382" s="260">
        <v>40</v>
      </c>
      <c r="CO382" s="260">
        <v>80</v>
      </c>
      <c r="CP382" s="260">
        <v>160</v>
      </c>
      <c r="CQ382" s="260">
        <v>160</v>
      </c>
      <c r="CR382" s="260">
        <v>80</v>
      </c>
      <c r="CS382" s="270">
        <v>160</v>
      </c>
      <c r="CT382" s="279" t="s">
        <v>143</v>
      </c>
      <c r="CU382" s="249">
        <f>Table2821115[[#This Row],[D28 - BR/18]]/Table2821115[[#This Row],[D0 - BR/18]]</f>
        <v>2</v>
      </c>
      <c r="CV382" s="248">
        <f>Table2821115[[#This Row],[D28 - KS/17]]/Table2821115[[#This Row],[D0 - KS/17]]</f>
        <v>16</v>
      </c>
      <c r="CW382" s="248">
        <f>Table2821115[[#This Row],[D28 - Phu/13]]/Table2821115[[#This Row],[D0 - Phu/13]]</f>
        <v>2</v>
      </c>
      <c r="CX382" s="248">
        <f>Table2821115[[#This Row],[D28 - CO/17]]/Table2821115[[#This Row],[D0 - CO/17]]</f>
        <v>1</v>
      </c>
      <c r="CY382" s="248">
        <f>LOG(Table2821115[[#This Row],[BR/18 Fold]],2)</f>
        <v>1</v>
      </c>
      <c r="CZ382" s="248">
        <f>LOG(Table2821115[[#This Row],[KS/17 Fold]],2)</f>
        <v>4</v>
      </c>
      <c r="DA382" s="248">
        <f>LOG(Table2821115[[#This Row],[Phu/13 Fold]],2)</f>
        <v>1</v>
      </c>
      <c r="DB382" s="248">
        <f>LOG(Table2821115[[#This Row],[CO/17 Fold]],2)</f>
        <v>0</v>
      </c>
      <c r="DC382" s="248">
        <f>SUM(Table2821115[[#This Row],[BR/18 Log2]:[CO/17 Log2]])</f>
        <v>6</v>
      </c>
    </row>
    <row r="383" spans="1:107" ht="24" customHeight="1">
      <c r="A383" s="282" t="s">
        <v>144</v>
      </c>
      <c r="B383" s="151">
        <v>38258</v>
      </c>
      <c r="C383" s="151">
        <v>43768</v>
      </c>
      <c r="D383" s="150">
        <v>15</v>
      </c>
      <c r="E383" s="4" t="s">
        <v>58</v>
      </c>
      <c r="F383" s="143" t="s">
        <v>116</v>
      </c>
      <c r="G383" s="142">
        <v>20.286507911738084</v>
      </c>
      <c r="H383" s="11" t="s">
        <v>59</v>
      </c>
      <c r="I383" s="281" t="s">
        <v>60</v>
      </c>
      <c r="J383" s="260">
        <v>5</v>
      </c>
      <c r="K383" s="260">
        <v>5</v>
      </c>
      <c r="L383" s="260"/>
      <c r="M383" s="260"/>
      <c r="N383" s="260"/>
      <c r="O383" s="260"/>
      <c r="P383" s="260"/>
      <c r="Q383" s="260"/>
      <c r="R383" s="260"/>
      <c r="S383" s="260"/>
      <c r="T383" s="260"/>
      <c r="U383" s="260"/>
      <c r="V383" s="260">
        <v>5</v>
      </c>
      <c r="W383" s="260">
        <v>5</v>
      </c>
      <c r="X383" s="260">
        <v>80</v>
      </c>
      <c r="Y383" s="260">
        <v>160</v>
      </c>
      <c r="Z383" s="260">
        <v>160</v>
      </c>
      <c r="AA383" s="260">
        <v>160</v>
      </c>
      <c r="AB383" s="260">
        <v>80</v>
      </c>
      <c r="AC383" s="260">
        <v>160</v>
      </c>
      <c r="AD383" s="260"/>
      <c r="AE383" s="260"/>
      <c r="AF383" s="260"/>
      <c r="AG383" s="260"/>
      <c r="AH383" s="174" t="s">
        <v>144</v>
      </c>
      <c r="AI383" s="272">
        <v>10</v>
      </c>
      <c r="AJ383" s="271">
        <v>10</v>
      </c>
      <c r="AK383" s="260"/>
      <c r="AL383" s="260"/>
      <c r="AM383" s="260"/>
      <c r="AN383" s="260"/>
      <c r="AO383" s="260"/>
      <c r="AP383" s="260"/>
      <c r="AQ383" s="260"/>
      <c r="AR383" s="260"/>
      <c r="AS383" s="260"/>
      <c r="AT383" s="260"/>
      <c r="AU383" s="260">
        <v>160</v>
      </c>
      <c r="AV383" s="271">
        <v>320</v>
      </c>
      <c r="AW383" s="260">
        <v>160</v>
      </c>
      <c r="AX383" s="271">
        <v>160</v>
      </c>
      <c r="AY383" s="260">
        <v>80</v>
      </c>
      <c r="AZ383" s="271">
        <v>160</v>
      </c>
      <c r="BA383" s="276">
        <v>160</v>
      </c>
      <c r="BB383" s="276">
        <v>160</v>
      </c>
      <c r="BC383" s="276"/>
      <c r="BD383" s="276"/>
      <c r="BE383" s="276">
        <v>40</v>
      </c>
      <c r="BF383" s="276">
        <v>80</v>
      </c>
      <c r="BG383" s="260">
        <v>160</v>
      </c>
      <c r="BH383" s="271">
        <v>160</v>
      </c>
      <c r="BI383" s="276"/>
      <c r="BJ383" s="276"/>
      <c r="BK383" s="276"/>
      <c r="BL383" s="275"/>
      <c r="BM383" s="280" t="s">
        <v>144</v>
      </c>
      <c r="BN383" s="272">
        <v>10</v>
      </c>
      <c r="BO383" s="270">
        <v>10</v>
      </c>
      <c r="BP383" s="272"/>
      <c r="BQ383" s="260"/>
      <c r="BR383" s="260"/>
      <c r="BS383" s="260"/>
      <c r="BT383" s="260"/>
      <c r="BU383" s="260"/>
      <c r="BV383" s="260">
        <v>5</v>
      </c>
      <c r="BW383" s="260">
        <v>40</v>
      </c>
      <c r="BX383" s="260"/>
      <c r="BY383" s="260"/>
      <c r="BZ383" s="260"/>
      <c r="CA383" s="260"/>
      <c r="CB383" s="260"/>
      <c r="CC383" s="260"/>
      <c r="CD383" s="260">
        <v>40</v>
      </c>
      <c r="CE383" s="260">
        <v>80</v>
      </c>
      <c r="CF383" s="272"/>
      <c r="CG383" s="260"/>
      <c r="CH383" s="260"/>
      <c r="CI383" s="260"/>
      <c r="CJ383" s="260"/>
      <c r="CK383" s="260"/>
      <c r="CL383" s="260"/>
      <c r="CM383" s="260"/>
      <c r="CN383" s="260">
        <v>10</v>
      </c>
      <c r="CO383" s="260">
        <v>20</v>
      </c>
      <c r="CP383" s="260">
        <v>40</v>
      </c>
      <c r="CQ383" s="260">
        <v>80</v>
      </c>
      <c r="CR383" s="260">
        <v>20</v>
      </c>
      <c r="CS383" s="270">
        <v>40</v>
      </c>
      <c r="CT383" s="279" t="s">
        <v>144</v>
      </c>
      <c r="CU383" s="249">
        <f>Table2821115[[#This Row],[D28 - BR/18]]/Table2821115[[#This Row],[D0 - BR/18]]</f>
        <v>2</v>
      </c>
      <c r="CV383" s="248">
        <f>Table2821115[[#This Row],[D28 - KS/17]]/Table2821115[[#This Row],[D0 - KS/17]]</f>
        <v>2</v>
      </c>
      <c r="CW383" s="248">
        <f>Table2821115[[#This Row],[D28 - Phu/13]]/Table2821115[[#This Row],[D0 - Phu/13]]</f>
        <v>2</v>
      </c>
      <c r="CX383" s="248">
        <f>Table2821115[[#This Row],[D28 - CO/17]]/Table2821115[[#This Row],[D0 - CO/17]]</f>
        <v>2</v>
      </c>
      <c r="CY383" s="248">
        <f>LOG(Table2821115[[#This Row],[BR/18 Fold]],2)</f>
        <v>1</v>
      </c>
      <c r="CZ383" s="248">
        <f>LOG(Table2821115[[#This Row],[KS/17 Fold]],2)</f>
        <v>1</v>
      </c>
      <c r="DA383" s="248">
        <f>LOG(Table2821115[[#This Row],[Phu/13 Fold]],2)</f>
        <v>1</v>
      </c>
      <c r="DB383" s="248">
        <f>LOG(Table2821115[[#This Row],[CO/17 Fold]],2)</f>
        <v>1</v>
      </c>
      <c r="DC383" s="248">
        <f>SUM(Table2821115[[#This Row],[BR/18 Log2]:[CO/17 Log2]])</f>
        <v>4</v>
      </c>
    </row>
    <row r="384" spans="1:107" ht="24" customHeight="1">
      <c r="A384" s="282" t="s">
        <v>145</v>
      </c>
      <c r="B384" s="151">
        <v>37712</v>
      </c>
      <c r="C384" s="151">
        <v>43788</v>
      </c>
      <c r="D384" s="150">
        <v>16</v>
      </c>
      <c r="E384" s="3" t="s">
        <v>61</v>
      </c>
      <c r="F384" s="143" t="s">
        <v>146</v>
      </c>
      <c r="G384" s="142">
        <v>20.359141198353232</v>
      </c>
      <c r="H384" s="11" t="s">
        <v>59</v>
      </c>
      <c r="I384" s="281" t="s">
        <v>60</v>
      </c>
      <c r="J384" s="260">
        <v>5</v>
      </c>
      <c r="K384" s="260">
        <v>5</v>
      </c>
      <c r="L384" s="260"/>
      <c r="M384" s="260"/>
      <c r="N384" s="260"/>
      <c r="O384" s="260"/>
      <c r="P384" s="260"/>
      <c r="Q384" s="260"/>
      <c r="R384" s="260"/>
      <c r="S384" s="260"/>
      <c r="T384" s="260"/>
      <c r="U384" s="260"/>
      <c r="V384" s="260">
        <v>5</v>
      </c>
      <c r="W384" s="260">
        <v>5</v>
      </c>
      <c r="X384" s="260">
        <v>80</v>
      </c>
      <c r="Y384" s="260">
        <v>80</v>
      </c>
      <c r="Z384" s="260">
        <v>160</v>
      </c>
      <c r="AA384" s="260">
        <v>160</v>
      </c>
      <c r="AB384" s="260">
        <v>80</v>
      </c>
      <c r="AC384" s="260">
        <v>80</v>
      </c>
      <c r="AD384" s="260"/>
      <c r="AE384" s="260"/>
      <c r="AF384" s="260"/>
      <c r="AG384" s="260"/>
      <c r="AH384" s="174" t="s">
        <v>145</v>
      </c>
      <c r="AI384" s="272">
        <v>10</v>
      </c>
      <c r="AJ384" s="271">
        <v>5</v>
      </c>
      <c r="AK384" s="260"/>
      <c r="AL384" s="260"/>
      <c r="AM384" s="260"/>
      <c r="AN384" s="260"/>
      <c r="AO384" s="260"/>
      <c r="AP384" s="260"/>
      <c r="AQ384" s="260"/>
      <c r="AR384" s="260"/>
      <c r="AS384" s="260"/>
      <c r="AT384" s="260"/>
      <c r="AU384" s="260">
        <v>160</v>
      </c>
      <c r="AV384" s="271">
        <v>320</v>
      </c>
      <c r="AW384" s="260">
        <v>160</v>
      </c>
      <c r="AX384" s="271">
        <v>160</v>
      </c>
      <c r="AY384" s="260">
        <v>160</v>
      </c>
      <c r="AZ384" s="271">
        <v>320</v>
      </c>
      <c r="BA384" s="276">
        <v>160</v>
      </c>
      <c r="BB384" s="276">
        <v>320</v>
      </c>
      <c r="BC384" s="276"/>
      <c r="BD384" s="276"/>
      <c r="BE384" s="276">
        <v>80</v>
      </c>
      <c r="BF384" s="276">
        <v>80</v>
      </c>
      <c r="BG384" s="260">
        <v>320</v>
      </c>
      <c r="BH384" s="271">
        <v>320</v>
      </c>
      <c r="BI384" s="276"/>
      <c r="BJ384" s="276"/>
      <c r="BK384" s="276"/>
      <c r="BL384" s="275"/>
      <c r="BM384" s="280" t="s">
        <v>145</v>
      </c>
      <c r="BN384" s="272">
        <v>320</v>
      </c>
      <c r="BO384" s="270">
        <v>320</v>
      </c>
      <c r="BP384" s="272"/>
      <c r="BQ384" s="260"/>
      <c r="BR384" s="260"/>
      <c r="BS384" s="260"/>
      <c r="BT384" s="260"/>
      <c r="BU384" s="260"/>
      <c r="BV384" s="260">
        <v>160</v>
      </c>
      <c r="BW384" s="260">
        <v>160</v>
      </c>
      <c r="BX384" s="260"/>
      <c r="BY384" s="260"/>
      <c r="BZ384" s="260"/>
      <c r="CA384" s="260"/>
      <c r="CB384" s="260"/>
      <c r="CC384" s="260"/>
      <c r="CD384" s="260">
        <v>160</v>
      </c>
      <c r="CE384" s="260">
        <v>160</v>
      </c>
      <c r="CF384" s="272"/>
      <c r="CG384" s="260"/>
      <c r="CH384" s="260"/>
      <c r="CI384" s="260"/>
      <c r="CJ384" s="260"/>
      <c r="CK384" s="260"/>
      <c r="CL384" s="260"/>
      <c r="CM384" s="260"/>
      <c r="CN384" s="260">
        <v>80</v>
      </c>
      <c r="CO384" s="260">
        <v>320</v>
      </c>
      <c r="CP384" s="260">
        <v>320</v>
      </c>
      <c r="CQ384" s="260">
        <v>320</v>
      </c>
      <c r="CR384" s="260">
        <v>160</v>
      </c>
      <c r="CS384" s="270">
        <v>320</v>
      </c>
      <c r="CT384" s="279" t="s">
        <v>145</v>
      </c>
      <c r="CU384" s="249">
        <f>Table2821115[[#This Row],[D28 - BR/18]]/Table2821115[[#This Row],[D0 - BR/18]]</f>
        <v>1</v>
      </c>
      <c r="CV384" s="248">
        <f>Table2821115[[#This Row],[D28 - KS/17]]/Table2821115[[#This Row],[D0 - KS/17]]</f>
        <v>1</v>
      </c>
      <c r="CW384" s="248">
        <f>Table2821115[[#This Row],[D28 - Phu/13]]/Table2821115[[#This Row],[D0 - Phu/13]]</f>
        <v>1</v>
      </c>
      <c r="CX384" s="248">
        <f>Table2821115[[#This Row],[D28 - CO/17]]/Table2821115[[#This Row],[D0 - CO/17]]</f>
        <v>1</v>
      </c>
      <c r="CY384" s="248">
        <f>LOG(Table2821115[[#This Row],[BR/18 Fold]],2)</f>
        <v>0</v>
      </c>
      <c r="CZ384" s="248">
        <f>LOG(Table2821115[[#This Row],[KS/17 Fold]],2)</f>
        <v>0</v>
      </c>
      <c r="DA384" s="248">
        <f>LOG(Table2821115[[#This Row],[Phu/13 Fold]],2)</f>
        <v>0</v>
      </c>
      <c r="DB384" s="248">
        <f>LOG(Table2821115[[#This Row],[CO/17 Fold]],2)</f>
        <v>0</v>
      </c>
      <c r="DC384" s="248">
        <f>SUM(Table2821115[[#This Row],[BR/18 Log2]:[CO/17 Log2]])</f>
        <v>0</v>
      </c>
    </row>
    <row r="385" spans="1:107" ht="24" customHeight="1">
      <c r="A385" s="282" t="s">
        <v>147</v>
      </c>
      <c r="B385" s="151">
        <v>37737</v>
      </c>
      <c r="C385" s="151">
        <v>43743</v>
      </c>
      <c r="D385" s="150">
        <v>16</v>
      </c>
      <c r="E385" s="4" t="s">
        <v>58</v>
      </c>
      <c r="F385" s="143" t="s">
        <v>127</v>
      </c>
      <c r="G385" s="142">
        <v>20.659610741332582</v>
      </c>
      <c r="H385" s="11" t="s">
        <v>59</v>
      </c>
      <c r="I385" s="281" t="s">
        <v>60</v>
      </c>
      <c r="J385" s="260">
        <v>5</v>
      </c>
      <c r="K385" s="260">
        <v>5</v>
      </c>
      <c r="L385" s="260"/>
      <c r="M385" s="260"/>
      <c r="N385" s="260"/>
      <c r="O385" s="260"/>
      <c r="P385" s="260"/>
      <c r="Q385" s="260"/>
      <c r="R385" s="260"/>
      <c r="S385" s="260"/>
      <c r="T385" s="260"/>
      <c r="U385" s="260"/>
      <c r="V385" s="260">
        <v>5</v>
      </c>
      <c r="W385" s="260">
        <v>5</v>
      </c>
      <c r="X385" s="260">
        <v>80</v>
      </c>
      <c r="Y385" s="260">
        <v>80</v>
      </c>
      <c r="Z385" s="260">
        <v>80</v>
      </c>
      <c r="AA385" s="260">
        <v>160</v>
      </c>
      <c r="AB385" s="260">
        <v>40</v>
      </c>
      <c r="AC385" s="260">
        <v>40</v>
      </c>
      <c r="AD385" s="260"/>
      <c r="AE385" s="260"/>
      <c r="AF385" s="260"/>
      <c r="AG385" s="260"/>
      <c r="AH385" s="174" t="s">
        <v>147</v>
      </c>
      <c r="AI385" s="272">
        <v>20</v>
      </c>
      <c r="AJ385" s="271">
        <v>20</v>
      </c>
      <c r="AK385" s="260"/>
      <c r="AL385" s="260"/>
      <c r="AM385" s="260"/>
      <c r="AN385" s="260"/>
      <c r="AO385" s="260"/>
      <c r="AP385" s="260"/>
      <c r="AQ385" s="260"/>
      <c r="AR385" s="260"/>
      <c r="AS385" s="260"/>
      <c r="AT385" s="260"/>
      <c r="AU385" s="260">
        <v>320</v>
      </c>
      <c r="AV385" s="271">
        <v>320</v>
      </c>
      <c r="AW385" s="260">
        <v>160</v>
      </c>
      <c r="AX385" s="271">
        <v>320</v>
      </c>
      <c r="AY385" s="260">
        <v>80</v>
      </c>
      <c r="AZ385" s="271">
        <v>80</v>
      </c>
      <c r="BA385" s="276">
        <v>160</v>
      </c>
      <c r="BB385" s="276">
        <v>160</v>
      </c>
      <c r="BC385" s="276"/>
      <c r="BD385" s="276"/>
      <c r="BE385" s="276">
        <v>80</v>
      </c>
      <c r="BF385" s="276">
        <v>80</v>
      </c>
      <c r="BG385" s="260">
        <v>160</v>
      </c>
      <c r="BH385" s="271">
        <v>160</v>
      </c>
      <c r="BI385" s="276"/>
      <c r="BJ385" s="276"/>
      <c r="BK385" s="276"/>
      <c r="BL385" s="275"/>
      <c r="BM385" s="280" t="s">
        <v>147</v>
      </c>
      <c r="BN385" s="272">
        <v>40</v>
      </c>
      <c r="BO385" s="270">
        <v>40</v>
      </c>
      <c r="BP385" s="272"/>
      <c r="BQ385" s="260"/>
      <c r="BR385" s="260"/>
      <c r="BS385" s="260"/>
      <c r="BT385" s="260"/>
      <c r="BU385" s="260"/>
      <c r="BV385" s="260">
        <v>5</v>
      </c>
      <c r="BW385" s="260">
        <v>40</v>
      </c>
      <c r="BX385" s="260"/>
      <c r="BY385" s="260"/>
      <c r="BZ385" s="260"/>
      <c r="CA385" s="260"/>
      <c r="CB385" s="260"/>
      <c r="CC385" s="260"/>
      <c r="CD385" s="260">
        <v>40</v>
      </c>
      <c r="CE385" s="260">
        <v>40</v>
      </c>
      <c r="CF385" s="272"/>
      <c r="CG385" s="260"/>
      <c r="CH385" s="260"/>
      <c r="CI385" s="260"/>
      <c r="CJ385" s="260"/>
      <c r="CK385" s="260"/>
      <c r="CL385" s="260"/>
      <c r="CM385" s="260"/>
      <c r="CN385" s="260">
        <v>160</v>
      </c>
      <c r="CO385" s="260">
        <v>160</v>
      </c>
      <c r="CP385" s="260">
        <v>40</v>
      </c>
      <c r="CQ385" s="260">
        <v>40</v>
      </c>
      <c r="CR385" s="260">
        <v>20</v>
      </c>
      <c r="CS385" s="270">
        <v>40</v>
      </c>
      <c r="CT385" s="279" t="s">
        <v>147</v>
      </c>
      <c r="CU385" s="249">
        <f>Table2821115[[#This Row],[D28 - BR/18]]/Table2821115[[#This Row],[D0 - BR/18]]</f>
        <v>1</v>
      </c>
      <c r="CV385" s="248">
        <f>Table2821115[[#This Row],[D28 - KS/17]]/Table2821115[[#This Row],[D0 - KS/17]]</f>
        <v>1</v>
      </c>
      <c r="CW385" s="248">
        <f>Table2821115[[#This Row],[D28 - Phu/13]]/Table2821115[[#This Row],[D0 - Phu/13]]</f>
        <v>1</v>
      </c>
      <c r="CX385" s="248">
        <f>Table2821115[[#This Row],[D28 - CO/17]]/Table2821115[[#This Row],[D0 - CO/17]]</f>
        <v>1</v>
      </c>
      <c r="CY385" s="248">
        <f>LOG(Table2821115[[#This Row],[BR/18 Fold]],2)</f>
        <v>0</v>
      </c>
      <c r="CZ385" s="248">
        <f>LOG(Table2821115[[#This Row],[KS/17 Fold]],2)</f>
        <v>0</v>
      </c>
      <c r="DA385" s="248">
        <f>LOG(Table2821115[[#This Row],[Phu/13 Fold]],2)</f>
        <v>0</v>
      </c>
      <c r="DB385" s="248">
        <f>LOG(Table2821115[[#This Row],[CO/17 Fold]],2)</f>
        <v>0</v>
      </c>
      <c r="DC385" s="248">
        <f>SUM(Table2821115[[#This Row],[BR/18 Log2]:[CO/17 Log2]])</f>
        <v>0</v>
      </c>
    </row>
    <row r="386" spans="1:107" ht="24" customHeight="1">
      <c r="A386" s="282" t="s">
        <v>148</v>
      </c>
      <c r="B386" s="151">
        <v>38118</v>
      </c>
      <c r="C386" s="151">
        <v>43747</v>
      </c>
      <c r="D386" s="150">
        <v>15</v>
      </c>
      <c r="E386" s="3" t="s">
        <v>61</v>
      </c>
      <c r="F386" s="143" t="s">
        <v>127</v>
      </c>
      <c r="G386" s="142">
        <v>26.034841325105582</v>
      </c>
      <c r="H386" s="11" t="s">
        <v>59</v>
      </c>
      <c r="I386" s="281" t="s">
        <v>60</v>
      </c>
      <c r="J386" s="260">
        <v>5</v>
      </c>
      <c r="K386" s="260">
        <v>5</v>
      </c>
      <c r="L386" s="260"/>
      <c r="M386" s="260"/>
      <c r="N386" s="260"/>
      <c r="O386" s="260"/>
      <c r="P386" s="260"/>
      <c r="Q386" s="260"/>
      <c r="R386" s="260"/>
      <c r="S386" s="260"/>
      <c r="T386" s="260"/>
      <c r="U386" s="260"/>
      <c r="V386" s="260">
        <v>5</v>
      </c>
      <c r="W386" s="260">
        <v>5</v>
      </c>
      <c r="X386" s="260">
        <v>80</v>
      </c>
      <c r="Y386" s="260">
        <v>80</v>
      </c>
      <c r="Z386" s="260">
        <v>160</v>
      </c>
      <c r="AA386" s="260">
        <v>160</v>
      </c>
      <c r="AB386" s="260">
        <v>80</v>
      </c>
      <c r="AC386" s="260">
        <v>80</v>
      </c>
      <c r="AD386" s="260"/>
      <c r="AE386" s="260"/>
      <c r="AF386" s="260"/>
      <c r="AG386" s="260"/>
      <c r="AH386" s="174" t="s">
        <v>148</v>
      </c>
      <c r="AI386" s="272">
        <v>20</v>
      </c>
      <c r="AJ386" s="271">
        <v>40</v>
      </c>
      <c r="AK386" s="260"/>
      <c r="AL386" s="260"/>
      <c r="AM386" s="260"/>
      <c r="AN386" s="260"/>
      <c r="AO386" s="260"/>
      <c r="AP386" s="260"/>
      <c r="AQ386" s="260"/>
      <c r="AR386" s="260"/>
      <c r="AS386" s="260"/>
      <c r="AT386" s="260"/>
      <c r="AU386" s="260">
        <v>320</v>
      </c>
      <c r="AV386" s="271">
        <v>640</v>
      </c>
      <c r="AW386" s="260">
        <v>320</v>
      </c>
      <c r="AX386" s="271">
        <v>640</v>
      </c>
      <c r="AY386" s="260">
        <v>160</v>
      </c>
      <c r="AZ386" s="271">
        <v>320</v>
      </c>
      <c r="BA386" s="276">
        <v>320</v>
      </c>
      <c r="BB386" s="276">
        <v>640</v>
      </c>
      <c r="BC386" s="276"/>
      <c r="BD386" s="276"/>
      <c r="BE386" s="276">
        <v>10</v>
      </c>
      <c r="BF386" s="276">
        <v>160</v>
      </c>
      <c r="BG386" s="260">
        <v>320</v>
      </c>
      <c r="BH386" s="271">
        <v>320</v>
      </c>
      <c r="BI386" s="276"/>
      <c r="BJ386" s="276"/>
      <c r="BK386" s="276"/>
      <c r="BL386" s="275"/>
      <c r="BM386" s="280" t="s">
        <v>148</v>
      </c>
      <c r="BN386" s="272">
        <v>40</v>
      </c>
      <c r="BO386" s="270">
        <v>80</v>
      </c>
      <c r="BP386" s="272"/>
      <c r="BQ386" s="260"/>
      <c r="BR386" s="260"/>
      <c r="BS386" s="260"/>
      <c r="BT386" s="260"/>
      <c r="BU386" s="260"/>
      <c r="BV386" s="260">
        <v>5</v>
      </c>
      <c r="BW386" s="260">
        <v>5</v>
      </c>
      <c r="BX386" s="260"/>
      <c r="BY386" s="260"/>
      <c r="BZ386" s="260"/>
      <c r="CA386" s="260"/>
      <c r="CB386" s="260"/>
      <c r="CC386" s="260"/>
      <c r="CD386" s="260">
        <v>20</v>
      </c>
      <c r="CE386" s="260">
        <v>40</v>
      </c>
      <c r="CF386" s="272"/>
      <c r="CG386" s="260"/>
      <c r="CH386" s="260"/>
      <c r="CI386" s="260"/>
      <c r="CJ386" s="260"/>
      <c r="CK386" s="260"/>
      <c r="CL386" s="260"/>
      <c r="CM386" s="260"/>
      <c r="CN386" s="260">
        <v>40</v>
      </c>
      <c r="CO386" s="260">
        <v>80</v>
      </c>
      <c r="CP386" s="260">
        <v>80</v>
      </c>
      <c r="CQ386" s="260">
        <v>80</v>
      </c>
      <c r="CR386" s="260">
        <v>80</v>
      </c>
      <c r="CS386" s="270">
        <v>80</v>
      </c>
      <c r="CT386" s="279" t="s">
        <v>148</v>
      </c>
      <c r="CU386" s="249">
        <f>Table2821115[[#This Row],[D28 - BR/18]]/Table2821115[[#This Row],[D0 - BR/18]]</f>
        <v>1</v>
      </c>
      <c r="CV386" s="248">
        <f>Table2821115[[#This Row],[D28 - KS/17]]/Table2821115[[#This Row],[D0 - KS/17]]</f>
        <v>16</v>
      </c>
      <c r="CW386" s="248">
        <f>Table2821115[[#This Row],[D28 - Phu/13]]/Table2821115[[#This Row],[D0 - Phu/13]]</f>
        <v>2</v>
      </c>
      <c r="CX386" s="248">
        <f>Table2821115[[#This Row],[D28 - CO/17]]/Table2821115[[#This Row],[D0 - CO/17]]</f>
        <v>1</v>
      </c>
      <c r="CY386" s="248">
        <f>LOG(Table2821115[[#This Row],[BR/18 Fold]],2)</f>
        <v>0</v>
      </c>
      <c r="CZ386" s="248">
        <f>LOG(Table2821115[[#This Row],[KS/17 Fold]],2)</f>
        <v>4</v>
      </c>
      <c r="DA386" s="248">
        <f>LOG(Table2821115[[#This Row],[Phu/13 Fold]],2)</f>
        <v>1</v>
      </c>
      <c r="DB386" s="248">
        <f>LOG(Table2821115[[#This Row],[CO/17 Fold]],2)</f>
        <v>0</v>
      </c>
      <c r="DC386" s="248">
        <f>SUM(Table2821115[[#This Row],[BR/18 Log2]:[CO/17 Log2]])</f>
        <v>5</v>
      </c>
    </row>
    <row r="387" spans="1:107" ht="24" customHeight="1">
      <c r="A387" s="282" t="s">
        <v>149</v>
      </c>
      <c r="B387" s="151">
        <v>38226</v>
      </c>
      <c r="C387" s="151">
        <v>43770</v>
      </c>
      <c r="D387" s="150">
        <v>15</v>
      </c>
      <c r="E387" s="3" t="s">
        <v>61</v>
      </c>
      <c r="F387" s="143" t="s">
        <v>150</v>
      </c>
      <c r="G387" s="142">
        <v>23.736957223277997</v>
      </c>
      <c r="H387" s="11" t="s">
        <v>59</v>
      </c>
      <c r="I387" s="281" t="s">
        <v>60</v>
      </c>
      <c r="J387" s="260">
        <v>5</v>
      </c>
      <c r="K387" s="260">
        <v>5</v>
      </c>
      <c r="L387" s="260"/>
      <c r="M387" s="260"/>
      <c r="N387" s="260"/>
      <c r="O387" s="260"/>
      <c r="P387" s="260"/>
      <c r="Q387" s="260"/>
      <c r="R387" s="260"/>
      <c r="S387" s="260"/>
      <c r="T387" s="260"/>
      <c r="U387" s="260"/>
      <c r="V387" s="260">
        <v>5</v>
      </c>
      <c r="W387" s="260">
        <v>5</v>
      </c>
      <c r="X387" s="260">
        <v>160</v>
      </c>
      <c r="Y387" s="260">
        <v>320</v>
      </c>
      <c r="Z387" s="260">
        <v>320</v>
      </c>
      <c r="AA387" s="260">
        <v>640</v>
      </c>
      <c r="AB387" s="260">
        <v>160</v>
      </c>
      <c r="AC387" s="260">
        <v>160</v>
      </c>
      <c r="AD387" s="260"/>
      <c r="AE387" s="260"/>
      <c r="AF387" s="260"/>
      <c r="AG387" s="260"/>
      <c r="AH387" s="174" t="s">
        <v>149</v>
      </c>
      <c r="AI387" s="272">
        <v>5</v>
      </c>
      <c r="AJ387" s="271">
        <v>10</v>
      </c>
      <c r="AK387" s="260"/>
      <c r="AL387" s="260"/>
      <c r="AM387" s="260"/>
      <c r="AN387" s="260"/>
      <c r="AO387" s="260"/>
      <c r="AP387" s="260"/>
      <c r="AQ387" s="260"/>
      <c r="AR387" s="260"/>
      <c r="AS387" s="260"/>
      <c r="AT387" s="260"/>
      <c r="AU387" s="260">
        <v>160</v>
      </c>
      <c r="AV387" s="271">
        <v>160</v>
      </c>
      <c r="AW387" s="260">
        <v>160</v>
      </c>
      <c r="AX387" s="271">
        <v>160</v>
      </c>
      <c r="AY387" s="260">
        <v>80</v>
      </c>
      <c r="AZ387" s="271">
        <v>160</v>
      </c>
      <c r="BA387" s="276">
        <v>160</v>
      </c>
      <c r="BB387" s="276">
        <v>160</v>
      </c>
      <c r="BC387" s="276"/>
      <c r="BD387" s="276"/>
      <c r="BE387" s="276">
        <v>80</v>
      </c>
      <c r="BF387" s="276">
        <v>80</v>
      </c>
      <c r="BG387" s="260">
        <v>160</v>
      </c>
      <c r="BH387" s="271">
        <v>320</v>
      </c>
      <c r="BI387" s="276"/>
      <c r="BJ387" s="276"/>
      <c r="BK387" s="276"/>
      <c r="BL387" s="275"/>
      <c r="BM387" s="280" t="s">
        <v>149</v>
      </c>
      <c r="BN387" s="272">
        <v>5</v>
      </c>
      <c r="BO387" s="270">
        <v>10</v>
      </c>
      <c r="BP387" s="272"/>
      <c r="BQ387" s="260"/>
      <c r="BR387" s="260"/>
      <c r="BS387" s="260"/>
      <c r="BT387" s="260"/>
      <c r="BU387" s="260"/>
      <c r="BV387" s="260">
        <v>5</v>
      </c>
      <c r="BW387" s="260">
        <v>160</v>
      </c>
      <c r="BX387" s="260"/>
      <c r="BY387" s="260"/>
      <c r="BZ387" s="260"/>
      <c r="CA387" s="260"/>
      <c r="CB387" s="260"/>
      <c r="CC387" s="260"/>
      <c r="CD387" s="260">
        <v>40</v>
      </c>
      <c r="CE387" s="260">
        <v>160</v>
      </c>
      <c r="CF387" s="272"/>
      <c r="CG387" s="260"/>
      <c r="CH387" s="260"/>
      <c r="CI387" s="260"/>
      <c r="CJ387" s="260"/>
      <c r="CK387" s="260"/>
      <c r="CL387" s="260"/>
      <c r="CM387" s="260"/>
      <c r="CN387" s="260">
        <v>40</v>
      </c>
      <c r="CO387" s="260">
        <v>40</v>
      </c>
      <c r="CP387" s="260">
        <v>160</v>
      </c>
      <c r="CQ387" s="260">
        <v>160</v>
      </c>
      <c r="CR387" s="260">
        <v>40</v>
      </c>
      <c r="CS387" s="270">
        <v>80</v>
      </c>
      <c r="CT387" s="279" t="s">
        <v>149</v>
      </c>
      <c r="CU387" s="249">
        <f>Table2821115[[#This Row],[D28 - BR/18]]/Table2821115[[#This Row],[D0 - BR/18]]</f>
        <v>1</v>
      </c>
      <c r="CV387" s="248">
        <f>Table2821115[[#This Row],[D28 - KS/17]]/Table2821115[[#This Row],[D0 - KS/17]]</f>
        <v>1</v>
      </c>
      <c r="CW387" s="248">
        <f>Table2821115[[#This Row],[D28 - Phu/13]]/Table2821115[[#This Row],[D0 - Phu/13]]</f>
        <v>4</v>
      </c>
      <c r="CX387" s="248">
        <f>Table2821115[[#This Row],[D28 - CO/17]]/Table2821115[[#This Row],[D0 - CO/17]]</f>
        <v>1</v>
      </c>
      <c r="CY387" s="248">
        <f>LOG(Table2821115[[#This Row],[BR/18 Fold]],2)</f>
        <v>0</v>
      </c>
      <c r="CZ387" s="248">
        <f>LOG(Table2821115[[#This Row],[KS/17 Fold]],2)</f>
        <v>0</v>
      </c>
      <c r="DA387" s="248">
        <f>LOG(Table2821115[[#This Row],[Phu/13 Fold]],2)</f>
        <v>2</v>
      </c>
      <c r="DB387" s="248">
        <f>LOG(Table2821115[[#This Row],[CO/17 Fold]],2)</f>
        <v>0</v>
      </c>
      <c r="DC387" s="248">
        <f>SUM(Table2821115[[#This Row],[BR/18 Log2]:[CO/17 Log2]])</f>
        <v>2</v>
      </c>
    </row>
    <row r="388" spans="1:107" ht="24" customHeight="1">
      <c r="A388" s="282" t="s">
        <v>151</v>
      </c>
      <c r="B388" s="151">
        <v>37505</v>
      </c>
      <c r="C388" s="151">
        <v>43775</v>
      </c>
      <c r="D388" s="150">
        <v>17</v>
      </c>
      <c r="E388" s="3" t="s">
        <v>61</v>
      </c>
      <c r="F388" s="143" t="s">
        <v>116</v>
      </c>
      <c r="G388" s="142">
        <v>19.114235923321917</v>
      </c>
      <c r="H388" s="11" t="s">
        <v>59</v>
      </c>
      <c r="I388" s="281" t="s">
        <v>60</v>
      </c>
      <c r="J388" s="260">
        <v>5</v>
      </c>
      <c r="K388" s="260">
        <v>5</v>
      </c>
      <c r="L388" s="260"/>
      <c r="M388" s="260"/>
      <c r="N388" s="260"/>
      <c r="O388" s="260"/>
      <c r="P388" s="260"/>
      <c r="Q388" s="260"/>
      <c r="R388" s="260"/>
      <c r="S388" s="260"/>
      <c r="T388" s="260"/>
      <c r="U388" s="260"/>
      <c r="V388" s="260">
        <v>10</v>
      </c>
      <c r="W388" s="260">
        <v>10</v>
      </c>
      <c r="X388" s="260">
        <v>640</v>
      </c>
      <c r="Y388" s="260">
        <v>640</v>
      </c>
      <c r="Z388" s="260">
        <v>1280</v>
      </c>
      <c r="AA388" s="260">
        <v>1280</v>
      </c>
      <c r="AB388" s="260">
        <v>640</v>
      </c>
      <c r="AC388" s="260">
        <v>640</v>
      </c>
      <c r="AD388" s="260"/>
      <c r="AE388" s="260"/>
      <c r="AF388" s="260"/>
      <c r="AG388" s="260"/>
      <c r="AH388" s="174" t="s">
        <v>151</v>
      </c>
      <c r="AI388" s="272">
        <v>160</v>
      </c>
      <c r="AJ388" s="271">
        <v>160</v>
      </c>
      <c r="AK388" s="260"/>
      <c r="AL388" s="260"/>
      <c r="AM388" s="260"/>
      <c r="AN388" s="260"/>
      <c r="AO388" s="260"/>
      <c r="AP388" s="260"/>
      <c r="AQ388" s="260"/>
      <c r="AR388" s="260"/>
      <c r="AS388" s="260"/>
      <c r="AT388" s="260"/>
      <c r="AU388" s="260">
        <v>640</v>
      </c>
      <c r="AV388" s="271">
        <v>640</v>
      </c>
      <c r="AW388" s="260">
        <v>320</v>
      </c>
      <c r="AX388" s="271">
        <v>320</v>
      </c>
      <c r="AY388" s="260">
        <v>160</v>
      </c>
      <c r="AZ388" s="271">
        <v>160</v>
      </c>
      <c r="BA388" s="276">
        <v>320</v>
      </c>
      <c r="BB388" s="276">
        <v>320</v>
      </c>
      <c r="BC388" s="276"/>
      <c r="BD388" s="276"/>
      <c r="BE388" s="276">
        <v>80</v>
      </c>
      <c r="BF388" s="276">
        <v>80</v>
      </c>
      <c r="BG388" s="260">
        <v>640</v>
      </c>
      <c r="BH388" s="271">
        <v>640</v>
      </c>
      <c r="BI388" s="276"/>
      <c r="BJ388" s="276"/>
      <c r="BK388" s="276"/>
      <c r="BL388" s="275"/>
      <c r="BM388" s="280" t="s">
        <v>151</v>
      </c>
      <c r="BN388" s="272">
        <v>40</v>
      </c>
      <c r="BO388" s="270">
        <v>40</v>
      </c>
      <c r="BP388" s="272"/>
      <c r="BQ388" s="260"/>
      <c r="BR388" s="260"/>
      <c r="BS388" s="260"/>
      <c r="BT388" s="260"/>
      <c r="BU388" s="260"/>
      <c r="BV388" s="260">
        <v>320</v>
      </c>
      <c r="BW388" s="260">
        <v>320</v>
      </c>
      <c r="BX388" s="260"/>
      <c r="BY388" s="260"/>
      <c r="BZ388" s="260"/>
      <c r="CA388" s="260"/>
      <c r="CB388" s="260"/>
      <c r="CC388" s="260"/>
      <c r="CD388" s="260">
        <v>320</v>
      </c>
      <c r="CE388" s="260">
        <v>320</v>
      </c>
      <c r="CF388" s="272"/>
      <c r="CG388" s="260"/>
      <c r="CH388" s="260"/>
      <c r="CI388" s="260"/>
      <c r="CJ388" s="260"/>
      <c r="CK388" s="260"/>
      <c r="CL388" s="260"/>
      <c r="CM388" s="260"/>
      <c r="CN388" s="260">
        <v>80</v>
      </c>
      <c r="CO388" s="260">
        <v>80</v>
      </c>
      <c r="CP388" s="260">
        <v>320</v>
      </c>
      <c r="CQ388" s="260">
        <v>160</v>
      </c>
      <c r="CR388" s="260">
        <v>160</v>
      </c>
      <c r="CS388" s="270">
        <v>160</v>
      </c>
      <c r="CT388" s="279" t="s">
        <v>151</v>
      </c>
      <c r="CU388" s="249">
        <f>Table2821115[[#This Row],[D28 - BR/18]]/Table2821115[[#This Row],[D0 - BR/18]]</f>
        <v>1</v>
      </c>
      <c r="CV388" s="248">
        <f>Table2821115[[#This Row],[D28 - KS/17]]/Table2821115[[#This Row],[D0 - KS/17]]</f>
        <v>1</v>
      </c>
      <c r="CW388" s="248">
        <f>Table2821115[[#This Row],[D28 - Phu/13]]/Table2821115[[#This Row],[D0 - Phu/13]]</f>
        <v>1</v>
      </c>
      <c r="CX388" s="248">
        <f>Table2821115[[#This Row],[D28 - CO/17]]/Table2821115[[#This Row],[D0 - CO/17]]</f>
        <v>0.5</v>
      </c>
      <c r="CY388" s="248">
        <f>LOG(Table2821115[[#This Row],[BR/18 Fold]],2)</f>
        <v>0</v>
      </c>
      <c r="CZ388" s="248">
        <f>LOG(Table2821115[[#This Row],[KS/17 Fold]],2)</f>
        <v>0</v>
      </c>
      <c r="DA388" s="248">
        <f>LOG(Table2821115[[#This Row],[Phu/13 Fold]],2)</f>
        <v>0</v>
      </c>
      <c r="DB388" s="248">
        <f>LOG(Table2821115[[#This Row],[CO/17 Fold]],2)</f>
        <v>-1</v>
      </c>
      <c r="DC388" s="248">
        <f>SUM(Table2821115[[#This Row],[BR/18 Log2]:[CO/17 Log2]])</f>
        <v>-1</v>
      </c>
    </row>
    <row r="389" spans="1:107" ht="24" customHeight="1">
      <c r="A389" s="282" t="s">
        <v>152</v>
      </c>
      <c r="B389" s="151">
        <v>37962</v>
      </c>
      <c r="C389" s="151">
        <v>43775</v>
      </c>
      <c r="D389" s="150">
        <v>15</v>
      </c>
      <c r="E389" s="3" t="s">
        <v>61</v>
      </c>
      <c r="F389" s="143" t="s">
        <v>116</v>
      </c>
      <c r="G389" s="142">
        <v>20.187781171413405</v>
      </c>
      <c r="H389" s="11" t="s">
        <v>59</v>
      </c>
      <c r="I389" s="281" t="s">
        <v>60</v>
      </c>
      <c r="J389" s="260">
        <v>5</v>
      </c>
      <c r="K389" s="260">
        <v>5</v>
      </c>
      <c r="L389" s="260"/>
      <c r="M389" s="260"/>
      <c r="N389" s="260"/>
      <c r="O389" s="260"/>
      <c r="P389" s="260"/>
      <c r="Q389" s="260"/>
      <c r="R389" s="260"/>
      <c r="S389" s="260"/>
      <c r="T389" s="260"/>
      <c r="U389" s="260"/>
      <c r="V389" s="260">
        <v>5</v>
      </c>
      <c r="W389" s="260">
        <v>5</v>
      </c>
      <c r="X389" s="260">
        <v>640</v>
      </c>
      <c r="Y389" s="260">
        <v>640</v>
      </c>
      <c r="Z389" s="260">
        <v>1280</v>
      </c>
      <c r="AA389" s="260">
        <v>1280</v>
      </c>
      <c r="AB389" s="260">
        <v>320</v>
      </c>
      <c r="AC389" s="260">
        <v>640</v>
      </c>
      <c r="AD389" s="260"/>
      <c r="AE389" s="260"/>
      <c r="AF389" s="260"/>
      <c r="AG389" s="260"/>
      <c r="AH389" s="174" t="s">
        <v>152</v>
      </c>
      <c r="AI389" s="272">
        <v>10</v>
      </c>
      <c r="AJ389" s="271">
        <v>40</v>
      </c>
      <c r="AK389" s="260"/>
      <c r="AL389" s="260"/>
      <c r="AM389" s="260"/>
      <c r="AN389" s="260"/>
      <c r="AO389" s="260"/>
      <c r="AP389" s="260"/>
      <c r="AQ389" s="260"/>
      <c r="AR389" s="260"/>
      <c r="AS389" s="260"/>
      <c r="AT389" s="260"/>
      <c r="AU389" s="260">
        <v>320</v>
      </c>
      <c r="AV389" s="271">
        <v>640</v>
      </c>
      <c r="AW389" s="260">
        <v>320</v>
      </c>
      <c r="AX389" s="271">
        <v>320</v>
      </c>
      <c r="AY389" s="260">
        <v>320</v>
      </c>
      <c r="AZ389" s="271">
        <v>320</v>
      </c>
      <c r="BA389" s="276">
        <v>320</v>
      </c>
      <c r="BB389" s="276">
        <v>320</v>
      </c>
      <c r="BC389" s="276"/>
      <c r="BD389" s="276"/>
      <c r="BE389" s="276">
        <v>80</v>
      </c>
      <c r="BF389" s="276">
        <v>160</v>
      </c>
      <c r="BG389" s="260">
        <v>640</v>
      </c>
      <c r="BH389" s="271">
        <v>640</v>
      </c>
      <c r="BI389" s="276"/>
      <c r="BJ389" s="276"/>
      <c r="BK389" s="276"/>
      <c r="BL389" s="275"/>
      <c r="BM389" s="280" t="s">
        <v>152</v>
      </c>
      <c r="BN389" s="272">
        <v>320</v>
      </c>
      <c r="BO389" s="270">
        <v>320</v>
      </c>
      <c r="BP389" s="272"/>
      <c r="BQ389" s="260"/>
      <c r="BR389" s="260"/>
      <c r="BS389" s="260"/>
      <c r="BT389" s="260"/>
      <c r="BU389" s="260"/>
      <c r="BV389" s="260">
        <v>160</v>
      </c>
      <c r="BW389" s="260">
        <v>160</v>
      </c>
      <c r="BX389" s="260"/>
      <c r="BY389" s="260"/>
      <c r="BZ389" s="260"/>
      <c r="CA389" s="260"/>
      <c r="CB389" s="260"/>
      <c r="CC389" s="260"/>
      <c r="CD389" s="260">
        <v>80</v>
      </c>
      <c r="CE389" s="260">
        <v>80</v>
      </c>
      <c r="CF389" s="272"/>
      <c r="CG389" s="260"/>
      <c r="CH389" s="260"/>
      <c r="CI389" s="260"/>
      <c r="CJ389" s="260"/>
      <c r="CK389" s="260"/>
      <c r="CL389" s="260"/>
      <c r="CM389" s="260"/>
      <c r="CN389" s="260">
        <v>160</v>
      </c>
      <c r="CO389" s="260">
        <v>160</v>
      </c>
      <c r="CP389" s="260">
        <v>160</v>
      </c>
      <c r="CQ389" s="260">
        <v>80</v>
      </c>
      <c r="CR389" s="260">
        <v>80</v>
      </c>
      <c r="CS389" s="270">
        <v>80</v>
      </c>
      <c r="CT389" s="279" t="s">
        <v>152</v>
      </c>
      <c r="CU389" s="249">
        <f>Table2821115[[#This Row],[D28 - BR/18]]/Table2821115[[#This Row],[D0 - BR/18]]</f>
        <v>2</v>
      </c>
      <c r="CV389" s="248">
        <f>Table2821115[[#This Row],[D28 - KS/17]]/Table2821115[[#This Row],[D0 - KS/17]]</f>
        <v>2</v>
      </c>
      <c r="CW389" s="248">
        <f>Table2821115[[#This Row],[D28 - Phu/13]]/Table2821115[[#This Row],[D0 - Phu/13]]</f>
        <v>1</v>
      </c>
      <c r="CX389" s="248">
        <f>Table2821115[[#This Row],[D28 - CO/17]]/Table2821115[[#This Row],[D0 - CO/17]]</f>
        <v>0.5</v>
      </c>
      <c r="CY389" s="248">
        <f>LOG(Table2821115[[#This Row],[BR/18 Fold]],2)</f>
        <v>1</v>
      </c>
      <c r="CZ389" s="248">
        <f>LOG(Table2821115[[#This Row],[KS/17 Fold]],2)</f>
        <v>1</v>
      </c>
      <c r="DA389" s="248">
        <f>LOG(Table2821115[[#This Row],[Phu/13 Fold]],2)</f>
        <v>0</v>
      </c>
      <c r="DB389" s="248">
        <f>LOG(Table2821115[[#This Row],[CO/17 Fold]],2)</f>
        <v>-1</v>
      </c>
      <c r="DC389" s="248">
        <f>SUM(Table2821115[[#This Row],[BR/18 Log2]:[CO/17 Log2]])</f>
        <v>1</v>
      </c>
    </row>
    <row r="390" spans="1:107" ht="24" customHeight="1">
      <c r="A390" s="282" t="s">
        <v>153</v>
      </c>
      <c r="B390" s="151">
        <v>38216</v>
      </c>
      <c r="C390" s="151">
        <v>43747</v>
      </c>
      <c r="D390" s="150">
        <v>15</v>
      </c>
      <c r="E390" s="3" t="s">
        <v>61</v>
      </c>
      <c r="F390" s="143" t="s">
        <v>116</v>
      </c>
      <c r="G390" s="142">
        <v>22.589551436050055</v>
      </c>
      <c r="H390" s="11" t="s">
        <v>59</v>
      </c>
      <c r="I390" s="281" t="s">
        <v>60</v>
      </c>
      <c r="J390" s="260">
        <v>5</v>
      </c>
      <c r="K390" s="260">
        <v>5</v>
      </c>
      <c r="L390" s="260"/>
      <c r="M390" s="260"/>
      <c r="N390" s="260"/>
      <c r="O390" s="260"/>
      <c r="P390" s="260"/>
      <c r="Q390" s="260"/>
      <c r="R390" s="260"/>
      <c r="S390" s="260"/>
      <c r="T390" s="260"/>
      <c r="U390" s="260"/>
      <c r="V390" s="260">
        <v>5</v>
      </c>
      <c r="W390" s="260">
        <v>5</v>
      </c>
      <c r="X390" s="260">
        <v>20</v>
      </c>
      <c r="Y390" s="260">
        <v>80</v>
      </c>
      <c r="Z390" s="260">
        <v>40</v>
      </c>
      <c r="AA390" s="260">
        <v>160</v>
      </c>
      <c r="AB390" s="260">
        <v>40</v>
      </c>
      <c r="AC390" s="260">
        <v>40</v>
      </c>
      <c r="AD390" s="260"/>
      <c r="AE390" s="260"/>
      <c r="AF390" s="260"/>
      <c r="AG390" s="260"/>
      <c r="AH390" s="174" t="s">
        <v>153</v>
      </c>
      <c r="AI390" s="272">
        <v>40</v>
      </c>
      <c r="AJ390" s="271">
        <v>80</v>
      </c>
      <c r="AK390" s="260"/>
      <c r="AL390" s="260"/>
      <c r="AM390" s="260"/>
      <c r="AN390" s="260"/>
      <c r="AO390" s="260"/>
      <c r="AP390" s="260"/>
      <c r="AQ390" s="260"/>
      <c r="AR390" s="260"/>
      <c r="AS390" s="260"/>
      <c r="AT390" s="260"/>
      <c r="AU390" s="260">
        <v>1280</v>
      </c>
      <c r="AV390" s="271">
        <v>2560</v>
      </c>
      <c r="AW390" s="260">
        <v>640</v>
      </c>
      <c r="AX390" s="271">
        <v>1280</v>
      </c>
      <c r="AY390" s="260">
        <v>640</v>
      </c>
      <c r="AZ390" s="271">
        <v>1280</v>
      </c>
      <c r="BA390" s="276">
        <v>1280</v>
      </c>
      <c r="BB390" s="276">
        <v>1280</v>
      </c>
      <c r="BC390" s="276"/>
      <c r="BD390" s="276"/>
      <c r="BE390" s="276">
        <v>40</v>
      </c>
      <c r="BF390" s="276">
        <v>160</v>
      </c>
      <c r="BG390" s="260">
        <v>1280</v>
      </c>
      <c r="BH390" s="271">
        <v>2560</v>
      </c>
      <c r="BI390" s="276"/>
      <c r="BJ390" s="276"/>
      <c r="BK390" s="276"/>
      <c r="BL390" s="275"/>
      <c r="BM390" s="280" t="s">
        <v>153</v>
      </c>
      <c r="BN390" s="272">
        <v>20</v>
      </c>
      <c r="BO390" s="270">
        <v>40</v>
      </c>
      <c r="BP390" s="272"/>
      <c r="BQ390" s="260"/>
      <c r="BR390" s="260"/>
      <c r="BS390" s="260"/>
      <c r="BT390" s="260"/>
      <c r="BU390" s="260"/>
      <c r="BV390" s="260">
        <v>5</v>
      </c>
      <c r="BW390" s="260">
        <v>5</v>
      </c>
      <c r="BX390" s="260"/>
      <c r="BY390" s="260"/>
      <c r="BZ390" s="260"/>
      <c r="CA390" s="260"/>
      <c r="CB390" s="260"/>
      <c r="CC390" s="260"/>
      <c r="CD390" s="260">
        <v>20</v>
      </c>
      <c r="CE390" s="260">
        <v>40</v>
      </c>
      <c r="CF390" s="272"/>
      <c r="CG390" s="260"/>
      <c r="CH390" s="260"/>
      <c r="CI390" s="260"/>
      <c r="CJ390" s="260"/>
      <c r="CK390" s="260"/>
      <c r="CL390" s="260"/>
      <c r="CM390" s="260"/>
      <c r="CN390" s="260">
        <v>160</v>
      </c>
      <c r="CO390" s="260">
        <v>160</v>
      </c>
      <c r="CP390" s="260">
        <v>40</v>
      </c>
      <c r="CQ390" s="260">
        <v>40</v>
      </c>
      <c r="CR390" s="260">
        <v>40</v>
      </c>
      <c r="CS390" s="270">
        <v>80</v>
      </c>
      <c r="CT390" s="279" t="s">
        <v>153</v>
      </c>
      <c r="CU390" s="249">
        <f>Table2821115[[#This Row],[D28 - BR/18]]/Table2821115[[#This Row],[D0 - BR/18]]</f>
        <v>1</v>
      </c>
      <c r="CV390" s="248">
        <f>Table2821115[[#This Row],[D28 - KS/17]]/Table2821115[[#This Row],[D0 - KS/17]]</f>
        <v>4</v>
      </c>
      <c r="CW390" s="248">
        <f>Table2821115[[#This Row],[D28 - Phu/13]]/Table2821115[[#This Row],[D0 - Phu/13]]</f>
        <v>2</v>
      </c>
      <c r="CX390" s="248">
        <f>Table2821115[[#This Row],[D28 - CO/17]]/Table2821115[[#This Row],[D0 - CO/17]]</f>
        <v>1</v>
      </c>
      <c r="CY390" s="248">
        <f>LOG(Table2821115[[#This Row],[BR/18 Fold]],2)</f>
        <v>0</v>
      </c>
      <c r="CZ390" s="248">
        <f>LOG(Table2821115[[#This Row],[KS/17 Fold]],2)</f>
        <v>2</v>
      </c>
      <c r="DA390" s="248">
        <f>LOG(Table2821115[[#This Row],[Phu/13 Fold]],2)</f>
        <v>1</v>
      </c>
      <c r="DB390" s="248">
        <f>LOG(Table2821115[[#This Row],[CO/17 Fold]],2)</f>
        <v>0</v>
      </c>
      <c r="DC390" s="248">
        <f>SUM(Table2821115[[#This Row],[BR/18 Log2]:[CO/17 Log2]])</f>
        <v>3</v>
      </c>
    </row>
    <row r="391" spans="1:107" ht="24" customHeight="1">
      <c r="A391" s="282" t="s">
        <v>154</v>
      </c>
      <c r="B391" s="151">
        <v>38301</v>
      </c>
      <c r="C391" s="151">
        <v>43792</v>
      </c>
      <c r="D391" s="150">
        <v>15</v>
      </c>
      <c r="E391" s="4" t="s">
        <v>58</v>
      </c>
      <c r="F391" s="143" t="s">
        <v>116</v>
      </c>
      <c r="G391" s="142">
        <v>19.598136947586553</v>
      </c>
      <c r="H391" s="11" t="s">
        <v>59</v>
      </c>
      <c r="I391" s="281" t="s">
        <v>60</v>
      </c>
      <c r="J391" s="260">
        <v>5</v>
      </c>
      <c r="K391" s="260">
        <v>5</v>
      </c>
      <c r="L391" s="260"/>
      <c r="M391" s="260"/>
      <c r="N391" s="260"/>
      <c r="O391" s="260"/>
      <c r="P391" s="260"/>
      <c r="Q391" s="260"/>
      <c r="R391" s="260"/>
      <c r="S391" s="260"/>
      <c r="T391" s="260"/>
      <c r="U391" s="260"/>
      <c r="V391" s="260">
        <v>5</v>
      </c>
      <c r="W391" s="260">
        <v>5</v>
      </c>
      <c r="X391" s="260">
        <v>320</v>
      </c>
      <c r="Y391" s="260">
        <v>320</v>
      </c>
      <c r="Z391" s="260">
        <v>320</v>
      </c>
      <c r="AA391" s="260">
        <v>640</v>
      </c>
      <c r="AB391" s="260">
        <v>160</v>
      </c>
      <c r="AC391" s="260">
        <v>320</v>
      </c>
      <c r="AD391" s="260"/>
      <c r="AE391" s="260"/>
      <c r="AF391" s="260"/>
      <c r="AG391" s="260"/>
      <c r="AH391" s="174" t="s">
        <v>154</v>
      </c>
      <c r="AI391" s="272">
        <v>20</v>
      </c>
      <c r="AJ391" s="271">
        <v>40</v>
      </c>
      <c r="AK391" s="260"/>
      <c r="AL391" s="260"/>
      <c r="AM391" s="260"/>
      <c r="AN391" s="260"/>
      <c r="AO391" s="260"/>
      <c r="AP391" s="260"/>
      <c r="AQ391" s="260"/>
      <c r="AR391" s="260"/>
      <c r="AS391" s="260"/>
      <c r="AT391" s="260"/>
      <c r="AU391" s="260">
        <v>640</v>
      </c>
      <c r="AV391" s="271">
        <v>1280</v>
      </c>
      <c r="AW391" s="260">
        <v>640</v>
      </c>
      <c r="AX391" s="271">
        <v>640</v>
      </c>
      <c r="AY391" s="260">
        <v>320</v>
      </c>
      <c r="AZ391" s="271">
        <v>320</v>
      </c>
      <c r="BA391" s="276">
        <v>640</v>
      </c>
      <c r="BB391" s="276">
        <v>320</v>
      </c>
      <c r="BC391" s="276"/>
      <c r="BD391" s="276"/>
      <c r="BE391" s="276">
        <v>10</v>
      </c>
      <c r="BF391" s="276">
        <v>20</v>
      </c>
      <c r="BG391" s="260">
        <v>640</v>
      </c>
      <c r="BH391" s="271">
        <v>1280</v>
      </c>
      <c r="BI391" s="276"/>
      <c r="BJ391" s="276"/>
      <c r="BK391" s="276"/>
      <c r="BL391" s="275"/>
      <c r="BM391" s="280" t="s">
        <v>154</v>
      </c>
      <c r="BN391" s="272">
        <v>20</v>
      </c>
      <c r="BO391" s="270">
        <v>40</v>
      </c>
      <c r="BP391" s="272"/>
      <c r="BQ391" s="260"/>
      <c r="BR391" s="260"/>
      <c r="BS391" s="260"/>
      <c r="BT391" s="260"/>
      <c r="BU391" s="260"/>
      <c r="BV391" s="260">
        <v>80</v>
      </c>
      <c r="BW391" s="260">
        <v>160</v>
      </c>
      <c r="BX391" s="260"/>
      <c r="BY391" s="260"/>
      <c r="BZ391" s="260"/>
      <c r="CA391" s="260"/>
      <c r="CB391" s="260"/>
      <c r="CC391" s="260"/>
      <c r="CD391" s="260">
        <v>80</v>
      </c>
      <c r="CE391" s="260">
        <v>160</v>
      </c>
      <c r="CF391" s="272"/>
      <c r="CG391" s="260"/>
      <c r="CH391" s="260"/>
      <c r="CI391" s="260"/>
      <c r="CJ391" s="260"/>
      <c r="CK391" s="260"/>
      <c r="CL391" s="260"/>
      <c r="CM391" s="260"/>
      <c r="CN391" s="260">
        <v>20</v>
      </c>
      <c r="CO391" s="260">
        <v>40</v>
      </c>
      <c r="CP391" s="260">
        <v>40</v>
      </c>
      <c r="CQ391" s="260">
        <v>40</v>
      </c>
      <c r="CR391" s="260">
        <v>20</v>
      </c>
      <c r="CS391" s="270">
        <v>40</v>
      </c>
      <c r="CT391" s="279" t="s">
        <v>154</v>
      </c>
      <c r="CU391" s="249">
        <f>Table2821115[[#This Row],[D28 - BR/18]]/Table2821115[[#This Row],[D0 - BR/18]]</f>
        <v>2</v>
      </c>
      <c r="CV391" s="248">
        <f>Table2821115[[#This Row],[D28 - KS/17]]/Table2821115[[#This Row],[D0 - KS/17]]</f>
        <v>2</v>
      </c>
      <c r="CW391" s="248">
        <f>Table2821115[[#This Row],[D28 - Phu/13]]/Table2821115[[#This Row],[D0 - Phu/13]]</f>
        <v>2</v>
      </c>
      <c r="CX391" s="248">
        <f>Table2821115[[#This Row],[D28 - CO/17]]/Table2821115[[#This Row],[D0 - CO/17]]</f>
        <v>1</v>
      </c>
      <c r="CY391" s="248">
        <f>LOG(Table2821115[[#This Row],[BR/18 Fold]],2)</f>
        <v>1</v>
      </c>
      <c r="CZ391" s="248">
        <f>LOG(Table2821115[[#This Row],[KS/17 Fold]],2)</f>
        <v>1</v>
      </c>
      <c r="DA391" s="248">
        <f>LOG(Table2821115[[#This Row],[Phu/13 Fold]],2)</f>
        <v>1</v>
      </c>
      <c r="DB391" s="248">
        <f>LOG(Table2821115[[#This Row],[CO/17 Fold]],2)</f>
        <v>0</v>
      </c>
      <c r="DC391" s="248">
        <f>SUM(Table2821115[[#This Row],[BR/18 Log2]:[CO/17 Log2]])</f>
        <v>3</v>
      </c>
    </row>
    <row r="392" spans="1:107" ht="24" customHeight="1">
      <c r="A392" s="282" t="s">
        <v>155</v>
      </c>
      <c r="B392" s="151">
        <v>37932</v>
      </c>
      <c r="C392" s="151">
        <v>43783</v>
      </c>
      <c r="D392" s="150">
        <v>16</v>
      </c>
      <c r="E392" s="4" t="s">
        <v>58</v>
      </c>
      <c r="F392" s="143" t="s">
        <v>116</v>
      </c>
      <c r="G392" s="142">
        <v>32.226326073950553</v>
      </c>
      <c r="H392" s="11" t="s">
        <v>59</v>
      </c>
      <c r="I392" s="281" t="s">
        <v>60</v>
      </c>
      <c r="J392" s="260">
        <v>5</v>
      </c>
      <c r="K392" s="260">
        <v>5</v>
      </c>
      <c r="L392" s="260"/>
      <c r="M392" s="260"/>
      <c r="N392" s="260"/>
      <c r="O392" s="260"/>
      <c r="P392" s="260"/>
      <c r="Q392" s="260"/>
      <c r="R392" s="260"/>
      <c r="S392" s="260"/>
      <c r="T392" s="260"/>
      <c r="U392" s="260"/>
      <c r="V392" s="260">
        <v>20</v>
      </c>
      <c r="W392" s="260">
        <v>20</v>
      </c>
      <c r="X392" s="260">
        <v>160</v>
      </c>
      <c r="Y392" s="260">
        <v>160</v>
      </c>
      <c r="Z392" s="260">
        <v>320</v>
      </c>
      <c r="AA392" s="260">
        <v>640</v>
      </c>
      <c r="AB392" s="260">
        <v>160</v>
      </c>
      <c r="AC392" s="260">
        <v>160</v>
      </c>
      <c r="AD392" s="260"/>
      <c r="AE392" s="260"/>
      <c r="AF392" s="260"/>
      <c r="AG392" s="260"/>
      <c r="AH392" s="174" t="s">
        <v>155</v>
      </c>
      <c r="AI392" s="272">
        <v>5</v>
      </c>
      <c r="AJ392" s="271">
        <v>40</v>
      </c>
      <c r="AK392" s="260"/>
      <c r="AL392" s="260"/>
      <c r="AM392" s="260"/>
      <c r="AN392" s="260"/>
      <c r="AO392" s="260"/>
      <c r="AP392" s="260"/>
      <c r="AQ392" s="260"/>
      <c r="AR392" s="260"/>
      <c r="AS392" s="260"/>
      <c r="AT392" s="260"/>
      <c r="AU392" s="260">
        <v>320</v>
      </c>
      <c r="AV392" s="271">
        <v>640</v>
      </c>
      <c r="AW392" s="260">
        <v>160</v>
      </c>
      <c r="AX392" s="271">
        <v>640</v>
      </c>
      <c r="AY392" s="260">
        <v>160</v>
      </c>
      <c r="AZ392" s="271">
        <v>640</v>
      </c>
      <c r="BA392" s="276">
        <v>160</v>
      </c>
      <c r="BB392" s="276">
        <v>320</v>
      </c>
      <c r="BC392" s="276"/>
      <c r="BD392" s="276"/>
      <c r="BE392" s="276">
        <v>80</v>
      </c>
      <c r="BF392" s="276">
        <v>320</v>
      </c>
      <c r="BG392" s="260">
        <v>160</v>
      </c>
      <c r="BH392" s="271">
        <v>320</v>
      </c>
      <c r="BI392" s="276"/>
      <c r="BJ392" s="276"/>
      <c r="BK392" s="276"/>
      <c r="BL392" s="275"/>
      <c r="BM392" s="280" t="s">
        <v>155</v>
      </c>
      <c r="BN392" s="272">
        <v>40</v>
      </c>
      <c r="BO392" s="270">
        <v>80</v>
      </c>
      <c r="BP392" s="272"/>
      <c r="BQ392" s="260"/>
      <c r="BR392" s="260"/>
      <c r="BS392" s="260"/>
      <c r="BT392" s="260"/>
      <c r="BU392" s="260"/>
      <c r="BV392" s="260">
        <v>5</v>
      </c>
      <c r="BW392" s="260">
        <v>320</v>
      </c>
      <c r="BX392" s="260"/>
      <c r="BY392" s="260"/>
      <c r="BZ392" s="260"/>
      <c r="CA392" s="260"/>
      <c r="CB392" s="260"/>
      <c r="CC392" s="260"/>
      <c r="CD392" s="260">
        <v>160</v>
      </c>
      <c r="CE392" s="260">
        <v>320</v>
      </c>
      <c r="CF392" s="272"/>
      <c r="CG392" s="260"/>
      <c r="CH392" s="260"/>
      <c r="CI392" s="260"/>
      <c r="CJ392" s="260"/>
      <c r="CK392" s="260"/>
      <c r="CL392" s="260"/>
      <c r="CM392" s="260"/>
      <c r="CN392" s="260">
        <v>80</v>
      </c>
      <c r="CO392" s="260">
        <v>160</v>
      </c>
      <c r="CP392" s="260">
        <v>80</v>
      </c>
      <c r="CQ392" s="260">
        <v>80</v>
      </c>
      <c r="CR392" s="260">
        <v>80</v>
      </c>
      <c r="CS392" s="270">
        <v>160</v>
      </c>
      <c r="CT392" s="279" t="s">
        <v>155</v>
      </c>
      <c r="CU392" s="249">
        <f>Table2821115[[#This Row],[D28 - BR/18]]/Table2821115[[#This Row],[D0 - BR/18]]</f>
        <v>1</v>
      </c>
      <c r="CV392" s="248">
        <f>Table2821115[[#This Row],[D28 - KS/17]]/Table2821115[[#This Row],[D0 - KS/17]]</f>
        <v>4</v>
      </c>
      <c r="CW392" s="248">
        <f>Table2821115[[#This Row],[D28 - Phu/13]]/Table2821115[[#This Row],[D0 - Phu/13]]</f>
        <v>2</v>
      </c>
      <c r="CX392" s="248">
        <f>Table2821115[[#This Row],[D28 - CO/17]]/Table2821115[[#This Row],[D0 - CO/17]]</f>
        <v>1</v>
      </c>
      <c r="CY392" s="248">
        <f>LOG(Table2821115[[#This Row],[BR/18 Fold]],2)</f>
        <v>0</v>
      </c>
      <c r="CZ392" s="248">
        <f>LOG(Table2821115[[#This Row],[KS/17 Fold]],2)</f>
        <v>2</v>
      </c>
      <c r="DA392" s="248">
        <f>LOG(Table2821115[[#This Row],[Phu/13 Fold]],2)</f>
        <v>1</v>
      </c>
      <c r="DB392" s="248">
        <f>LOG(Table2821115[[#This Row],[CO/17 Fold]],2)</f>
        <v>0</v>
      </c>
      <c r="DC392" s="248">
        <f>SUM(Table2821115[[#This Row],[BR/18 Log2]:[CO/17 Log2]])</f>
        <v>3</v>
      </c>
    </row>
    <row r="393" spans="1:107" ht="24" customHeight="1">
      <c r="A393" s="282" t="s">
        <v>156</v>
      </c>
      <c r="B393" s="151">
        <v>37784</v>
      </c>
      <c r="C393" s="151">
        <v>43776</v>
      </c>
      <c r="D393" s="150">
        <v>16</v>
      </c>
      <c r="E393" s="3" t="s">
        <v>61</v>
      </c>
      <c r="F393" s="143" t="s">
        <v>116</v>
      </c>
      <c r="G393" s="142">
        <v>21.814668532014657</v>
      </c>
      <c r="H393" s="11" t="s">
        <v>59</v>
      </c>
      <c r="I393" s="281" t="s">
        <v>60</v>
      </c>
      <c r="J393" s="260">
        <v>5</v>
      </c>
      <c r="K393" s="260">
        <v>5</v>
      </c>
      <c r="L393" s="260"/>
      <c r="M393" s="260"/>
      <c r="N393" s="260"/>
      <c r="O393" s="260"/>
      <c r="P393" s="260"/>
      <c r="Q393" s="260"/>
      <c r="R393" s="260"/>
      <c r="S393" s="260"/>
      <c r="T393" s="260"/>
      <c r="U393" s="260"/>
      <c r="V393" s="260">
        <v>5</v>
      </c>
      <c r="W393" s="260">
        <v>5</v>
      </c>
      <c r="X393" s="260">
        <v>160</v>
      </c>
      <c r="Y393" s="260">
        <v>160</v>
      </c>
      <c r="Z393" s="260">
        <v>320</v>
      </c>
      <c r="AA393" s="260">
        <v>320</v>
      </c>
      <c r="AB393" s="260">
        <v>160</v>
      </c>
      <c r="AC393" s="260">
        <v>160</v>
      </c>
      <c r="AD393" s="260"/>
      <c r="AE393" s="260"/>
      <c r="AF393" s="260"/>
      <c r="AG393" s="260"/>
      <c r="AH393" s="174" t="s">
        <v>156</v>
      </c>
      <c r="AI393" s="272">
        <v>10</v>
      </c>
      <c r="AJ393" s="271">
        <v>10</v>
      </c>
      <c r="AK393" s="260"/>
      <c r="AL393" s="260"/>
      <c r="AM393" s="260"/>
      <c r="AN393" s="260"/>
      <c r="AO393" s="260"/>
      <c r="AP393" s="260"/>
      <c r="AQ393" s="260"/>
      <c r="AR393" s="260"/>
      <c r="AS393" s="260"/>
      <c r="AT393" s="260"/>
      <c r="AU393" s="260">
        <v>160</v>
      </c>
      <c r="AV393" s="271">
        <v>160</v>
      </c>
      <c r="AW393" s="260">
        <v>40</v>
      </c>
      <c r="AX393" s="271">
        <v>40</v>
      </c>
      <c r="AY393" s="260">
        <v>80</v>
      </c>
      <c r="AZ393" s="271">
        <v>80</v>
      </c>
      <c r="BA393" s="276">
        <v>160</v>
      </c>
      <c r="BB393" s="276">
        <v>160</v>
      </c>
      <c r="BC393" s="276"/>
      <c r="BD393" s="276"/>
      <c r="BE393" s="276">
        <v>10</v>
      </c>
      <c r="BF393" s="276">
        <v>20</v>
      </c>
      <c r="BG393" s="260">
        <v>160</v>
      </c>
      <c r="BH393" s="271">
        <v>160</v>
      </c>
      <c r="BI393" s="276"/>
      <c r="BJ393" s="276"/>
      <c r="BK393" s="276"/>
      <c r="BL393" s="275"/>
      <c r="BM393" s="280" t="s">
        <v>156</v>
      </c>
      <c r="BN393" s="272">
        <v>160</v>
      </c>
      <c r="BO393" s="270">
        <v>320</v>
      </c>
      <c r="BP393" s="272"/>
      <c r="BQ393" s="260"/>
      <c r="BR393" s="260"/>
      <c r="BS393" s="260"/>
      <c r="BT393" s="260"/>
      <c r="BU393" s="260"/>
      <c r="BV393" s="260">
        <v>160</v>
      </c>
      <c r="BW393" s="260">
        <v>160</v>
      </c>
      <c r="BX393" s="260"/>
      <c r="BY393" s="260"/>
      <c r="BZ393" s="260"/>
      <c r="CA393" s="260"/>
      <c r="CB393" s="260"/>
      <c r="CC393" s="260"/>
      <c r="CD393" s="260">
        <v>160</v>
      </c>
      <c r="CE393" s="260">
        <v>160</v>
      </c>
      <c r="CF393" s="272"/>
      <c r="CG393" s="260"/>
      <c r="CH393" s="260"/>
      <c r="CI393" s="260"/>
      <c r="CJ393" s="260"/>
      <c r="CK393" s="260"/>
      <c r="CL393" s="260"/>
      <c r="CM393" s="260"/>
      <c r="CN393" s="260">
        <v>160</v>
      </c>
      <c r="CO393" s="260">
        <v>160</v>
      </c>
      <c r="CP393" s="260">
        <v>320</v>
      </c>
      <c r="CQ393" s="260">
        <v>160</v>
      </c>
      <c r="CR393" s="260">
        <v>160</v>
      </c>
      <c r="CS393" s="270">
        <v>160</v>
      </c>
      <c r="CT393" s="279" t="s">
        <v>156</v>
      </c>
      <c r="CU393" s="249">
        <f>Table2821115[[#This Row],[D28 - BR/18]]/Table2821115[[#This Row],[D0 - BR/18]]</f>
        <v>1</v>
      </c>
      <c r="CV393" s="248">
        <f>Table2821115[[#This Row],[D28 - KS/17]]/Table2821115[[#This Row],[D0 - KS/17]]</f>
        <v>2</v>
      </c>
      <c r="CW393" s="248">
        <f>Table2821115[[#This Row],[D28 - Phu/13]]/Table2821115[[#This Row],[D0 - Phu/13]]</f>
        <v>1</v>
      </c>
      <c r="CX393" s="248">
        <f>Table2821115[[#This Row],[D28 - CO/17]]/Table2821115[[#This Row],[D0 - CO/17]]</f>
        <v>0.5</v>
      </c>
      <c r="CY393" s="248">
        <f>LOG(Table2821115[[#This Row],[BR/18 Fold]],2)</f>
        <v>0</v>
      </c>
      <c r="CZ393" s="248">
        <f>LOG(Table2821115[[#This Row],[KS/17 Fold]],2)</f>
        <v>1</v>
      </c>
      <c r="DA393" s="248">
        <f>LOG(Table2821115[[#This Row],[Phu/13 Fold]],2)</f>
        <v>0</v>
      </c>
      <c r="DB393" s="248">
        <f>LOG(Table2821115[[#This Row],[CO/17 Fold]],2)</f>
        <v>-1</v>
      </c>
      <c r="DC393" s="248">
        <f>SUM(Table2821115[[#This Row],[BR/18 Log2]:[CO/17 Log2]])</f>
        <v>0</v>
      </c>
    </row>
    <row r="394" spans="1:107" ht="24" customHeight="1">
      <c r="A394" s="282" t="s">
        <v>157</v>
      </c>
      <c r="B394" s="151">
        <v>37784</v>
      </c>
      <c r="C394" s="151">
        <v>43776</v>
      </c>
      <c r="D394" s="150">
        <v>16</v>
      </c>
      <c r="E394" s="4" t="s">
        <v>58</v>
      </c>
      <c r="F394" s="143" t="s">
        <v>116</v>
      </c>
      <c r="G394" s="142">
        <v>23.410537824958254</v>
      </c>
      <c r="H394" s="11" t="s">
        <v>59</v>
      </c>
      <c r="I394" s="281" t="s">
        <v>60</v>
      </c>
      <c r="J394" s="260">
        <v>5</v>
      </c>
      <c r="K394" s="260">
        <v>10</v>
      </c>
      <c r="L394" s="260"/>
      <c r="M394" s="260"/>
      <c r="N394" s="260"/>
      <c r="O394" s="260"/>
      <c r="P394" s="260"/>
      <c r="Q394" s="260"/>
      <c r="R394" s="260"/>
      <c r="S394" s="260"/>
      <c r="T394" s="260"/>
      <c r="U394" s="260"/>
      <c r="V394" s="260">
        <v>5</v>
      </c>
      <c r="W394" s="260">
        <v>20</v>
      </c>
      <c r="X394" s="260">
        <v>80</v>
      </c>
      <c r="Y394" s="260">
        <v>160</v>
      </c>
      <c r="Z394" s="260">
        <v>160</v>
      </c>
      <c r="AA394" s="260">
        <v>320</v>
      </c>
      <c r="AB394" s="260">
        <v>80</v>
      </c>
      <c r="AC394" s="260">
        <v>80</v>
      </c>
      <c r="AD394" s="260"/>
      <c r="AE394" s="260"/>
      <c r="AF394" s="260"/>
      <c r="AG394" s="260"/>
      <c r="AH394" s="174" t="s">
        <v>157</v>
      </c>
      <c r="AI394" s="272">
        <v>20</v>
      </c>
      <c r="AJ394" s="271">
        <v>40</v>
      </c>
      <c r="AK394" s="260"/>
      <c r="AL394" s="260"/>
      <c r="AM394" s="260"/>
      <c r="AN394" s="260"/>
      <c r="AO394" s="260"/>
      <c r="AP394" s="260"/>
      <c r="AQ394" s="260"/>
      <c r="AR394" s="260"/>
      <c r="AS394" s="260"/>
      <c r="AT394" s="260"/>
      <c r="AU394" s="260">
        <v>320</v>
      </c>
      <c r="AV394" s="271">
        <v>640</v>
      </c>
      <c r="AW394" s="260">
        <v>160</v>
      </c>
      <c r="AX394" s="271">
        <v>320</v>
      </c>
      <c r="AY394" s="260">
        <v>320</v>
      </c>
      <c r="AZ394" s="271">
        <v>320</v>
      </c>
      <c r="BA394" s="276">
        <v>320</v>
      </c>
      <c r="BB394" s="276">
        <v>320</v>
      </c>
      <c r="BC394" s="276"/>
      <c r="BD394" s="276"/>
      <c r="BE394" s="276">
        <v>40</v>
      </c>
      <c r="BF394" s="276">
        <v>80</v>
      </c>
      <c r="BG394" s="260">
        <v>640</v>
      </c>
      <c r="BH394" s="271">
        <v>640</v>
      </c>
      <c r="BI394" s="276"/>
      <c r="BJ394" s="276"/>
      <c r="BK394" s="276"/>
      <c r="BL394" s="275"/>
      <c r="BM394" s="280" t="s">
        <v>157</v>
      </c>
      <c r="BN394" s="272">
        <v>40</v>
      </c>
      <c r="BO394" s="270">
        <v>80</v>
      </c>
      <c r="BP394" s="272"/>
      <c r="BQ394" s="260"/>
      <c r="BR394" s="260"/>
      <c r="BS394" s="260"/>
      <c r="BT394" s="260"/>
      <c r="BU394" s="260"/>
      <c r="BV394" s="260">
        <v>5</v>
      </c>
      <c r="BW394" s="260">
        <v>160</v>
      </c>
      <c r="BX394" s="260"/>
      <c r="BY394" s="260"/>
      <c r="BZ394" s="260"/>
      <c r="CA394" s="260"/>
      <c r="CB394" s="260"/>
      <c r="CC394" s="260"/>
      <c r="CD394" s="260">
        <v>80</v>
      </c>
      <c r="CE394" s="260">
        <v>80</v>
      </c>
      <c r="CF394" s="272"/>
      <c r="CG394" s="260"/>
      <c r="CH394" s="260"/>
      <c r="CI394" s="260"/>
      <c r="CJ394" s="260"/>
      <c r="CK394" s="260"/>
      <c r="CL394" s="260"/>
      <c r="CM394" s="260"/>
      <c r="CN394" s="260">
        <v>80</v>
      </c>
      <c r="CO394" s="260">
        <v>160</v>
      </c>
      <c r="CP394" s="260">
        <v>160</v>
      </c>
      <c r="CQ394" s="260">
        <v>160</v>
      </c>
      <c r="CR394" s="260">
        <v>80</v>
      </c>
      <c r="CS394" s="270">
        <v>160</v>
      </c>
      <c r="CT394" s="279" t="s">
        <v>157</v>
      </c>
      <c r="CU394" s="249">
        <f>Table2821115[[#This Row],[D28 - BR/18]]/Table2821115[[#This Row],[D0 - BR/18]]</f>
        <v>1</v>
      </c>
      <c r="CV394" s="248">
        <f>Table2821115[[#This Row],[D28 - KS/17]]/Table2821115[[#This Row],[D0 - KS/17]]</f>
        <v>2</v>
      </c>
      <c r="CW394" s="248">
        <f>Table2821115[[#This Row],[D28 - Phu/13]]/Table2821115[[#This Row],[D0 - Phu/13]]</f>
        <v>1</v>
      </c>
      <c r="CX394" s="248">
        <f>Table2821115[[#This Row],[D28 - CO/17]]/Table2821115[[#This Row],[D0 - CO/17]]</f>
        <v>1</v>
      </c>
      <c r="CY394" s="248">
        <f>LOG(Table2821115[[#This Row],[BR/18 Fold]],2)</f>
        <v>0</v>
      </c>
      <c r="CZ394" s="248">
        <f>LOG(Table2821115[[#This Row],[KS/17 Fold]],2)</f>
        <v>1</v>
      </c>
      <c r="DA394" s="248">
        <f>LOG(Table2821115[[#This Row],[Phu/13 Fold]],2)</f>
        <v>0</v>
      </c>
      <c r="DB394" s="248">
        <f>LOG(Table2821115[[#This Row],[CO/17 Fold]],2)</f>
        <v>0</v>
      </c>
      <c r="DC394" s="248">
        <f>SUM(Table2821115[[#This Row],[BR/18 Log2]:[CO/17 Log2]])</f>
        <v>1</v>
      </c>
    </row>
    <row r="395" spans="1:107" ht="24" customHeight="1">
      <c r="A395" s="282" t="s">
        <v>158</v>
      </c>
      <c r="B395" s="151">
        <v>38075</v>
      </c>
      <c r="C395" s="151">
        <v>43746</v>
      </c>
      <c r="D395" s="150">
        <v>15</v>
      </c>
      <c r="E395" s="3" t="s">
        <v>61</v>
      </c>
      <c r="F395" s="143" t="s">
        <v>116</v>
      </c>
      <c r="G395" s="142">
        <v>33.83526322082799</v>
      </c>
      <c r="H395" s="11" t="s">
        <v>59</v>
      </c>
      <c r="I395" s="281" t="s">
        <v>60</v>
      </c>
      <c r="J395" s="260">
        <v>5</v>
      </c>
      <c r="K395" s="260">
        <v>5</v>
      </c>
      <c r="L395" s="260"/>
      <c r="M395" s="260"/>
      <c r="N395" s="260"/>
      <c r="O395" s="260"/>
      <c r="P395" s="260"/>
      <c r="Q395" s="260"/>
      <c r="R395" s="260"/>
      <c r="S395" s="260"/>
      <c r="T395" s="260"/>
      <c r="U395" s="260"/>
      <c r="V395" s="260">
        <v>5</v>
      </c>
      <c r="W395" s="260">
        <v>10</v>
      </c>
      <c r="X395" s="260">
        <v>80</v>
      </c>
      <c r="Y395" s="260">
        <v>320</v>
      </c>
      <c r="Z395" s="260">
        <v>160</v>
      </c>
      <c r="AA395" s="260">
        <v>320</v>
      </c>
      <c r="AB395" s="260">
        <v>80</v>
      </c>
      <c r="AC395" s="260">
        <v>160</v>
      </c>
      <c r="AD395" s="260"/>
      <c r="AE395" s="260"/>
      <c r="AF395" s="260"/>
      <c r="AG395" s="260"/>
      <c r="AH395" s="174" t="s">
        <v>158</v>
      </c>
      <c r="AI395" s="272">
        <v>10</v>
      </c>
      <c r="AJ395" s="271">
        <v>40</v>
      </c>
      <c r="AK395" s="260"/>
      <c r="AL395" s="260"/>
      <c r="AM395" s="260"/>
      <c r="AN395" s="260"/>
      <c r="AO395" s="260"/>
      <c r="AP395" s="260"/>
      <c r="AQ395" s="260"/>
      <c r="AR395" s="260"/>
      <c r="AS395" s="260"/>
      <c r="AT395" s="260"/>
      <c r="AU395" s="260">
        <v>80</v>
      </c>
      <c r="AV395" s="271">
        <v>320</v>
      </c>
      <c r="AW395" s="260">
        <v>80</v>
      </c>
      <c r="AX395" s="271">
        <v>160</v>
      </c>
      <c r="AY395" s="260">
        <v>80</v>
      </c>
      <c r="AZ395" s="271">
        <v>320</v>
      </c>
      <c r="BA395" s="276">
        <v>80</v>
      </c>
      <c r="BB395" s="276">
        <v>320</v>
      </c>
      <c r="BC395" s="276"/>
      <c r="BD395" s="276"/>
      <c r="BE395" s="276">
        <v>160</v>
      </c>
      <c r="BF395" s="276">
        <v>320</v>
      </c>
      <c r="BG395" s="260">
        <v>80</v>
      </c>
      <c r="BH395" s="271">
        <v>160</v>
      </c>
      <c r="BI395" s="276"/>
      <c r="BJ395" s="276"/>
      <c r="BK395" s="276"/>
      <c r="BL395" s="275"/>
      <c r="BM395" s="280" t="s">
        <v>158</v>
      </c>
      <c r="BN395" s="272">
        <v>160</v>
      </c>
      <c r="BO395" s="270">
        <v>320</v>
      </c>
      <c r="BP395" s="272"/>
      <c r="BQ395" s="260"/>
      <c r="BR395" s="260"/>
      <c r="BS395" s="260"/>
      <c r="BT395" s="260"/>
      <c r="BU395" s="260"/>
      <c r="BV395" s="260">
        <v>160</v>
      </c>
      <c r="BW395" s="260">
        <v>320</v>
      </c>
      <c r="BX395" s="260"/>
      <c r="BY395" s="260"/>
      <c r="BZ395" s="260"/>
      <c r="CA395" s="260"/>
      <c r="CB395" s="260"/>
      <c r="CC395" s="260"/>
      <c r="CD395" s="260">
        <v>160</v>
      </c>
      <c r="CE395" s="260">
        <v>320</v>
      </c>
      <c r="CF395" s="272"/>
      <c r="CG395" s="260"/>
      <c r="CH395" s="260"/>
      <c r="CI395" s="260"/>
      <c r="CJ395" s="260"/>
      <c r="CK395" s="260"/>
      <c r="CL395" s="260"/>
      <c r="CM395" s="260"/>
      <c r="CN395" s="260">
        <v>80</v>
      </c>
      <c r="CO395" s="260">
        <v>160</v>
      </c>
      <c r="CP395" s="260">
        <v>320</v>
      </c>
      <c r="CQ395" s="260">
        <v>320</v>
      </c>
      <c r="CR395" s="260">
        <v>160</v>
      </c>
      <c r="CS395" s="270">
        <v>320</v>
      </c>
      <c r="CT395" s="279" t="s">
        <v>158</v>
      </c>
      <c r="CU395" s="249">
        <f>Table2821115[[#This Row],[D28 - BR/18]]/Table2821115[[#This Row],[D0 - BR/18]]</f>
        <v>2</v>
      </c>
      <c r="CV395" s="248">
        <f>Table2821115[[#This Row],[D28 - KS/17]]/Table2821115[[#This Row],[D0 - KS/17]]</f>
        <v>2</v>
      </c>
      <c r="CW395" s="248">
        <f>Table2821115[[#This Row],[D28 - Phu/13]]/Table2821115[[#This Row],[D0 - Phu/13]]</f>
        <v>2</v>
      </c>
      <c r="CX395" s="248">
        <f>Table2821115[[#This Row],[D28 - CO/17]]/Table2821115[[#This Row],[D0 - CO/17]]</f>
        <v>1</v>
      </c>
      <c r="CY395" s="248">
        <f>LOG(Table2821115[[#This Row],[BR/18 Fold]],2)</f>
        <v>1</v>
      </c>
      <c r="CZ395" s="248">
        <f>LOG(Table2821115[[#This Row],[KS/17 Fold]],2)</f>
        <v>1</v>
      </c>
      <c r="DA395" s="248">
        <f>LOG(Table2821115[[#This Row],[Phu/13 Fold]],2)</f>
        <v>1</v>
      </c>
      <c r="DB395" s="248">
        <f>LOG(Table2821115[[#This Row],[CO/17 Fold]],2)</f>
        <v>0</v>
      </c>
      <c r="DC395" s="248">
        <f>SUM(Table2821115[[#This Row],[BR/18 Log2]:[CO/17 Log2]])</f>
        <v>3</v>
      </c>
    </row>
    <row r="396" spans="1:107" ht="24" customHeight="1">
      <c r="A396" s="282" t="s">
        <v>159</v>
      </c>
      <c r="B396" s="151">
        <v>38056</v>
      </c>
      <c r="C396" s="151">
        <v>43790</v>
      </c>
      <c r="D396" s="150">
        <v>15</v>
      </c>
      <c r="E396" s="4" t="s">
        <v>58</v>
      </c>
      <c r="F396" s="143" t="s">
        <v>117</v>
      </c>
      <c r="G396" s="142">
        <v>27.269723913625462</v>
      </c>
      <c r="H396" s="11" t="s">
        <v>59</v>
      </c>
      <c r="I396" s="281" t="s">
        <v>60</v>
      </c>
      <c r="J396" s="260">
        <v>5</v>
      </c>
      <c r="K396" s="260">
        <v>10</v>
      </c>
      <c r="L396" s="260"/>
      <c r="M396" s="260"/>
      <c r="N396" s="260"/>
      <c r="O396" s="260"/>
      <c r="P396" s="260"/>
      <c r="Q396" s="260"/>
      <c r="R396" s="260"/>
      <c r="S396" s="260"/>
      <c r="T396" s="260"/>
      <c r="U396" s="260"/>
      <c r="V396" s="260">
        <v>40</v>
      </c>
      <c r="W396" s="260">
        <v>40</v>
      </c>
      <c r="X396" s="260">
        <v>80</v>
      </c>
      <c r="Y396" s="260">
        <v>160</v>
      </c>
      <c r="Z396" s="260">
        <v>80</v>
      </c>
      <c r="AA396" s="260">
        <v>160</v>
      </c>
      <c r="AB396" s="260">
        <v>40</v>
      </c>
      <c r="AC396" s="260">
        <v>80</v>
      </c>
      <c r="AD396" s="260"/>
      <c r="AE396" s="260"/>
      <c r="AF396" s="260"/>
      <c r="AG396" s="260"/>
      <c r="AH396" s="174" t="s">
        <v>159</v>
      </c>
      <c r="AI396" s="272">
        <v>10</v>
      </c>
      <c r="AJ396" s="271">
        <v>40</v>
      </c>
      <c r="AK396" s="260"/>
      <c r="AL396" s="260"/>
      <c r="AM396" s="260"/>
      <c r="AN396" s="260"/>
      <c r="AO396" s="260"/>
      <c r="AP396" s="260"/>
      <c r="AQ396" s="260"/>
      <c r="AR396" s="260"/>
      <c r="AS396" s="260"/>
      <c r="AT396" s="260"/>
      <c r="AU396" s="260">
        <v>160</v>
      </c>
      <c r="AV396" s="271">
        <v>640</v>
      </c>
      <c r="AW396" s="260">
        <v>160</v>
      </c>
      <c r="AX396" s="271">
        <v>320</v>
      </c>
      <c r="AY396" s="260">
        <v>80</v>
      </c>
      <c r="AZ396" s="271">
        <v>320</v>
      </c>
      <c r="BA396" s="276">
        <v>160</v>
      </c>
      <c r="BB396" s="276">
        <v>320</v>
      </c>
      <c r="BC396" s="276"/>
      <c r="BD396" s="276"/>
      <c r="BE396" s="276">
        <v>40</v>
      </c>
      <c r="BF396" s="276">
        <v>160</v>
      </c>
      <c r="BG396" s="260">
        <v>320</v>
      </c>
      <c r="BH396" s="271">
        <v>320</v>
      </c>
      <c r="BI396" s="276"/>
      <c r="BJ396" s="276"/>
      <c r="BK396" s="276"/>
      <c r="BL396" s="275"/>
      <c r="BM396" s="280" t="s">
        <v>159</v>
      </c>
      <c r="BN396" s="272">
        <v>80</v>
      </c>
      <c r="BO396" s="270">
        <v>160</v>
      </c>
      <c r="BP396" s="272"/>
      <c r="BQ396" s="260"/>
      <c r="BR396" s="260"/>
      <c r="BS396" s="260"/>
      <c r="BT396" s="260"/>
      <c r="BU396" s="260"/>
      <c r="BV396" s="260">
        <v>5</v>
      </c>
      <c r="BW396" s="260">
        <v>10</v>
      </c>
      <c r="BX396" s="260"/>
      <c r="BY396" s="260"/>
      <c r="BZ396" s="260"/>
      <c r="CA396" s="260"/>
      <c r="CB396" s="260"/>
      <c r="CC396" s="260"/>
      <c r="CD396" s="260">
        <v>40</v>
      </c>
      <c r="CE396" s="260">
        <v>80</v>
      </c>
      <c r="CF396" s="272"/>
      <c r="CG396" s="260"/>
      <c r="CH396" s="260"/>
      <c r="CI396" s="260"/>
      <c r="CJ396" s="260"/>
      <c r="CK396" s="260"/>
      <c r="CL396" s="260"/>
      <c r="CM396" s="260"/>
      <c r="CN396" s="260">
        <v>40</v>
      </c>
      <c r="CO396" s="260">
        <v>80</v>
      </c>
      <c r="CP396" s="260">
        <v>80</v>
      </c>
      <c r="CQ396" s="260">
        <v>80</v>
      </c>
      <c r="CR396" s="260">
        <v>40</v>
      </c>
      <c r="CS396" s="270">
        <v>80</v>
      </c>
      <c r="CT396" s="279" t="s">
        <v>159</v>
      </c>
      <c r="CU396" s="249">
        <f>Table2821115[[#This Row],[D28 - BR/18]]/Table2821115[[#This Row],[D0 - BR/18]]</f>
        <v>2</v>
      </c>
      <c r="CV396" s="248">
        <f>Table2821115[[#This Row],[D28 - KS/17]]/Table2821115[[#This Row],[D0 - KS/17]]</f>
        <v>4</v>
      </c>
      <c r="CW396" s="248">
        <f>Table2821115[[#This Row],[D28 - Phu/13]]/Table2821115[[#This Row],[D0 - Phu/13]]</f>
        <v>2</v>
      </c>
      <c r="CX396" s="248">
        <f>Table2821115[[#This Row],[D28 - CO/17]]/Table2821115[[#This Row],[D0 - CO/17]]</f>
        <v>1</v>
      </c>
      <c r="CY396" s="248">
        <f>LOG(Table2821115[[#This Row],[BR/18 Fold]],2)</f>
        <v>1</v>
      </c>
      <c r="CZ396" s="248">
        <f>LOG(Table2821115[[#This Row],[KS/17 Fold]],2)</f>
        <v>2</v>
      </c>
      <c r="DA396" s="248">
        <f>LOG(Table2821115[[#This Row],[Phu/13 Fold]],2)</f>
        <v>1</v>
      </c>
      <c r="DB396" s="248">
        <f>LOG(Table2821115[[#This Row],[CO/17 Fold]],2)</f>
        <v>0</v>
      </c>
      <c r="DC396" s="248">
        <f>SUM(Table2821115[[#This Row],[BR/18 Log2]:[CO/17 Log2]])</f>
        <v>4</v>
      </c>
    </row>
    <row r="397" spans="1:107" ht="24" customHeight="1">
      <c r="A397" s="282" t="s">
        <v>160</v>
      </c>
      <c r="B397" s="151">
        <v>38136</v>
      </c>
      <c r="C397" s="151">
        <v>43792</v>
      </c>
      <c r="D397" s="150">
        <v>15</v>
      </c>
      <c r="E397" s="3" t="s">
        <v>61</v>
      </c>
      <c r="F397" s="143" t="s">
        <v>116</v>
      </c>
      <c r="G397" s="142">
        <v>18.425981961861535</v>
      </c>
      <c r="H397" s="11" t="s">
        <v>59</v>
      </c>
      <c r="I397" s="281" t="s">
        <v>60</v>
      </c>
      <c r="J397" s="260">
        <v>5</v>
      </c>
      <c r="K397" s="260">
        <v>5</v>
      </c>
      <c r="L397" s="260"/>
      <c r="M397" s="260"/>
      <c r="N397" s="260"/>
      <c r="O397" s="260"/>
      <c r="P397" s="260"/>
      <c r="Q397" s="260"/>
      <c r="R397" s="260"/>
      <c r="S397" s="260"/>
      <c r="T397" s="260"/>
      <c r="U397" s="260"/>
      <c r="V397" s="260">
        <v>5</v>
      </c>
      <c r="W397" s="260">
        <v>5</v>
      </c>
      <c r="X397" s="260">
        <v>80</v>
      </c>
      <c r="Y397" s="260">
        <v>160</v>
      </c>
      <c r="Z397" s="260">
        <v>160</v>
      </c>
      <c r="AA397" s="260">
        <v>320</v>
      </c>
      <c r="AB397" s="260">
        <v>80</v>
      </c>
      <c r="AC397" s="260">
        <v>160</v>
      </c>
      <c r="AD397" s="260"/>
      <c r="AE397" s="260"/>
      <c r="AF397" s="260"/>
      <c r="AG397" s="260"/>
      <c r="AH397" s="174" t="s">
        <v>160</v>
      </c>
      <c r="AI397" s="272">
        <v>5</v>
      </c>
      <c r="AJ397" s="271">
        <v>10</v>
      </c>
      <c r="AK397" s="260"/>
      <c r="AL397" s="260"/>
      <c r="AM397" s="260"/>
      <c r="AN397" s="260"/>
      <c r="AO397" s="260"/>
      <c r="AP397" s="260"/>
      <c r="AQ397" s="260"/>
      <c r="AR397" s="260"/>
      <c r="AS397" s="260"/>
      <c r="AT397" s="260"/>
      <c r="AU397" s="260">
        <v>320</v>
      </c>
      <c r="AV397" s="271">
        <v>640</v>
      </c>
      <c r="AW397" s="260">
        <v>160</v>
      </c>
      <c r="AX397" s="271">
        <v>320</v>
      </c>
      <c r="AY397" s="260">
        <v>160</v>
      </c>
      <c r="AZ397" s="271">
        <v>640</v>
      </c>
      <c r="BA397" s="276">
        <v>160</v>
      </c>
      <c r="BB397" s="276">
        <v>640</v>
      </c>
      <c r="BC397" s="276"/>
      <c r="BD397" s="276"/>
      <c r="BE397" s="276">
        <v>20</v>
      </c>
      <c r="BF397" s="276">
        <v>160</v>
      </c>
      <c r="BG397" s="260">
        <v>320</v>
      </c>
      <c r="BH397" s="271">
        <v>1280</v>
      </c>
      <c r="BI397" s="276"/>
      <c r="BJ397" s="276"/>
      <c r="BK397" s="276"/>
      <c r="BL397" s="275"/>
      <c r="BM397" s="280" t="s">
        <v>160</v>
      </c>
      <c r="BN397" s="272">
        <v>40</v>
      </c>
      <c r="BO397" s="270">
        <v>160</v>
      </c>
      <c r="BP397" s="272"/>
      <c r="BQ397" s="260"/>
      <c r="BR397" s="260"/>
      <c r="BS397" s="260"/>
      <c r="BT397" s="260"/>
      <c r="BU397" s="260"/>
      <c r="BV397" s="260">
        <v>320</v>
      </c>
      <c r="BW397" s="260">
        <v>320</v>
      </c>
      <c r="BX397" s="260"/>
      <c r="BY397" s="260"/>
      <c r="BZ397" s="260"/>
      <c r="CA397" s="260"/>
      <c r="CB397" s="260"/>
      <c r="CC397" s="260"/>
      <c r="CD397" s="260">
        <v>160</v>
      </c>
      <c r="CE397" s="260">
        <v>320</v>
      </c>
      <c r="CF397" s="272"/>
      <c r="CG397" s="260"/>
      <c r="CH397" s="260"/>
      <c r="CI397" s="260"/>
      <c r="CJ397" s="260"/>
      <c r="CK397" s="260"/>
      <c r="CL397" s="260"/>
      <c r="CM397" s="260"/>
      <c r="CN397" s="260">
        <v>80</v>
      </c>
      <c r="CO397" s="260">
        <v>320</v>
      </c>
      <c r="CP397" s="260">
        <v>160</v>
      </c>
      <c r="CQ397" s="260">
        <v>320</v>
      </c>
      <c r="CR397" s="260">
        <v>80</v>
      </c>
      <c r="CS397" s="270">
        <v>320</v>
      </c>
      <c r="CT397" s="279" t="s">
        <v>160</v>
      </c>
      <c r="CU397" s="249">
        <f>Table2821115[[#This Row],[D28 - BR/18]]/Table2821115[[#This Row],[D0 - BR/18]]</f>
        <v>2</v>
      </c>
      <c r="CV397" s="248">
        <f>Table2821115[[#This Row],[D28 - KS/17]]/Table2821115[[#This Row],[D0 - KS/17]]</f>
        <v>8</v>
      </c>
      <c r="CW397" s="248">
        <f>Table2821115[[#This Row],[D28 - Phu/13]]/Table2821115[[#This Row],[D0 - Phu/13]]</f>
        <v>2</v>
      </c>
      <c r="CX397" s="248">
        <f>Table2821115[[#This Row],[D28 - CO/17]]/Table2821115[[#This Row],[D0 - CO/17]]</f>
        <v>2</v>
      </c>
      <c r="CY397" s="248">
        <f>LOG(Table2821115[[#This Row],[BR/18 Fold]],2)</f>
        <v>1</v>
      </c>
      <c r="CZ397" s="248">
        <f>LOG(Table2821115[[#This Row],[KS/17 Fold]],2)</f>
        <v>3</v>
      </c>
      <c r="DA397" s="248">
        <f>LOG(Table2821115[[#This Row],[Phu/13 Fold]],2)</f>
        <v>1</v>
      </c>
      <c r="DB397" s="248">
        <f>LOG(Table2821115[[#This Row],[CO/17 Fold]],2)</f>
        <v>1</v>
      </c>
      <c r="DC397" s="248">
        <f>SUM(Table2821115[[#This Row],[BR/18 Log2]:[CO/17 Log2]])</f>
        <v>6</v>
      </c>
    </row>
    <row r="398" spans="1:107" ht="24" customHeight="1">
      <c r="A398" s="282" t="s">
        <v>161</v>
      </c>
      <c r="B398" s="151">
        <v>37963</v>
      </c>
      <c r="C398" s="151">
        <v>43792</v>
      </c>
      <c r="D398" s="150">
        <v>15</v>
      </c>
      <c r="E398" s="3" t="s">
        <v>61</v>
      </c>
      <c r="F398" s="143" t="s">
        <v>116</v>
      </c>
      <c r="G398" s="142">
        <v>19.681607411013218</v>
      </c>
      <c r="H398" s="11" t="s">
        <v>59</v>
      </c>
      <c r="I398" s="281" t="s">
        <v>60</v>
      </c>
      <c r="J398" s="260">
        <v>5</v>
      </c>
      <c r="K398" s="260">
        <v>5</v>
      </c>
      <c r="L398" s="260"/>
      <c r="M398" s="260"/>
      <c r="N398" s="260"/>
      <c r="O398" s="260"/>
      <c r="P398" s="260"/>
      <c r="Q398" s="260"/>
      <c r="R398" s="260"/>
      <c r="S398" s="260"/>
      <c r="T398" s="260"/>
      <c r="U398" s="260"/>
      <c r="V398" s="260">
        <v>5</v>
      </c>
      <c r="W398" s="260">
        <v>5</v>
      </c>
      <c r="X398" s="260">
        <v>160</v>
      </c>
      <c r="Y398" s="260">
        <v>160</v>
      </c>
      <c r="Z398" s="260">
        <v>320</v>
      </c>
      <c r="AA398" s="260">
        <v>320</v>
      </c>
      <c r="AB398" s="260">
        <v>160</v>
      </c>
      <c r="AC398" s="260">
        <v>160</v>
      </c>
      <c r="AD398" s="260"/>
      <c r="AE398" s="260"/>
      <c r="AF398" s="260"/>
      <c r="AG398" s="260"/>
      <c r="AH398" s="174" t="s">
        <v>161</v>
      </c>
      <c r="AI398" s="272">
        <v>80</v>
      </c>
      <c r="AJ398" s="271">
        <v>80</v>
      </c>
      <c r="AK398" s="260"/>
      <c r="AL398" s="260"/>
      <c r="AM398" s="260"/>
      <c r="AN398" s="260"/>
      <c r="AO398" s="260"/>
      <c r="AP398" s="260"/>
      <c r="AQ398" s="260"/>
      <c r="AR398" s="260"/>
      <c r="AS398" s="260"/>
      <c r="AT398" s="260"/>
      <c r="AU398" s="260">
        <v>640</v>
      </c>
      <c r="AV398" s="271">
        <v>1280</v>
      </c>
      <c r="AW398" s="260">
        <v>640</v>
      </c>
      <c r="AX398" s="271">
        <v>1280</v>
      </c>
      <c r="AY398" s="260">
        <v>640</v>
      </c>
      <c r="AZ398" s="271">
        <v>640</v>
      </c>
      <c r="BA398" s="276">
        <v>640</v>
      </c>
      <c r="BB398" s="276">
        <v>640</v>
      </c>
      <c r="BC398" s="276"/>
      <c r="BD398" s="276"/>
      <c r="BE398" s="276">
        <v>320</v>
      </c>
      <c r="BF398" s="276">
        <v>320</v>
      </c>
      <c r="BG398" s="260">
        <v>1280</v>
      </c>
      <c r="BH398" s="271">
        <v>640</v>
      </c>
      <c r="BI398" s="276"/>
      <c r="BJ398" s="276"/>
      <c r="BK398" s="276"/>
      <c r="BL398" s="275"/>
      <c r="BM398" s="280" t="s">
        <v>161</v>
      </c>
      <c r="BN398" s="272">
        <v>20</v>
      </c>
      <c r="BO398" s="270">
        <v>40</v>
      </c>
      <c r="BP398" s="272"/>
      <c r="BQ398" s="260"/>
      <c r="BR398" s="260"/>
      <c r="BS398" s="260"/>
      <c r="BT398" s="260"/>
      <c r="BU398" s="260"/>
      <c r="BV398" s="260">
        <v>80</v>
      </c>
      <c r="BW398" s="260">
        <v>80</v>
      </c>
      <c r="BX398" s="260"/>
      <c r="BY398" s="260"/>
      <c r="BZ398" s="260"/>
      <c r="CA398" s="260"/>
      <c r="CB398" s="260"/>
      <c r="CC398" s="260"/>
      <c r="CD398" s="260">
        <v>80</v>
      </c>
      <c r="CE398" s="260">
        <v>80</v>
      </c>
      <c r="CF398" s="272"/>
      <c r="CG398" s="260"/>
      <c r="CH398" s="260"/>
      <c r="CI398" s="260"/>
      <c r="CJ398" s="260"/>
      <c r="CK398" s="260"/>
      <c r="CL398" s="260"/>
      <c r="CM398" s="260"/>
      <c r="CN398" s="260">
        <v>80</v>
      </c>
      <c r="CO398" s="260">
        <v>160</v>
      </c>
      <c r="CP398" s="260">
        <v>160</v>
      </c>
      <c r="CQ398" s="260">
        <v>160</v>
      </c>
      <c r="CR398" s="260">
        <v>160</v>
      </c>
      <c r="CS398" s="270">
        <v>160</v>
      </c>
      <c r="CT398" s="279" t="s">
        <v>161</v>
      </c>
      <c r="CU398" s="249">
        <f>Table2821115[[#This Row],[D28 - BR/18]]/Table2821115[[#This Row],[D0 - BR/18]]</f>
        <v>1</v>
      </c>
      <c r="CV398" s="248">
        <f>Table2821115[[#This Row],[D28 - KS/17]]/Table2821115[[#This Row],[D0 - KS/17]]</f>
        <v>1</v>
      </c>
      <c r="CW398" s="248">
        <f>Table2821115[[#This Row],[D28 - Phu/13]]/Table2821115[[#This Row],[D0 - Phu/13]]</f>
        <v>1</v>
      </c>
      <c r="CX398" s="248">
        <f>Table2821115[[#This Row],[D28 - CO/17]]/Table2821115[[#This Row],[D0 - CO/17]]</f>
        <v>1</v>
      </c>
      <c r="CY398" s="248">
        <f>LOG(Table2821115[[#This Row],[BR/18 Fold]],2)</f>
        <v>0</v>
      </c>
      <c r="CZ398" s="248">
        <f>LOG(Table2821115[[#This Row],[KS/17 Fold]],2)</f>
        <v>0</v>
      </c>
      <c r="DA398" s="248">
        <f>LOG(Table2821115[[#This Row],[Phu/13 Fold]],2)</f>
        <v>0</v>
      </c>
      <c r="DB398" s="248">
        <f>LOG(Table2821115[[#This Row],[CO/17 Fold]],2)</f>
        <v>0</v>
      </c>
      <c r="DC398" s="248">
        <f>SUM(Table2821115[[#This Row],[BR/18 Log2]:[CO/17 Log2]])</f>
        <v>0</v>
      </c>
    </row>
    <row r="399" spans="1:107" ht="24" customHeight="1">
      <c r="A399" s="278" t="s">
        <v>162</v>
      </c>
      <c r="B399" s="145">
        <v>38679</v>
      </c>
      <c r="C399" s="145">
        <v>43774</v>
      </c>
      <c r="D399" s="144">
        <v>13</v>
      </c>
      <c r="E399" s="4" t="s">
        <v>58</v>
      </c>
      <c r="F399" s="143" t="s">
        <v>116</v>
      </c>
      <c r="G399" s="142">
        <v>20.23710832372165</v>
      </c>
      <c r="H399" s="11" t="s">
        <v>59</v>
      </c>
      <c r="I399" s="281" t="s">
        <v>60</v>
      </c>
      <c r="J399" s="260">
        <v>5</v>
      </c>
      <c r="K399" s="260">
        <v>5</v>
      </c>
      <c r="L399" s="260"/>
      <c r="M399" s="260"/>
      <c r="N399" s="260"/>
      <c r="O399" s="260"/>
      <c r="P399" s="260"/>
      <c r="Q399" s="260"/>
      <c r="R399" s="260"/>
      <c r="S399" s="260"/>
      <c r="T399" s="260"/>
      <c r="U399" s="260"/>
      <c r="V399" s="260">
        <v>5</v>
      </c>
      <c r="W399" s="260">
        <v>40</v>
      </c>
      <c r="X399" s="260">
        <v>80</v>
      </c>
      <c r="Y399" s="260">
        <v>160</v>
      </c>
      <c r="Z399" s="260">
        <v>80</v>
      </c>
      <c r="AA399" s="260">
        <v>160</v>
      </c>
      <c r="AB399" s="260">
        <v>40</v>
      </c>
      <c r="AC399" s="260">
        <v>80</v>
      </c>
      <c r="AD399" s="260"/>
      <c r="AE399" s="260"/>
      <c r="AF399" s="260"/>
      <c r="AG399" s="260"/>
      <c r="AH399" s="176" t="s">
        <v>162</v>
      </c>
      <c r="AI399" s="272">
        <v>10</v>
      </c>
      <c r="AJ399" s="271">
        <v>20</v>
      </c>
      <c r="AK399" s="260"/>
      <c r="AL399" s="260"/>
      <c r="AM399" s="260"/>
      <c r="AN399" s="260"/>
      <c r="AO399" s="260"/>
      <c r="AP399" s="260"/>
      <c r="AQ399" s="260"/>
      <c r="AR399" s="260"/>
      <c r="AS399" s="260"/>
      <c r="AT399" s="260"/>
      <c r="AU399" s="260">
        <v>160</v>
      </c>
      <c r="AV399" s="271">
        <v>320</v>
      </c>
      <c r="AW399" s="260">
        <v>160</v>
      </c>
      <c r="AX399" s="271">
        <v>320</v>
      </c>
      <c r="AY399" s="260">
        <v>80</v>
      </c>
      <c r="AZ399" s="271">
        <v>160</v>
      </c>
      <c r="BA399" s="276">
        <v>160</v>
      </c>
      <c r="BB399" s="276">
        <v>320</v>
      </c>
      <c r="BC399" s="276"/>
      <c r="BD399" s="276"/>
      <c r="BE399" s="276">
        <v>40</v>
      </c>
      <c r="BF399" s="276">
        <v>80</v>
      </c>
      <c r="BG399" s="260">
        <v>320</v>
      </c>
      <c r="BH399" s="271">
        <v>320</v>
      </c>
      <c r="BI399" s="276"/>
      <c r="BJ399" s="276"/>
      <c r="BK399" s="276"/>
      <c r="BL399" s="275"/>
      <c r="BM399" s="274" t="s">
        <v>162</v>
      </c>
      <c r="BN399" s="272">
        <v>20</v>
      </c>
      <c r="BO399" s="270">
        <v>40</v>
      </c>
      <c r="BP399" s="272"/>
      <c r="BQ399" s="260"/>
      <c r="BR399" s="260"/>
      <c r="BS399" s="260"/>
      <c r="BT399" s="260"/>
      <c r="BU399" s="260"/>
      <c r="BV399" s="260">
        <v>80</v>
      </c>
      <c r="BW399" s="260">
        <v>160</v>
      </c>
      <c r="BX399" s="260"/>
      <c r="BY399" s="260"/>
      <c r="BZ399" s="260"/>
      <c r="CA399" s="260"/>
      <c r="CB399" s="260"/>
      <c r="CC399" s="260"/>
      <c r="CD399" s="260">
        <v>80</v>
      </c>
      <c r="CE399" s="260">
        <v>80</v>
      </c>
      <c r="CF399" s="272"/>
      <c r="CG399" s="260"/>
      <c r="CH399" s="260"/>
      <c r="CI399" s="260"/>
      <c r="CJ399" s="260"/>
      <c r="CK399" s="260"/>
      <c r="CL399" s="260"/>
      <c r="CM399" s="260"/>
      <c r="CN399" s="260">
        <v>80</v>
      </c>
      <c r="CO399" s="260">
        <v>80</v>
      </c>
      <c r="CP399" s="260">
        <v>160</v>
      </c>
      <c r="CQ399" s="260">
        <v>160</v>
      </c>
      <c r="CR399" s="260">
        <v>80</v>
      </c>
      <c r="CS399" s="270">
        <v>160</v>
      </c>
      <c r="CT399" s="269" t="s">
        <v>162</v>
      </c>
      <c r="CU399" s="249">
        <f>Table2821115[[#This Row],[D28 - BR/18]]/Table2821115[[#This Row],[D0 - BR/18]]</f>
        <v>2</v>
      </c>
      <c r="CV399" s="248">
        <f>Table2821115[[#This Row],[D28 - KS/17]]/Table2821115[[#This Row],[D0 - KS/17]]</f>
        <v>2</v>
      </c>
      <c r="CW399" s="248">
        <f>Table2821115[[#This Row],[D28 - Phu/13]]/Table2821115[[#This Row],[D0 - Phu/13]]</f>
        <v>1</v>
      </c>
      <c r="CX399" s="248">
        <f>Table2821115[[#This Row],[D28 - CO/17]]/Table2821115[[#This Row],[D0 - CO/17]]</f>
        <v>1</v>
      </c>
      <c r="CY399" s="248">
        <f>LOG(Table2821115[[#This Row],[BR/18 Fold]],2)</f>
        <v>1</v>
      </c>
      <c r="CZ399" s="248">
        <f>LOG(Table2821115[[#This Row],[KS/17 Fold]],2)</f>
        <v>1</v>
      </c>
      <c r="DA399" s="248">
        <f>LOG(Table2821115[[#This Row],[Phu/13 Fold]],2)</f>
        <v>0</v>
      </c>
      <c r="DB399" s="248">
        <f>LOG(Table2821115[[#This Row],[CO/17 Fold]],2)</f>
        <v>0</v>
      </c>
      <c r="DC399" s="248">
        <f>SUM(Table2821115[[#This Row],[BR/18 Log2]:[CO/17 Log2]])</f>
        <v>2</v>
      </c>
    </row>
    <row r="400" spans="1:107" ht="24" customHeight="1">
      <c r="A400" s="282" t="s">
        <v>163</v>
      </c>
      <c r="B400" s="151">
        <v>37791</v>
      </c>
      <c r="C400" s="151">
        <v>43806</v>
      </c>
      <c r="D400" s="150">
        <v>16</v>
      </c>
      <c r="E400" s="3" t="s">
        <v>61</v>
      </c>
      <c r="F400" s="143" t="s">
        <v>116</v>
      </c>
      <c r="G400" s="142">
        <v>20.614235634811763</v>
      </c>
      <c r="H400" s="11" t="s">
        <v>59</v>
      </c>
      <c r="I400" s="281" t="s">
        <v>60</v>
      </c>
      <c r="J400" s="260">
        <v>5</v>
      </c>
      <c r="K400" s="260">
        <v>5</v>
      </c>
      <c r="L400" s="260"/>
      <c r="M400" s="260"/>
      <c r="N400" s="260"/>
      <c r="O400" s="260"/>
      <c r="P400" s="260"/>
      <c r="Q400" s="260"/>
      <c r="R400" s="260"/>
      <c r="S400" s="260"/>
      <c r="T400" s="260"/>
      <c r="U400" s="260"/>
      <c r="V400" s="260">
        <v>5</v>
      </c>
      <c r="W400" s="260">
        <v>5</v>
      </c>
      <c r="X400" s="260">
        <v>160</v>
      </c>
      <c r="Y400" s="260">
        <v>160</v>
      </c>
      <c r="Z400" s="260">
        <v>320</v>
      </c>
      <c r="AA400" s="260">
        <v>320</v>
      </c>
      <c r="AB400" s="260">
        <v>80</v>
      </c>
      <c r="AC400" s="260">
        <v>160</v>
      </c>
      <c r="AD400" s="260"/>
      <c r="AE400" s="260"/>
      <c r="AF400" s="260"/>
      <c r="AG400" s="260"/>
      <c r="AH400" s="174" t="s">
        <v>163</v>
      </c>
      <c r="AI400" s="272">
        <v>20</v>
      </c>
      <c r="AJ400" s="271">
        <v>20</v>
      </c>
      <c r="AK400" s="260"/>
      <c r="AL400" s="260"/>
      <c r="AM400" s="260"/>
      <c r="AN400" s="260"/>
      <c r="AO400" s="260"/>
      <c r="AP400" s="260"/>
      <c r="AQ400" s="260"/>
      <c r="AR400" s="260"/>
      <c r="AS400" s="260"/>
      <c r="AT400" s="260"/>
      <c r="AU400" s="260">
        <v>80</v>
      </c>
      <c r="AV400" s="271">
        <v>160</v>
      </c>
      <c r="AW400" s="260">
        <v>160</v>
      </c>
      <c r="AX400" s="271">
        <v>320</v>
      </c>
      <c r="AY400" s="260">
        <v>160</v>
      </c>
      <c r="AZ400" s="271">
        <v>160</v>
      </c>
      <c r="BA400" s="276">
        <v>160</v>
      </c>
      <c r="BB400" s="276">
        <v>160</v>
      </c>
      <c r="BC400" s="276"/>
      <c r="BD400" s="276"/>
      <c r="BE400" s="276">
        <v>160</v>
      </c>
      <c r="BF400" s="276">
        <v>160</v>
      </c>
      <c r="BG400" s="260">
        <v>160</v>
      </c>
      <c r="BH400" s="271">
        <v>160</v>
      </c>
      <c r="BI400" s="276"/>
      <c r="BJ400" s="276"/>
      <c r="BK400" s="276"/>
      <c r="BL400" s="275"/>
      <c r="BM400" s="280" t="s">
        <v>163</v>
      </c>
      <c r="BN400" s="272">
        <v>160</v>
      </c>
      <c r="BO400" s="270">
        <v>320</v>
      </c>
      <c r="BP400" s="272"/>
      <c r="BQ400" s="260"/>
      <c r="BR400" s="260"/>
      <c r="BS400" s="260"/>
      <c r="BT400" s="260"/>
      <c r="BU400" s="260"/>
      <c r="BV400" s="260">
        <v>160</v>
      </c>
      <c r="BW400" s="260">
        <v>320</v>
      </c>
      <c r="BX400" s="260"/>
      <c r="BY400" s="260"/>
      <c r="BZ400" s="260"/>
      <c r="CA400" s="260"/>
      <c r="CB400" s="260"/>
      <c r="CC400" s="260"/>
      <c r="CD400" s="260">
        <v>40</v>
      </c>
      <c r="CE400" s="260">
        <v>80</v>
      </c>
      <c r="CF400" s="272"/>
      <c r="CG400" s="260"/>
      <c r="CH400" s="260"/>
      <c r="CI400" s="260"/>
      <c r="CJ400" s="260"/>
      <c r="CK400" s="260"/>
      <c r="CL400" s="260"/>
      <c r="CM400" s="260"/>
      <c r="CN400" s="260">
        <v>160</v>
      </c>
      <c r="CO400" s="260">
        <v>160</v>
      </c>
      <c r="CP400" s="260">
        <v>160</v>
      </c>
      <c r="CQ400" s="260">
        <v>160</v>
      </c>
      <c r="CR400" s="260">
        <v>160</v>
      </c>
      <c r="CS400" s="270">
        <v>160</v>
      </c>
      <c r="CT400" s="279" t="s">
        <v>163</v>
      </c>
      <c r="CU400" s="249">
        <f>Table2821115[[#This Row],[D28 - BR/18]]/Table2821115[[#This Row],[D0 - BR/18]]</f>
        <v>2</v>
      </c>
      <c r="CV400" s="248">
        <f>Table2821115[[#This Row],[D28 - KS/17]]/Table2821115[[#This Row],[D0 - KS/17]]</f>
        <v>1</v>
      </c>
      <c r="CW400" s="248">
        <f>Table2821115[[#This Row],[D28 - Phu/13]]/Table2821115[[#This Row],[D0 - Phu/13]]</f>
        <v>2</v>
      </c>
      <c r="CX400" s="248">
        <f>Table2821115[[#This Row],[D28 - CO/17]]/Table2821115[[#This Row],[D0 - CO/17]]</f>
        <v>1</v>
      </c>
      <c r="CY400" s="248">
        <f>LOG(Table2821115[[#This Row],[BR/18 Fold]],2)</f>
        <v>1</v>
      </c>
      <c r="CZ400" s="248">
        <f>LOG(Table2821115[[#This Row],[KS/17 Fold]],2)</f>
        <v>0</v>
      </c>
      <c r="DA400" s="248">
        <f>LOG(Table2821115[[#This Row],[Phu/13 Fold]],2)</f>
        <v>1</v>
      </c>
      <c r="DB400" s="248">
        <f>LOG(Table2821115[[#This Row],[CO/17 Fold]],2)</f>
        <v>0</v>
      </c>
      <c r="DC400" s="248">
        <f>SUM(Table2821115[[#This Row],[BR/18 Log2]:[CO/17 Log2]])</f>
        <v>2</v>
      </c>
    </row>
    <row r="401" spans="1:107" ht="24" customHeight="1">
      <c r="A401" s="282" t="s">
        <v>164</v>
      </c>
      <c r="B401" s="151">
        <v>37753</v>
      </c>
      <c r="C401" s="151">
        <v>43763</v>
      </c>
      <c r="D401" s="150">
        <v>16</v>
      </c>
      <c r="E401" s="4" t="s">
        <v>58</v>
      </c>
      <c r="F401" s="143" t="s">
        <v>116</v>
      </c>
      <c r="G401" s="142">
        <v>20.232685232727324</v>
      </c>
      <c r="H401" s="11" t="s">
        <v>59</v>
      </c>
      <c r="I401" s="281" t="s">
        <v>60</v>
      </c>
      <c r="J401" s="260">
        <v>5</v>
      </c>
      <c r="K401" s="260">
        <v>5</v>
      </c>
      <c r="L401" s="260"/>
      <c r="M401" s="260"/>
      <c r="N401" s="260"/>
      <c r="O401" s="260"/>
      <c r="P401" s="260"/>
      <c r="Q401" s="260"/>
      <c r="R401" s="260"/>
      <c r="S401" s="260"/>
      <c r="T401" s="260"/>
      <c r="U401" s="260"/>
      <c r="V401" s="260">
        <v>10</v>
      </c>
      <c r="W401" s="260">
        <v>10</v>
      </c>
      <c r="X401" s="260">
        <v>80</v>
      </c>
      <c r="Y401" s="260">
        <v>80</v>
      </c>
      <c r="Z401" s="260">
        <v>160</v>
      </c>
      <c r="AA401" s="260">
        <v>160</v>
      </c>
      <c r="AB401" s="260">
        <v>80</v>
      </c>
      <c r="AC401" s="260">
        <v>80</v>
      </c>
      <c r="AD401" s="260"/>
      <c r="AE401" s="260"/>
      <c r="AF401" s="260"/>
      <c r="AG401" s="260"/>
      <c r="AH401" s="174" t="s">
        <v>164</v>
      </c>
      <c r="AI401" s="272">
        <v>10</v>
      </c>
      <c r="AJ401" s="271">
        <v>40</v>
      </c>
      <c r="AK401" s="260"/>
      <c r="AL401" s="260"/>
      <c r="AM401" s="260"/>
      <c r="AN401" s="260"/>
      <c r="AO401" s="260"/>
      <c r="AP401" s="260"/>
      <c r="AQ401" s="260"/>
      <c r="AR401" s="260"/>
      <c r="AS401" s="260"/>
      <c r="AT401" s="260"/>
      <c r="AU401" s="260">
        <v>160</v>
      </c>
      <c r="AV401" s="271">
        <v>320</v>
      </c>
      <c r="AW401" s="260">
        <v>80</v>
      </c>
      <c r="AX401" s="271">
        <v>320</v>
      </c>
      <c r="AY401" s="260">
        <v>80</v>
      </c>
      <c r="AZ401" s="271">
        <v>160</v>
      </c>
      <c r="BA401" s="276">
        <v>160</v>
      </c>
      <c r="BB401" s="276">
        <v>160</v>
      </c>
      <c r="BC401" s="276"/>
      <c r="BD401" s="276"/>
      <c r="BE401" s="276">
        <v>5</v>
      </c>
      <c r="BF401" s="276">
        <v>20</v>
      </c>
      <c r="BG401" s="260">
        <v>160</v>
      </c>
      <c r="BH401" s="271">
        <v>640</v>
      </c>
      <c r="BI401" s="276"/>
      <c r="BJ401" s="276"/>
      <c r="BK401" s="276"/>
      <c r="BL401" s="275"/>
      <c r="BM401" s="280" t="s">
        <v>164</v>
      </c>
      <c r="BN401" s="272">
        <v>160</v>
      </c>
      <c r="BO401" s="270">
        <v>320</v>
      </c>
      <c r="BP401" s="272"/>
      <c r="BQ401" s="260"/>
      <c r="BR401" s="260"/>
      <c r="BS401" s="260"/>
      <c r="BT401" s="260"/>
      <c r="BU401" s="260"/>
      <c r="BV401" s="260">
        <v>5</v>
      </c>
      <c r="BW401" s="260">
        <v>320</v>
      </c>
      <c r="BX401" s="260"/>
      <c r="BY401" s="260"/>
      <c r="BZ401" s="260"/>
      <c r="CA401" s="260"/>
      <c r="CB401" s="260"/>
      <c r="CC401" s="260"/>
      <c r="CD401" s="260">
        <v>160</v>
      </c>
      <c r="CE401" s="260">
        <v>160</v>
      </c>
      <c r="CF401" s="272"/>
      <c r="CG401" s="260"/>
      <c r="CH401" s="260"/>
      <c r="CI401" s="260"/>
      <c r="CJ401" s="260"/>
      <c r="CK401" s="260"/>
      <c r="CL401" s="260"/>
      <c r="CM401" s="260"/>
      <c r="CN401" s="260">
        <v>80</v>
      </c>
      <c r="CO401" s="260">
        <v>160</v>
      </c>
      <c r="CP401" s="260">
        <v>160</v>
      </c>
      <c r="CQ401" s="260">
        <v>160</v>
      </c>
      <c r="CR401" s="260">
        <v>80</v>
      </c>
      <c r="CS401" s="270">
        <v>160</v>
      </c>
      <c r="CT401" s="279" t="s">
        <v>164</v>
      </c>
      <c r="CU401" s="249">
        <f>Table2821115[[#This Row],[D28 - BR/18]]/Table2821115[[#This Row],[D0 - BR/18]]</f>
        <v>1</v>
      </c>
      <c r="CV401" s="248">
        <f>Table2821115[[#This Row],[D28 - KS/17]]/Table2821115[[#This Row],[D0 - KS/17]]</f>
        <v>4</v>
      </c>
      <c r="CW401" s="248">
        <f>Table2821115[[#This Row],[D28 - Phu/13]]/Table2821115[[#This Row],[D0 - Phu/13]]</f>
        <v>1</v>
      </c>
      <c r="CX401" s="248">
        <f>Table2821115[[#This Row],[D28 - CO/17]]/Table2821115[[#This Row],[D0 - CO/17]]</f>
        <v>1</v>
      </c>
      <c r="CY401" s="248">
        <f>LOG(Table2821115[[#This Row],[BR/18 Fold]],2)</f>
        <v>0</v>
      </c>
      <c r="CZ401" s="248">
        <f>LOG(Table2821115[[#This Row],[KS/17 Fold]],2)</f>
        <v>2</v>
      </c>
      <c r="DA401" s="248">
        <f>LOG(Table2821115[[#This Row],[Phu/13 Fold]],2)</f>
        <v>0</v>
      </c>
      <c r="DB401" s="248">
        <f>LOG(Table2821115[[#This Row],[CO/17 Fold]],2)</f>
        <v>0</v>
      </c>
      <c r="DC401" s="248">
        <f>SUM(Table2821115[[#This Row],[BR/18 Log2]:[CO/17 Log2]])</f>
        <v>2</v>
      </c>
    </row>
    <row r="402" spans="1:107" ht="24" customHeight="1">
      <c r="A402" s="282" t="s">
        <v>165</v>
      </c>
      <c r="B402" s="151">
        <v>37397</v>
      </c>
      <c r="C402" s="151">
        <v>43736</v>
      </c>
      <c r="D402" s="150">
        <v>17</v>
      </c>
      <c r="E402" s="4" t="s">
        <v>58</v>
      </c>
      <c r="F402" s="143" t="s">
        <v>116</v>
      </c>
      <c r="G402" s="142">
        <v>22.022807292037662</v>
      </c>
      <c r="H402" s="11" t="s">
        <v>59</v>
      </c>
      <c r="I402" s="281" t="s">
        <v>60</v>
      </c>
      <c r="J402" s="260">
        <v>5</v>
      </c>
      <c r="K402" s="260">
        <v>5</v>
      </c>
      <c r="L402" s="260"/>
      <c r="M402" s="260"/>
      <c r="N402" s="260"/>
      <c r="O402" s="260"/>
      <c r="P402" s="260"/>
      <c r="Q402" s="260"/>
      <c r="R402" s="260"/>
      <c r="S402" s="260"/>
      <c r="T402" s="260"/>
      <c r="U402" s="260"/>
      <c r="V402" s="260">
        <v>5</v>
      </c>
      <c r="W402" s="260">
        <v>10</v>
      </c>
      <c r="X402" s="260">
        <v>80</v>
      </c>
      <c r="Y402" s="260">
        <v>160</v>
      </c>
      <c r="Z402" s="260">
        <v>80</v>
      </c>
      <c r="AA402" s="260">
        <v>160</v>
      </c>
      <c r="AB402" s="260">
        <v>40</v>
      </c>
      <c r="AC402" s="260">
        <v>80</v>
      </c>
      <c r="AD402" s="260"/>
      <c r="AE402" s="260"/>
      <c r="AF402" s="260"/>
      <c r="AG402" s="260"/>
      <c r="AH402" s="174" t="s">
        <v>165</v>
      </c>
      <c r="AI402" s="272">
        <v>40</v>
      </c>
      <c r="AJ402" s="271">
        <v>80</v>
      </c>
      <c r="AK402" s="260"/>
      <c r="AL402" s="260"/>
      <c r="AM402" s="260"/>
      <c r="AN402" s="260"/>
      <c r="AO402" s="260"/>
      <c r="AP402" s="260"/>
      <c r="AQ402" s="260"/>
      <c r="AR402" s="260"/>
      <c r="AS402" s="260"/>
      <c r="AT402" s="260"/>
      <c r="AU402" s="260">
        <v>80</v>
      </c>
      <c r="AV402" s="271">
        <v>160</v>
      </c>
      <c r="AW402" s="260">
        <v>80</v>
      </c>
      <c r="AX402" s="271">
        <v>160</v>
      </c>
      <c r="AY402" s="260">
        <v>80</v>
      </c>
      <c r="AZ402" s="271">
        <v>160</v>
      </c>
      <c r="BA402" s="276">
        <v>80</v>
      </c>
      <c r="BB402" s="276">
        <v>160</v>
      </c>
      <c r="BC402" s="276"/>
      <c r="BD402" s="276"/>
      <c r="BE402" s="276">
        <v>40</v>
      </c>
      <c r="BF402" s="276">
        <v>80</v>
      </c>
      <c r="BG402" s="260">
        <v>160</v>
      </c>
      <c r="BH402" s="271">
        <v>1280</v>
      </c>
      <c r="BI402" s="276"/>
      <c r="BJ402" s="276"/>
      <c r="BK402" s="276"/>
      <c r="BL402" s="275"/>
      <c r="BM402" s="280" t="s">
        <v>165</v>
      </c>
      <c r="BN402" s="272">
        <v>80</v>
      </c>
      <c r="BO402" s="270">
        <v>80</v>
      </c>
      <c r="BP402" s="272"/>
      <c r="BQ402" s="260"/>
      <c r="BR402" s="260"/>
      <c r="BS402" s="260"/>
      <c r="BT402" s="260"/>
      <c r="BU402" s="260"/>
      <c r="BV402" s="260">
        <v>160</v>
      </c>
      <c r="BW402" s="260">
        <v>320</v>
      </c>
      <c r="BX402" s="260"/>
      <c r="BY402" s="260"/>
      <c r="BZ402" s="260"/>
      <c r="CA402" s="260"/>
      <c r="CB402" s="260"/>
      <c r="CC402" s="260"/>
      <c r="CD402" s="260">
        <v>160</v>
      </c>
      <c r="CE402" s="260">
        <v>320</v>
      </c>
      <c r="CF402" s="272"/>
      <c r="CG402" s="260"/>
      <c r="CH402" s="260"/>
      <c r="CI402" s="260"/>
      <c r="CJ402" s="260"/>
      <c r="CK402" s="260"/>
      <c r="CL402" s="260"/>
      <c r="CM402" s="260"/>
      <c r="CN402" s="260">
        <v>80</v>
      </c>
      <c r="CO402" s="260">
        <v>160</v>
      </c>
      <c r="CP402" s="260">
        <v>320</v>
      </c>
      <c r="CQ402" s="260">
        <v>160</v>
      </c>
      <c r="CR402" s="260">
        <v>160</v>
      </c>
      <c r="CS402" s="270">
        <v>160</v>
      </c>
      <c r="CT402" s="279" t="s">
        <v>165</v>
      </c>
      <c r="CU402" s="249">
        <f>Table2821115[[#This Row],[D28 - BR/18]]/Table2821115[[#This Row],[D0 - BR/18]]</f>
        <v>2</v>
      </c>
      <c r="CV402" s="248">
        <f>Table2821115[[#This Row],[D28 - KS/17]]/Table2821115[[#This Row],[D0 - KS/17]]</f>
        <v>2</v>
      </c>
      <c r="CW402" s="248">
        <f>Table2821115[[#This Row],[D28 - Phu/13]]/Table2821115[[#This Row],[D0 - Phu/13]]</f>
        <v>2</v>
      </c>
      <c r="CX402" s="248">
        <f>Table2821115[[#This Row],[D28 - CO/17]]/Table2821115[[#This Row],[D0 - CO/17]]</f>
        <v>0.5</v>
      </c>
      <c r="CY402" s="248">
        <f>LOG(Table2821115[[#This Row],[BR/18 Fold]],2)</f>
        <v>1</v>
      </c>
      <c r="CZ402" s="248">
        <f>LOG(Table2821115[[#This Row],[KS/17 Fold]],2)</f>
        <v>1</v>
      </c>
      <c r="DA402" s="248">
        <f>LOG(Table2821115[[#This Row],[Phu/13 Fold]],2)</f>
        <v>1</v>
      </c>
      <c r="DB402" s="248">
        <f>LOG(Table2821115[[#This Row],[CO/17 Fold]],2)</f>
        <v>-1</v>
      </c>
      <c r="DC402" s="248">
        <f>SUM(Table2821115[[#This Row],[BR/18 Log2]:[CO/17 Log2]])</f>
        <v>2</v>
      </c>
    </row>
    <row r="403" spans="1:107" ht="24" customHeight="1">
      <c r="A403" s="282" t="s">
        <v>166</v>
      </c>
      <c r="B403" s="151">
        <v>37371</v>
      </c>
      <c r="C403" s="151">
        <v>43752</v>
      </c>
      <c r="D403" s="150">
        <v>17</v>
      </c>
      <c r="E403" s="3" t="s">
        <v>61</v>
      </c>
      <c r="F403" s="143" t="s">
        <v>116</v>
      </c>
      <c r="G403" s="142">
        <v>22.060077800251126</v>
      </c>
      <c r="H403" s="11" t="s">
        <v>59</v>
      </c>
      <c r="I403" s="281" t="s">
        <v>60</v>
      </c>
      <c r="J403" s="260">
        <v>5</v>
      </c>
      <c r="K403" s="260">
        <v>5</v>
      </c>
      <c r="L403" s="260"/>
      <c r="M403" s="260"/>
      <c r="N403" s="260"/>
      <c r="O403" s="260"/>
      <c r="P403" s="260"/>
      <c r="Q403" s="260"/>
      <c r="R403" s="260"/>
      <c r="S403" s="260"/>
      <c r="T403" s="260"/>
      <c r="U403" s="260"/>
      <c r="V403" s="260">
        <v>20</v>
      </c>
      <c r="W403" s="260">
        <v>20</v>
      </c>
      <c r="X403" s="260">
        <v>160</v>
      </c>
      <c r="Y403" s="260">
        <v>160</v>
      </c>
      <c r="Z403" s="260">
        <v>160</v>
      </c>
      <c r="AA403" s="260">
        <v>320</v>
      </c>
      <c r="AB403" s="260">
        <v>80</v>
      </c>
      <c r="AC403" s="260">
        <v>80</v>
      </c>
      <c r="AD403" s="260"/>
      <c r="AE403" s="260"/>
      <c r="AF403" s="260"/>
      <c r="AG403" s="260"/>
      <c r="AH403" s="174" t="s">
        <v>166</v>
      </c>
      <c r="AI403" s="272">
        <v>10</v>
      </c>
      <c r="AJ403" s="271">
        <v>10</v>
      </c>
      <c r="AK403" s="260"/>
      <c r="AL403" s="260"/>
      <c r="AM403" s="260"/>
      <c r="AN403" s="260"/>
      <c r="AO403" s="260"/>
      <c r="AP403" s="260"/>
      <c r="AQ403" s="260"/>
      <c r="AR403" s="260"/>
      <c r="AS403" s="260"/>
      <c r="AT403" s="260"/>
      <c r="AU403" s="260">
        <v>320</v>
      </c>
      <c r="AV403" s="271">
        <v>320</v>
      </c>
      <c r="AW403" s="260">
        <v>80</v>
      </c>
      <c r="AX403" s="271">
        <v>80</v>
      </c>
      <c r="AY403" s="260">
        <v>80</v>
      </c>
      <c r="AZ403" s="271">
        <v>80</v>
      </c>
      <c r="BA403" s="276">
        <v>160</v>
      </c>
      <c r="BB403" s="276">
        <v>160</v>
      </c>
      <c r="BC403" s="276"/>
      <c r="BD403" s="276"/>
      <c r="BE403" s="276">
        <v>10</v>
      </c>
      <c r="BF403" s="276">
        <v>10</v>
      </c>
      <c r="BG403" s="260">
        <v>320</v>
      </c>
      <c r="BH403" s="271">
        <v>1280</v>
      </c>
      <c r="BI403" s="276"/>
      <c r="BJ403" s="276"/>
      <c r="BK403" s="276"/>
      <c r="BL403" s="275"/>
      <c r="BM403" s="280" t="s">
        <v>166</v>
      </c>
      <c r="BN403" s="272">
        <v>80</v>
      </c>
      <c r="BO403" s="270">
        <v>80</v>
      </c>
      <c r="BP403" s="272"/>
      <c r="BQ403" s="260"/>
      <c r="BR403" s="260"/>
      <c r="BS403" s="260"/>
      <c r="BT403" s="260"/>
      <c r="BU403" s="260"/>
      <c r="BV403" s="260">
        <v>160</v>
      </c>
      <c r="BW403" s="260">
        <v>160</v>
      </c>
      <c r="BX403" s="260"/>
      <c r="BY403" s="260"/>
      <c r="BZ403" s="260"/>
      <c r="CA403" s="260"/>
      <c r="CB403" s="260"/>
      <c r="CC403" s="260"/>
      <c r="CD403" s="260">
        <v>160</v>
      </c>
      <c r="CE403" s="260">
        <v>160</v>
      </c>
      <c r="CF403" s="272"/>
      <c r="CG403" s="260"/>
      <c r="CH403" s="260"/>
      <c r="CI403" s="260"/>
      <c r="CJ403" s="260"/>
      <c r="CK403" s="260"/>
      <c r="CL403" s="260"/>
      <c r="CM403" s="260"/>
      <c r="CN403" s="260">
        <v>160</v>
      </c>
      <c r="CO403" s="260">
        <v>160</v>
      </c>
      <c r="CP403" s="260">
        <v>320</v>
      </c>
      <c r="CQ403" s="260">
        <v>320</v>
      </c>
      <c r="CR403" s="260">
        <v>320</v>
      </c>
      <c r="CS403" s="270">
        <v>320</v>
      </c>
      <c r="CT403" s="279" t="s">
        <v>166</v>
      </c>
      <c r="CU403" s="249">
        <f>Table2821115[[#This Row],[D28 - BR/18]]/Table2821115[[#This Row],[D0 - BR/18]]</f>
        <v>1</v>
      </c>
      <c r="CV403" s="248">
        <f>Table2821115[[#This Row],[D28 - KS/17]]/Table2821115[[#This Row],[D0 - KS/17]]</f>
        <v>1</v>
      </c>
      <c r="CW403" s="248">
        <f>Table2821115[[#This Row],[D28 - Phu/13]]/Table2821115[[#This Row],[D0 - Phu/13]]</f>
        <v>1</v>
      </c>
      <c r="CX403" s="248">
        <f>Table2821115[[#This Row],[D28 - CO/17]]/Table2821115[[#This Row],[D0 - CO/17]]</f>
        <v>1</v>
      </c>
      <c r="CY403" s="248">
        <f>LOG(Table2821115[[#This Row],[BR/18 Fold]],2)</f>
        <v>0</v>
      </c>
      <c r="CZ403" s="248">
        <f>LOG(Table2821115[[#This Row],[KS/17 Fold]],2)</f>
        <v>0</v>
      </c>
      <c r="DA403" s="248">
        <f>LOG(Table2821115[[#This Row],[Phu/13 Fold]],2)</f>
        <v>0</v>
      </c>
      <c r="DB403" s="248">
        <f>LOG(Table2821115[[#This Row],[CO/17 Fold]],2)</f>
        <v>0</v>
      </c>
      <c r="DC403" s="248">
        <f>SUM(Table2821115[[#This Row],[BR/18 Log2]:[CO/17 Log2]])</f>
        <v>0</v>
      </c>
    </row>
    <row r="404" spans="1:107" ht="24" customHeight="1">
      <c r="A404" s="278" t="s">
        <v>167</v>
      </c>
      <c r="B404" s="145">
        <v>38489</v>
      </c>
      <c r="C404" s="145">
        <v>43861</v>
      </c>
      <c r="D404" s="144">
        <v>14</v>
      </c>
      <c r="E404" s="4" t="s">
        <v>58</v>
      </c>
      <c r="F404" s="143" t="s">
        <v>116</v>
      </c>
      <c r="G404" s="142">
        <v>33.897999758193109</v>
      </c>
      <c r="H404" s="11" t="s">
        <v>59</v>
      </c>
      <c r="I404" s="281" t="s">
        <v>60</v>
      </c>
      <c r="J404" s="260">
        <v>5</v>
      </c>
      <c r="K404" s="260">
        <v>5</v>
      </c>
      <c r="L404" s="260"/>
      <c r="M404" s="260"/>
      <c r="N404" s="260"/>
      <c r="O404" s="260"/>
      <c r="P404" s="260"/>
      <c r="Q404" s="260"/>
      <c r="R404" s="260"/>
      <c r="S404" s="260"/>
      <c r="T404" s="260"/>
      <c r="U404" s="260"/>
      <c r="V404" s="260">
        <v>10</v>
      </c>
      <c r="W404" s="260">
        <v>10</v>
      </c>
      <c r="X404" s="260">
        <v>80</v>
      </c>
      <c r="Y404" s="260">
        <v>80</v>
      </c>
      <c r="Z404" s="260">
        <v>80</v>
      </c>
      <c r="AA404" s="260">
        <v>160</v>
      </c>
      <c r="AB404" s="260">
        <v>40</v>
      </c>
      <c r="AC404" s="260">
        <v>80</v>
      </c>
      <c r="AD404" s="260"/>
      <c r="AE404" s="260"/>
      <c r="AF404" s="260"/>
      <c r="AG404" s="260"/>
      <c r="AH404" s="176" t="s">
        <v>167</v>
      </c>
      <c r="AI404" s="272">
        <v>5</v>
      </c>
      <c r="AJ404" s="271">
        <v>10</v>
      </c>
      <c r="AK404" s="260"/>
      <c r="AL404" s="260"/>
      <c r="AM404" s="260"/>
      <c r="AN404" s="260"/>
      <c r="AO404" s="260"/>
      <c r="AP404" s="260"/>
      <c r="AQ404" s="260"/>
      <c r="AR404" s="260"/>
      <c r="AS404" s="260"/>
      <c r="AT404" s="260"/>
      <c r="AU404" s="260">
        <v>160</v>
      </c>
      <c r="AV404" s="271">
        <v>640</v>
      </c>
      <c r="AW404" s="260">
        <v>80</v>
      </c>
      <c r="AX404" s="271">
        <v>320</v>
      </c>
      <c r="AY404" s="260">
        <v>160</v>
      </c>
      <c r="AZ404" s="271">
        <v>320</v>
      </c>
      <c r="BA404" s="276">
        <v>160</v>
      </c>
      <c r="BB404" s="276">
        <v>320</v>
      </c>
      <c r="BC404" s="276"/>
      <c r="BD404" s="276"/>
      <c r="BE404" s="276">
        <v>20</v>
      </c>
      <c r="BF404" s="276">
        <v>160</v>
      </c>
      <c r="BG404" s="260">
        <v>320</v>
      </c>
      <c r="BH404" s="271">
        <v>1280</v>
      </c>
      <c r="BI404" s="276"/>
      <c r="BJ404" s="276"/>
      <c r="BK404" s="276"/>
      <c r="BL404" s="275"/>
      <c r="BM404" s="274" t="s">
        <v>167</v>
      </c>
      <c r="BN404" s="272">
        <v>5</v>
      </c>
      <c r="BO404" s="270">
        <v>10</v>
      </c>
      <c r="BP404" s="272"/>
      <c r="BQ404" s="260"/>
      <c r="BR404" s="260"/>
      <c r="BS404" s="260"/>
      <c r="BT404" s="260"/>
      <c r="BU404" s="260"/>
      <c r="BV404" s="260">
        <v>5</v>
      </c>
      <c r="BW404" s="260">
        <v>5</v>
      </c>
      <c r="BX404" s="260"/>
      <c r="BY404" s="260"/>
      <c r="BZ404" s="260"/>
      <c r="CA404" s="260"/>
      <c r="CB404" s="260"/>
      <c r="CC404" s="260"/>
      <c r="CD404" s="260">
        <v>20</v>
      </c>
      <c r="CE404" s="260">
        <v>40</v>
      </c>
      <c r="CF404" s="272"/>
      <c r="CG404" s="260"/>
      <c r="CH404" s="260"/>
      <c r="CI404" s="260"/>
      <c r="CJ404" s="260"/>
      <c r="CK404" s="260"/>
      <c r="CL404" s="260"/>
      <c r="CM404" s="260"/>
      <c r="CN404" s="260">
        <v>40</v>
      </c>
      <c r="CO404" s="260">
        <v>80</v>
      </c>
      <c r="CP404" s="260">
        <v>5</v>
      </c>
      <c r="CQ404" s="260">
        <v>40</v>
      </c>
      <c r="CR404" s="260">
        <v>10</v>
      </c>
      <c r="CS404" s="270">
        <v>40</v>
      </c>
      <c r="CT404" s="269" t="s">
        <v>167</v>
      </c>
      <c r="CU404" s="249">
        <f>Table2821115[[#This Row],[D28 - BR/18]]/Table2821115[[#This Row],[D0 - BR/18]]</f>
        <v>2</v>
      </c>
      <c r="CV404" s="248">
        <f>Table2821115[[#This Row],[D28 - KS/17]]/Table2821115[[#This Row],[D0 - KS/17]]</f>
        <v>8</v>
      </c>
      <c r="CW404" s="248">
        <f>Table2821115[[#This Row],[D28 - Phu/13]]/Table2821115[[#This Row],[D0 - Phu/13]]</f>
        <v>2</v>
      </c>
      <c r="CX404" s="248">
        <f>Table2821115[[#This Row],[D28 - CO/17]]/Table2821115[[#This Row],[D0 - CO/17]]</f>
        <v>8</v>
      </c>
      <c r="CY404" s="248">
        <f>LOG(Table2821115[[#This Row],[BR/18 Fold]],2)</f>
        <v>1</v>
      </c>
      <c r="CZ404" s="248">
        <f>LOG(Table2821115[[#This Row],[KS/17 Fold]],2)</f>
        <v>3</v>
      </c>
      <c r="DA404" s="248">
        <f>LOG(Table2821115[[#This Row],[Phu/13 Fold]],2)</f>
        <v>1</v>
      </c>
      <c r="DB404" s="248">
        <f>LOG(Table2821115[[#This Row],[CO/17 Fold]],2)</f>
        <v>3</v>
      </c>
      <c r="DC404" s="248">
        <f>SUM(Table2821115[[#This Row],[BR/18 Log2]:[CO/17 Log2]])</f>
        <v>8</v>
      </c>
    </row>
    <row r="405" spans="1:107" ht="24" customHeight="1">
      <c r="A405" s="282" t="s">
        <v>168</v>
      </c>
      <c r="B405" s="151">
        <v>38208</v>
      </c>
      <c r="C405" s="151">
        <v>43795</v>
      </c>
      <c r="D405" s="150">
        <v>15</v>
      </c>
      <c r="E405" s="3" t="s">
        <v>61</v>
      </c>
      <c r="F405" s="143" t="s">
        <v>116</v>
      </c>
      <c r="G405" s="142">
        <v>19.574836060747995</v>
      </c>
      <c r="H405" s="11" t="s">
        <v>59</v>
      </c>
      <c r="I405" s="281" t="s">
        <v>60</v>
      </c>
      <c r="J405" s="260">
        <v>5</v>
      </c>
      <c r="K405" s="260">
        <v>5</v>
      </c>
      <c r="L405" s="260"/>
      <c r="M405" s="260"/>
      <c r="N405" s="260"/>
      <c r="O405" s="260"/>
      <c r="P405" s="260"/>
      <c r="Q405" s="260"/>
      <c r="R405" s="260"/>
      <c r="S405" s="260"/>
      <c r="T405" s="260"/>
      <c r="U405" s="260"/>
      <c r="V405" s="260">
        <v>5</v>
      </c>
      <c r="W405" s="260">
        <v>5</v>
      </c>
      <c r="X405" s="260">
        <v>320</v>
      </c>
      <c r="Y405" s="260">
        <v>320</v>
      </c>
      <c r="Z405" s="260">
        <v>640</v>
      </c>
      <c r="AA405" s="260">
        <v>640</v>
      </c>
      <c r="AB405" s="260">
        <v>160</v>
      </c>
      <c r="AC405" s="260">
        <v>320</v>
      </c>
      <c r="AD405" s="260"/>
      <c r="AE405" s="260"/>
      <c r="AF405" s="260"/>
      <c r="AG405" s="260"/>
      <c r="AH405" s="174" t="s">
        <v>168</v>
      </c>
      <c r="AI405" s="272">
        <v>5</v>
      </c>
      <c r="AJ405" s="271">
        <v>5</v>
      </c>
      <c r="AK405" s="260"/>
      <c r="AL405" s="260"/>
      <c r="AM405" s="260"/>
      <c r="AN405" s="260"/>
      <c r="AO405" s="260"/>
      <c r="AP405" s="260"/>
      <c r="AQ405" s="260"/>
      <c r="AR405" s="260"/>
      <c r="AS405" s="260"/>
      <c r="AT405" s="260"/>
      <c r="AU405" s="260">
        <v>320</v>
      </c>
      <c r="AV405" s="271">
        <v>640</v>
      </c>
      <c r="AW405" s="260">
        <v>640</v>
      </c>
      <c r="AX405" s="271">
        <v>1280</v>
      </c>
      <c r="AY405" s="260">
        <v>640</v>
      </c>
      <c r="AZ405" s="271">
        <v>640</v>
      </c>
      <c r="BA405" s="276">
        <v>640</v>
      </c>
      <c r="BB405" s="276">
        <v>1280</v>
      </c>
      <c r="BC405" s="276"/>
      <c r="BD405" s="276"/>
      <c r="BE405" s="276">
        <v>160</v>
      </c>
      <c r="BF405" s="276">
        <v>640</v>
      </c>
      <c r="BG405" s="260">
        <v>1280</v>
      </c>
      <c r="BH405" s="271">
        <v>2560</v>
      </c>
      <c r="BI405" s="276"/>
      <c r="BJ405" s="276"/>
      <c r="BK405" s="276"/>
      <c r="BL405" s="275"/>
      <c r="BM405" s="280" t="s">
        <v>168</v>
      </c>
      <c r="BN405" s="272">
        <v>160</v>
      </c>
      <c r="BO405" s="270">
        <v>160</v>
      </c>
      <c r="BP405" s="272"/>
      <c r="BQ405" s="260"/>
      <c r="BR405" s="260"/>
      <c r="BS405" s="260"/>
      <c r="BT405" s="260"/>
      <c r="BU405" s="260"/>
      <c r="BV405" s="260">
        <v>320</v>
      </c>
      <c r="BW405" s="260">
        <v>320</v>
      </c>
      <c r="BX405" s="260"/>
      <c r="BY405" s="260"/>
      <c r="BZ405" s="260"/>
      <c r="CA405" s="260"/>
      <c r="CB405" s="260"/>
      <c r="CC405" s="260"/>
      <c r="CD405" s="260">
        <v>160</v>
      </c>
      <c r="CE405" s="260">
        <v>160</v>
      </c>
      <c r="CF405" s="272"/>
      <c r="CG405" s="260"/>
      <c r="CH405" s="260"/>
      <c r="CI405" s="260"/>
      <c r="CJ405" s="260"/>
      <c r="CK405" s="260"/>
      <c r="CL405" s="260"/>
      <c r="CM405" s="260"/>
      <c r="CN405" s="260">
        <v>80</v>
      </c>
      <c r="CO405" s="260">
        <v>80</v>
      </c>
      <c r="CP405" s="260">
        <v>160</v>
      </c>
      <c r="CQ405" s="260">
        <v>80</v>
      </c>
      <c r="CR405" s="260">
        <v>80</v>
      </c>
      <c r="CS405" s="270">
        <v>160</v>
      </c>
      <c r="CT405" s="279" t="s">
        <v>168</v>
      </c>
      <c r="CU405" s="249">
        <f>Table2821115[[#This Row],[D28 - BR/18]]/Table2821115[[#This Row],[D0 - BR/18]]</f>
        <v>2</v>
      </c>
      <c r="CV405" s="248">
        <f>Table2821115[[#This Row],[D28 - KS/17]]/Table2821115[[#This Row],[D0 - KS/17]]</f>
        <v>4</v>
      </c>
      <c r="CW405" s="248">
        <f>Table2821115[[#This Row],[D28 - Phu/13]]/Table2821115[[#This Row],[D0 - Phu/13]]</f>
        <v>1</v>
      </c>
      <c r="CX405" s="248">
        <f>Table2821115[[#This Row],[D28 - CO/17]]/Table2821115[[#This Row],[D0 - CO/17]]</f>
        <v>0.5</v>
      </c>
      <c r="CY405" s="248">
        <f>LOG(Table2821115[[#This Row],[BR/18 Fold]],2)</f>
        <v>1</v>
      </c>
      <c r="CZ405" s="248">
        <f>LOG(Table2821115[[#This Row],[KS/17 Fold]],2)</f>
        <v>2</v>
      </c>
      <c r="DA405" s="248">
        <f>LOG(Table2821115[[#This Row],[Phu/13 Fold]],2)</f>
        <v>0</v>
      </c>
      <c r="DB405" s="248">
        <f>LOG(Table2821115[[#This Row],[CO/17 Fold]],2)</f>
        <v>-1</v>
      </c>
      <c r="DC405" s="248">
        <f>SUM(Table2821115[[#This Row],[BR/18 Log2]:[CO/17 Log2]])</f>
        <v>2</v>
      </c>
    </row>
    <row r="406" spans="1:107" ht="24" customHeight="1">
      <c r="A406" s="282" t="s">
        <v>169</v>
      </c>
      <c r="B406" s="151">
        <v>37424</v>
      </c>
      <c r="C406" s="151">
        <v>43795</v>
      </c>
      <c r="D406" s="150">
        <v>17</v>
      </c>
      <c r="E406" s="4" t="s">
        <v>58</v>
      </c>
      <c r="F406" s="143" t="s">
        <v>116</v>
      </c>
      <c r="G406" s="142">
        <v>16.787535564516332</v>
      </c>
      <c r="H406" s="11" t="s">
        <v>59</v>
      </c>
      <c r="I406" s="281" t="s">
        <v>60</v>
      </c>
      <c r="J406" s="260">
        <v>5</v>
      </c>
      <c r="K406" s="260">
        <v>5</v>
      </c>
      <c r="L406" s="260"/>
      <c r="M406" s="260"/>
      <c r="N406" s="260"/>
      <c r="O406" s="260"/>
      <c r="P406" s="260"/>
      <c r="Q406" s="260"/>
      <c r="R406" s="260"/>
      <c r="S406" s="260"/>
      <c r="T406" s="260"/>
      <c r="U406" s="260"/>
      <c r="V406" s="260">
        <v>5</v>
      </c>
      <c r="W406" s="260">
        <v>160</v>
      </c>
      <c r="X406" s="260">
        <v>80</v>
      </c>
      <c r="Y406" s="260">
        <v>160</v>
      </c>
      <c r="Z406" s="260">
        <v>160</v>
      </c>
      <c r="AA406" s="260">
        <v>320</v>
      </c>
      <c r="AB406" s="260">
        <v>80</v>
      </c>
      <c r="AC406" s="260">
        <v>160</v>
      </c>
      <c r="AD406" s="260"/>
      <c r="AE406" s="260"/>
      <c r="AF406" s="260"/>
      <c r="AG406" s="260"/>
      <c r="AH406" s="174" t="s">
        <v>169</v>
      </c>
      <c r="AI406" s="272">
        <v>10</v>
      </c>
      <c r="AJ406" s="271">
        <v>80</v>
      </c>
      <c r="AK406" s="260"/>
      <c r="AL406" s="260"/>
      <c r="AM406" s="260"/>
      <c r="AN406" s="260"/>
      <c r="AO406" s="260"/>
      <c r="AP406" s="260"/>
      <c r="AQ406" s="260"/>
      <c r="AR406" s="260"/>
      <c r="AS406" s="260"/>
      <c r="AT406" s="260"/>
      <c r="AU406" s="260">
        <v>80</v>
      </c>
      <c r="AV406" s="271">
        <v>640</v>
      </c>
      <c r="AW406" s="260">
        <v>20</v>
      </c>
      <c r="AX406" s="271">
        <v>320</v>
      </c>
      <c r="AY406" s="260">
        <v>40</v>
      </c>
      <c r="AZ406" s="271">
        <v>160</v>
      </c>
      <c r="BA406" s="276">
        <v>40</v>
      </c>
      <c r="BB406" s="276">
        <v>320</v>
      </c>
      <c r="BC406" s="276"/>
      <c r="BD406" s="276"/>
      <c r="BE406" s="276">
        <v>10</v>
      </c>
      <c r="BF406" s="276">
        <v>320</v>
      </c>
      <c r="BG406" s="260">
        <v>80</v>
      </c>
      <c r="BH406" s="271">
        <v>5120</v>
      </c>
      <c r="BI406" s="276"/>
      <c r="BJ406" s="276"/>
      <c r="BK406" s="276"/>
      <c r="BL406" s="275"/>
      <c r="BM406" s="280" t="s">
        <v>169</v>
      </c>
      <c r="BN406" s="272">
        <v>5</v>
      </c>
      <c r="BO406" s="270">
        <v>40</v>
      </c>
      <c r="BP406" s="272"/>
      <c r="BQ406" s="260"/>
      <c r="BR406" s="260"/>
      <c r="BS406" s="260"/>
      <c r="BT406" s="260"/>
      <c r="BU406" s="260"/>
      <c r="BV406" s="260">
        <v>5</v>
      </c>
      <c r="BW406" s="260">
        <v>320</v>
      </c>
      <c r="BX406" s="260"/>
      <c r="BY406" s="260"/>
      <c r="BZ406" s="260"/>
      <c r="CA406" s="260"/>
      <c r="CB406" s="260"/>
      <c r="CC406" s="260"/>
      <c r="CD406" s="260">
        <v>40</v>
      </c>
      <c r="CE406" s="260">
        <v>640</v>
      </c>
      <c r="CF406" s="272"/>
      <c r="CG406" s="260"/>
      <c r="CH406" s="260"/>
      <c r="CI406" s="260"/>
      <c r="CJ406" s="260"/>
      <c r="CK406" s="260"/>
      <c r="CL406" s="260"/>
      <c r="CM406" s="260"/>
      <c r="CN406" s="260">
        <v>80</v>
      </c>
      <c r="CO406" s="260">
        <v>160</v>
      </c>
      <c r="CP406" s="260">
        <v>160</v>
      </c>
      <c r="CQ406" s="260">
        <v>160</v>
      </c>
      <c r="CR406" s="260">
        <v>160</v>
      </c>
      <c r="CS406" s="270">
        <v>320</v>
      </c>
      <c r="CT406" s="279" t="s">
        <v>169</v>
      </c>
      <c r="CU406" s="249">
        <f>Table2821115[[#This Row],[D28 - BR/18]]/Table2821115[[#This Row],[D0 - BR/18]]</f>
        <v>2</v>
      </c>
      <c r="CV406" s="248">
        <f>Table2821115[[#This Row],[D28 - KS/17]]/Table2821115[[#This Row],[D0 - KS/17]]</f>
        <v>32</v>
      </c>
      <c r="CW406" s="248">
        <f>Table2821115[[#This Row],[D28 - Phu/13]]/Table2821115[[#This Row],[D0 - Phu/13]]</f>
        <v>16</v>
      </c>
      <c r="CX406" s="248">
        <f>Table2821115[[#This Row],[D28 - CO/17]]/Table2821115[[#This Row],[D0 - CO/17]]</f>
        <v>1</v>
      </c>
      <c r="CY406" s="248">
        <f>LOG(Table2821115[[#This Row],[BR/18 Fold]],2)</f>
        <v>1</v>
      </c>
      <c r="CZ406" s="248">
        <f>LOG(Table2821115[[#This Row],[KS/17 Fold]],2)</f>
        <v>5</v>
      </c>
      <c r="DA406" s="248">
        <f>LOG(Table2821115[[#This Row],[Phu/13 Fold]],2)</f>
        <v>4</v>
      </c>
      <c r="DB406" s="248">
        <f>LOG(Table2821115[[#This Row],[CO/17 Fold]],2)</f>
        <v>0</v>
      </c>
      <c r="DC406" s="248">
        <f>SUM(Table2821115[[#This Row],[BR/18 Log2]:[CO/17 Log2]])</f>
        <v>10</v>
      </c>
    </row>
    <row r="407" spans="1:107" ht="24" customHeight="1">
      <c r="A407" s="282" t="s">
        <v>170</v>
      </c>
      <c r="B407" s="151">
        <v>37354</v>
      </c>
      <c r="C407" s="151">
        <v>43747</v>
      </c>
      <c r="D407" s="150">
        <v>17</v>
      </c>
      <c r="E407" s="4" t="s">
        <v>58</v>
      </c>
      <c r="F407" s="143" t="s">
        <v>116</v>
      </c>
      <c r="G407" s="142">
        <v>22.996018266096776</v>
      </c>
      <c r="H407" s="11" t="s">
        <v>59</v>
      </c>
      <c r="I407" s="281" t="s">
        <v>60</v>
      </c>
      <c r="J407" s="260">
        <v>5</v>
      </c>
      <c r="K407" s="260">
        <v>5</v>
      </c>
      <c r="L407" s="260"/>
      <c r="M407" s="260"/>
      <c r="N407" s="260"/>
      <c r="O407" s="260"/>
      <c r="P407" s="260"/>
      <c r="Q407" s="260"/>
      <c r="R407" s="260"/>
      <c r="S407" s="260"/>
      <c r="T407" s="260"/>
      <c r="U407" s="260"/>
      <c r="V407" s="260">
        <v>5</v>
      </c>
      <c r="W407" s="260">
        <v>5</v>
      </c>
      <c r="X407" s="260">
        <v>40</v>
      </c>
      <c r="Y407" s="260">
        <v>40</v>
      </c>
      <c r="Z407" s="260">
        <v>80</v>
      </c>
      <c r="AA407" s="260">
        <v>80</v>
      </c>
      <c r="AB407" s="260">
        <v>40</v>
      </c>
      <c r="AC407" s="260">
        <v>40</v>
      </c>
      <c r="AD407" s="260"/>
      <c r="AE407" s="260"/>
      <c r="AF407" s="260"/>
      <c r="AG407" s="260"/>
      <c r="AH407" s="174" t="s">
        <v>170</v>
      </c>
      <c r="AI407" s="272">
        <v>20</v>
      </c>
      <c r="AJ407" s="271">
        <v>20</v>
      </c>
      <c r="AK407" s="260"/>
      <c r="AL407" s="260"/>
      <c r="AM407" s="260"/>
      <c r="AN407" s="260"/>
      <c r="AO407" s="260"/>
      <c r="AP407" s="260"/>
      <c r="AQ407" s="260"/>
      <c r="AR407" s="260"/>
      <c r="AS407" s="260"/>
      <c r="AT407" s="260"/>
      <c r="AU407" s="260">
        <v>160</v>
      </c>
      <c r="AV407" s="271">
        <v>160</v>
      </c>
      <c r="AW407" s="260">
        <v>160</v>
      </c>
      <c r="AX407" s="271">
        <v>160</v>
      </c>
      <c r="AY407" s="260">
        <v>160</v>
      </c>
      <c r="AZ407" s="271">
        <v>160</v>
      </c>
      <c r="BA407" s="276">
        <v>160</v>
      </c>
      <c r="BB407" s="276">
        <v>160</v>
      </c>
      <c r="BC407" s="276"/>
      <c r="BD407" s="276"/>
      <c r="BE407" s="276">
        <v>20</v>
      </c>
      <c r="BF407" s="276">
        <v>40</v>
      </c>
      <c r="BG407" s="260">
        <v>160</v>
      </c>
      <c r="BH407" s="271">
        <v>2560</v>
      </c>
      <c r="BI407" s="276"/>
      <c r="BJ407" s="276"/>
      <c r="BK407" s="276"/>
      <c r="BL407" s="275"/>
      <c r="BM407" s="280" t="s">
        <v>170</v>
      </c>
      <c r="BN407" s="272">
        <v>20</v>
      </c>
      <c r="BO407" s="270">
        <v>20</v>
      </c>
      <c r="BP407" s="272"/>
      <c r="BQ407" s="260"/>
      <c r="BR407" s="260"/>
      <c r="BS407" s="260"/>
      <c r="BT407" s="260"/>
      <c r="BU407" s="260"/>
      <c r="BV407" s="260">
        <v>5</v>
      </c>
      <c r="BW407" s="260">
        <v>5</v>
      </c>
      <c r="BX407" s="260"/>
      <c r="BY407" s="260"/>
      <c r="BZ407" s="260"/>
      <c r="CA407" s="260"/>
      <c r="CB407" s="260"/>
      <c r="CC407" s="260"/>
      <c r="CD407" s="260">
        <v>20</v>
      </c>
      <c r="CE407" s="260">
        <v>40</v>
      </c>
      <c r="CF407" s="272"/>
      <c r="CG407" s="260"/>
      <c r="CH407" s="260"/>
      <c r="CI407" s="260"/>
      <c r="CJ407" s="260"/>
      <c r="CK407" s="260"/>
      <c r="CL407" s="260"/>
      <c r="CM407" s="260"/>
      <c r="CN407" s="260">
        <v>40</v>
      </c>
      <c r="CO407" s="260">
        <v>40</v>
      </c>
      <c r="CP407" s="260">
        <v>40</v>
      </c>
      <c r="CQ407" s="260">
        <v>40</v>
      </c>
      <c r="CR407" s="260">
        <v>40</v>
      </c>
      <c r="CS407" s="270">
        <v>40</v>
      </c>
      <c r="CT407" s="279" t="s">
        <v>170</v>
      </c>
      <c r="CU407" s="249">
        <f>Table2821115[[#This Row],[D28 - BR/18]]/Table2821115[[#This Row],[D0 - BR/18]]</f>
        <v>1</v>
      </c>
      <c r="CV407" s="248">
        <f>Table2821115[[#This Row],[D28 - KS/17]]/Table2821115[[#This Row],[D0 - KS/17]]</f>
        <v>2</v>
      </c>
      <c r="CW407" s="248">
        <f>Table2821115[[#This Row],[D28 - Phu/13]]/Table2821115[[#This Row],[D0 - Phu/13]]</f>
        <v>2</v>
      </c>
      <c r="CX407" s="248">
        <f>Table2821115[[#This Row],[D28 - CO/17]]/Table2821115[[#This Row],[D0 - CO/17]]</f>
        <v>1</v>
      </c>
      <c r="CY407" s="248">
        <f>LOG(Table2821115[[#This Row],[BR/18 Fold]],2)</f>
        <v>0</v>
      </c>
      <c r="CZ407" s="248">
        <f>LOG(Table2821115[[#This Row],[KS/17 Fold]],2)</f>
        <v>1</v>
      </c>
      <c r="DA407" s="248">
        <f>LOG(Table2821115[[#This Row],[Phu/13 Fold]],2)</f>
        <v>1</v>
      </c>
      <c r="DB407" s="248">
        <f>LOG(Table2821115[[#This Row],[CO/17 Fold]],2)</f>
        <v>0</v>
      </c>
      <c r="DC407" s="248">
        <f>SUM(Table2821115[[#This Row],[BR/18 Log2]:[CO/17 Log2]])</f>
        <v>2</v>
      </c>
    </row>
    <row r="408" spans="1:107" ht="24" customHeight="1">
      <c r="A408" s="278" t="s">
        <v>171</v>
      </c>
      <c r="B408" s="145">
        <v>38755</v>
      </c>
      <c r="C408" s="145">
        <v>43759</v>
      </c>
      <c r="D408" s="144">
        <v>13</v>
      </c>
      <c r="E408" s="3" t="s">
        <v>61</v>
      </c>
      <c r="F408" s="143" t="s">
        <v>116</v>
      </c>
      <c r="G408" s="142">
        <v>19.201151143711943</v>
      </c>
      <c r="H408" s="11" t="s">
        <v>59</v>
      </c>
      <c r="I408" s="281" t="s">
        <v>60</v>
      </c>
      <c r="J408" s="260">
        <v>5</v>
      </c>
      <c r="K408" s="260">
        <v>5</v>
      </c>
      <c r="L408" s="260"/>
      <c r="M408" s="260"/>
      <c r="N408" s="260"/>
      <c r="O408" s="260"/>
      <c r="P408" s="260"/>
      <c r="Q408" s="260"/>
      <c r="R408" s="260"/>
      <c r="S408" s="260"/>
      <c r="T408" s="260"/>
      <c r="U408" s="260"/>
      <c r="V408" s="260">
        <v>5</v>
      </c>
      <c r="W408" s="260">
        <v>5</v>
      </c>
      <c r="X408" s="260">
        <v>320</v>
      </c>
      <c r="Y408" s="260">
        <v>320</v>
      </c>
      <c r="Z408" s="260">
        <v>640</v>
      </c>
      <c r="AA408" s="260">
        <v>640</v>
      </c>
      <c r="AB408" s="260">
        <v>320</v>
      </c>
      <c r="AC408" s="260">
        <v>320</v>
      </c>
      <c r="AD408" s="260"/>
      <c r="AE408" s="260"/>
      <c r="AF408" s="260"/>
      <c r="AG408" s="260"/>
      <c r="AH408" s="176" t="s">
        <v>171</v>
      </c>
      <c r="AI408" s="272">
        <v>5</v>
      </c>
      <c r="AJ408" s="271">
        <v>5</v>
      </c>
      <c r="AK408" s="260"/>
      <c r="AL408" s="260"/>
      <c r="AM408" s="260"/>
      <c r="AN408" s="260"/>
      <c r="AO408" s="260"/>
      <c r="AP408" s="260"/>
      <c r="AQ408" s="260"/>
      <c r="AR408" s="260"/>
      <c r="AS408" s="260"/>
      <c r="AT408" s="260"/>
      <c r="AU408" s="260">
        <v>160</v>
      </c>
      <c r="AV408" s="271">
        <v>160</v>
      </c>
      <c r="AW408" s="260">
        <v>40</v>
      </c>
      <c r="AX408" s="271">
        <v>80</v>
      </c>
      <c r="AY408" s="260">
        <v>80</v>
      </c>
      <c r="AZ408" s="271">
        <v>160</v>
      </c>
      <c r="BA408" s="276">
        <v>160</v>
      </c>
      <c r="BB408" s="276">
        <v>160</v>
      </c>
      <c r="BC408" s="276"/>
      <c r="BD408" s="276"/>
      <c r="BE408" s="276">
        <v>5</v>
      </c>
      <c r="BF408" s="276">
        <v>20</v>
      </c>
      <c r="BG408" s="260">
        <v>160</v>
      </c>
      <c r="BH408" s="271">
        <v>5120</v>
      </c>
      <c r="BI408" s="276"/>
      <c r="BJ408" s="276"/>
      <c r="BK408" s="276"/>
      <c r="BL408" s="275"/>
      <c r="BM408" s="274" t="s">
        <v>171</v>
      </c>
      <c r="BN408" s="272">
        <v>20</v>
      </c>
      <c r="BO408" s="270">
        <v>80</v>
      </c>
      <c r="BP408" s="272"/>
      <c r="BQ408" s="260"/>
      <c r="BR408" s="260"/>
      <c r="BS408" s="260"/>
      <c r="BT408" s="260"/>
      <c r="BU408" s="260"/>
      <c r="BV408" s="260">
        <v>5</v>
      </c>
      <c r="BW408" s="260">
        <v>160</v>
      </c>
      <c r="BX408" s="260"/>
      <c r="BY408" s="260"/>
      <c r="BZ408" s="260"/>
      <c r="CA408" s="260"/>
      <c r="CB408" s="260"/>
      <c r="CC408" s="260"/>
      <c r="CD408" s="260">
        <v>40</v>
      </c>
      <c r="CE408" s="260">
        <v>160</v>
      </c>
      <c r="CF408" s="272"/>
      <c r="CG408" s="260"/>
      <c r="CH408" s="260"/>
      <c r="CI408" s="260"/>
      <c r="CJ408" s="260"/>
      <c r="CK408" s="260"/>
      <c r="CL408" s="260"/>
      <c r="CM408" s="260"/>
      <c r="CN408" s="260">
        <v>20</v>
      </c>
      <c r="CO408" s="260">
        <v>80</v>
      </c>
      <c r="CP408" s="260">
        <v>40</v>
      </c>
      <c r="CQ408" s="260">
        <v>80</v>
      </c>
      <c r="CR408" s="260">
        <v>40</v>
      </c>
      <c r="CS408" s="270">
        <v>160</v>
      </c>
      <c r="CT408" s="269" t="s">
        <v>171</v>
      </c>
      <c r="CU408" s="249">
        <f>Table2821115[[#This Row],[D28 - BR/18]]/Table2821115[[#This Row],[D0 - BR/18]]</f>
        <v>1</v>
      </c>
      <c r="CV408" s="248">
        <f>Table2821115[[#This Row],[D28 - KS/17]]/Table2821115[[#This Row],[D0 - KS/17]]</f>
        <v>4</v>
      </c>
      <c r="CW408" s="248">
        <f>Table2821115[[#This Row],[D28 - Phu/13]]/Table2821115[[#This Row],[D0 - Phu/13]]</f>
        <v>4</v>
      </c>
      <c r="CX408" s="248">
        <f>Table2821115[[#This Row],[D28 - CO/17]]/Table2821115[[#This Row],[D0 - CO/17]]</f>
        <v>2</v>
      </c>
      <c r="CY408" s="248">
        <f>LOG(Table2821115[[#This Row],[BR/18 Fold]],2)</f>
        <v>0</v>
      </c>
      <c r="CZ408" s="248">
        <f>LOG(Table2821115[[#This Row],[KS/17 Fold]],2)</f>
        <v>2</v>
      </c>
      <c r="DA408" s="248">
        <f>LOG(Table2821115[[#This Row],[Phu/13 Fold]],2)</f>
        <v>2</v>
      </c>
      <c r="DB408" s="248">
        <f>LOG(Table2821115[[#This Row],[CO/17 Fold]],2)</f>
        <v>1</v>
      </c>
      <c r="DC408" s="248">
        <f>SUM(Table2821115[[#This Row],[BR/18 Log2]:[CO/17 Log2]])</f>
        <v>5</v>
      </c>
    </row>
    <row r="409" spans="1:107" ht="24" customHeight="1">
      <c r="A409" s="278" t="s">
        <v>172</v>
      </c>
      <c r="B409" s="145">
        <v>38835</v>
      </c>
      <c r="C409" s="145">
        <v>43754</v>
      </c>
      <c r="D409" s="144">
        <v>13</v>
      </c>
      <c r="E409" s="4" t="s">
        <v>58</v>
      </c>
      <c r="F409" s="143" t="s">
        <v>116</v>
      </c>
      <c r="G409" s="142">
        <v>18.463088939279416</v>
      </c>
      <c r="H409" s="11" t="s">
        <v>59</v>
      </c>
      <c r="I409" s="281" t="s">
        <v>60</v>
      </c>
      <c r="J409" s="260">
        <v>5</v>
      </c>
      <c r="K409" s="260">
        <v>5</v>
      </c>
      <c r="L409" s="260"/>
      <c r="M409" s="260"/>
      <c r="N409" s="260"/>
      <c r="O409" s="260"/>
      <c r="P409" s="260"/>
      <c r="Q409" s="260"/>
      <c r="R409" s="260"/>
      <c r="S409" s="260"/>
      <c r="T409" s="260"/>
      <c r="U409" s="260"/>
      <c r="V409" s="260">
        <v>5</v>
      </c>
      <c r="W409" s="260">
        <v>5</v>
      </c>
      <c r="X409" s="260">
        <v>160</v>
      </c>
      <c r="Y409" s="260">
        <v>160</v>
      </c>
      <c r="Z409" s="260">
        <v>320</v>
      </c>
      <c r="AA409" s="260">
        <v>320</v>
      </c>
      <c r="AB409" s="260">
        <v>160</v>
      </c>
      <c r="AC409" s="260">
        <v>160</v>
      </c>
      <c r="AD409" s="260"/>
      <c r="AE409" s="260"/>
      <c r="AF409" s="260"/>
      <c r="AG409" s="260"/>
      <c r="AH409" s="176" t="s">
        <v>172</v>
      </c>
      <c r="AI409" s="272">
        <v>5</v>
      </c>
      <c r="AJ409" s="271">
        <v>20</v>
      </c>
      <c r="AK409" s="260"/>
      <c r="AL409" s="260"/>
      <c r="AM409" s="260"/>
      <c r="AN409" s="260"/>
      <c r="AO409" s="260"/>
      <c r="AP409" s="260"/>
      <c r="AQ409" s="260"/>
      <c r="AR409" s="260"/>
      <c r="AS409" s="260"/>
      <c r="AT409" s="260"/>
      <c r="AU409" s="260">
        <v>160</v>
      </c>
      <c r="AV409" s="271">
        <v>320</v>
      </c>
      <c r="AW409" s="260">
        <v>160</v>
      </c>
      <c r="AX409" s="271">
        <v>320</v>
      </c>
      <c r="AY409" s="260">
        <v>80</v>
      </c>
      <c r="AZ409" s="271">
        <v>160</v>
      </c>
      <c r="BA409" s="276">
        <v>160</v>
      </c>
      <c r="BB409" s="276">
        <v>160</v>
      </c>
      <c r="BC409" s="276"/>
      <c r="BD409" s="276"/>
      <c r="BE409" s="276">
        <v>40</v>
      </c>
      <c r="BF409" s="276">
        <v>40</v>
      </c>
      <c r="BG409" s="260">
        <v>160</v>
      </c>
      <c r="BH409" s="271">
        <v>320</v>
      </c>
      <c r="BI409" s="276"/>
      <c r="BJ409" s="276"/>
      <c r="BK409" s="276"/>
      <c r="BL409" s="275"/>
      <c r="BM409" s="274" t="s">
        <v>172</v>
      </c>
      <c r="BN409" s="272">
        <v>5</v>
      </c>
      <c r="BO409" s="270">
        <v>5</v>
      </c>
      <c r="BP409" s="272"/>
      <c r="BQ409" s="260"/>
      <c r="BR409" s="260"/>
      <c r="BS409" s="260"/>
      <c r="BT409" s="260"/>
      <c r="BU409" s="260"/>
      <c r="BV409" s="260">
        <v>80</v>
      </c>
      <c r="BW409" s="260">
        <v>320</v>
      </c>
      <c r="BX409" s="260"/>
      <c r="BY409" s="260"/>
      <c r="BZ409" s="260"/>
      <c r="CA409" s="260"/>
      <c r="CB409" s="260"/>
      <c r="CC409" s="260"/>
      <c r="CD409" s="260">
        <v>40</v>
      </c>
      <c r="CE409" s="260">
        <v>160</v>
      </c>
      <c r="CF409" s="272"/>
      <c r="CG409" s="260"/>
      <c r="CH409" s="260"/>
      <c r="CI409" s="260"/>
      <c r="CJ409" s="260"/>
      <c r="CK409" s="260"/>
      <c r="CL409" s="260"/>
      <c r="CM409" s="260"/>
      <c r="CN409" s="260">
        <v>10</v>
      </c>
      <c r="CO409" s="260">
        <v>40</v>
      </c>
      <c r="CP409" s="260">
        <v>5</v>
      </c>
      <c r="CQ409" s="260">
        <v>20</v>
      </c>
      <c r="CR409" s="260">
        <v>20</v>
      </c>
      <c r="CS409" s="270">
        <v>40</v>
      </c>
      <c r="CT409" s="269" t="s">
        <v>172</v>
      </c>
      <c r="CU409" s="249">
        <f>Table2821115[[#This Row],[D28 - BR/18]]/Table2821115[[#This Row],[D0 - BR/18]]</f>
        <v>1</v>
      </c>
      <c r="CV409" s="248">
        <f>Table2821115[[#This Row],[D28 - KS/17]]/Table2821115[[#This Row],[D0 - KS/17]]</f>
        <v>1</v>
      </c>
      <c r="CW409" s="248">
        <f>Table2821115[[#This Row],[D28 - Phu/13]]/Table2821115[[#This Row],[D0 - Phu/13]]</f>
        <v>4</v>
      </c>
      <c r="CX409" s="248">
        <f>Table2821115[[#This Row],[D28 - CO/17]]/Table2821115[[#This Row],[D0 - CO/17]]</f>
        <v>4</v>
      </c>
      <c r="CY409" s="248">
        <f>LOG(Table2821115[[#This Row],[BR/18 Fold]],2)</f>
        <v>0</v>
      </c>
      <c r="CZ409" s="248">
        <f>LOG(Table2821115[[#This Row],[KS/17 Fold]],2)</f>
        <v>0</v>
      </c>
      <c r="DA409" s="248">
        <f>LOG(Table2821115[[#This Row],[Phu/13 Fold]],2)</f>
        <v>2</v>
      </c>
      <c r="DB409" s="248">
        <f>LOG(Table2821115[[#This Row],[CO/17 Fold]],2)</f>
        <v>2</v>
      </c>
      <c r="DC409" s="248">
        <f>SUM(Table2821115[[#This Row],[BR/18 Log2]:[CO/17 Log2]])</f>
        <v>4</v>
      </c>
    </row>
    <row r="410" spans="1:107" ht="24" customHeight="1">
      <c r="A410" s="282" t="s">
        <v>173</v>
      </c>
      <c r="B410" s="151">
        <v>37911</v>
      </c>
      <c r="C410" s="151">
        <v>43794</v>
      </c>
      <c r="D410" s="150">
        <v>16</v>
      </c>
      <c r="E410" s="4" t="s">
        <v>58</v>
      </c>
      <c r="F410" s="143" t="s">
        <v>116</v>
      </c>
      <c r="G410" s="142">
        <v>23.23859819245838</v>
      </c>
      <c r="H410" s="11" t="s">
        <v>59</v>
      </c>
      <c r="I410" s="281" t="s">
        <v>60</v>
      </c>
      <c r="J410" s="260">
        <v>5</v>
      </c>
      <c r="K410" s="260">
        <v>5</v>
      </c>
      <c r="L410" s="260"/>
      <c r="M410" s="260"/>
      <c r="N410" s="260"/>
      <c r="O410" s="260"/>
      <c r="P410" s="260"/>
      <c r="Q410" s="260"/>
      <c r="R410" s="260"/>
      <c r="S410" s="260"/>
      <c r="T410" s="260"/>
      <c r="U410" s="260"/>
      <c r="V410" s="260">
        <v>5</v>
      </c>
      <c r="W410" s="260">
        <v>20</v>
      </c>
      <c r="X410" s="260">
        <v>320</v>
      </c>
      <c r="Y410" s="260">
        <v>320</v>
      </c>
      <c r="Z410" s="260">
        <v>640</v>
      </c>
      <c r="AA410" s="260">
        <v>640</v>
      </c>
      <c r="AB410" s="260">
        <v>320</v>
      </c>
      <c r="AC410" s="260">
        <v>320</v>
      </c>
      <c r="AD410" s="260"/>
      <c r="AE410" s="260"/>
      <c r="AF410" s="260"/>
      <c r="AG410" s="260"/>
      <c r="AH410" s="174" t="s">
        <v>173</v>
      </c>
      <c r="AI410" s="272">
        <v>5</v>
      </c>
      <c r="AJ410" s="271">
        <v>5</v>
      </c>
      <c r="AK410" s="260"/>
      <c r="AL410" s="260"/>
      <c r="AM410" s="260"/>
      <c r="AN410" s="260"/>
      <c r="AO410" s="260"/>
      <c r="AP410" s="260"/>
      <c r="AQ410" s="260"/>
      <c r="AR410" s="260"/>
      <c r="AS410" s="260"/>
      <c r="AT410" s="260"/>
      <c r="AU410" s="260">
        <v>320</v>
      </c>
      <c r="AV410" s="271">
        <v>320</v>
      </c>
      <c r="AW410" s="260">
        <v>320</v>
      </c>
      <c r="AX410" s="271">
        <v>320</v>
      </c>
      <c r="AY410" s="260">
        <v>160</v>
      </c>
      <c r="AZ410" s="271">
        <v>320</v>
      </c>
      <c r="BA410" s="276">
        <v>320</v>
      </c>
      <c r="BB410" s="276">
        <v>320</v>
      </c>
      <c r="BC410" s="276"/>
      <c r="BD410" s="276"/>
      <c r="BE410" s="276">
        <v>80</v>
      </c>
      <c r="BF410" s="276">
        <v>160</v>
      </c>
      <c r="BG410" s="260">
        <v>320</v>
      </c>
      <c r="BH410" s="271">
        <v>320</v>
      </c>
      <c r="BI410" s="276"/>
      <c r="BJ410" s="276"/>
      <c r="BK410" s="276"/>
      <c r="BL410" s="275"/>
      <c r="BM410" s="280" t="s">
        <v>173</v>
      </c>
      <c r="BN410" s="272">
        <v>80</v>
      </c>
      <c r="BO410" s="270">
        <v>80</v>
      </c>
      <c r="BP410" s="272"/>
      <c r="BQ410" s="260"/>
      <c r="BR410" s="260"/>
      <c r="BS410" s="260"/>
      <c r="BT410" s="260"/>
      <c r="BU410" s="260"/>
      <c r="BV410" s="260">
        <v>160</v>
      </c>
      <c r="BW410" s="260">
        <v>160</v>
      </c>
      <c r="BX410" s="260"/>
      <c r="BY410" s="260"/>
      <c r="BZ410" s="260"/>
      <c r="CA410" s="260"/>
      <c r="CB410" s="260"/>
      <c r="CC410" s="260"/>
      <c r="CD410" s="260">
        <v>160</v>
      </c>
      <c r="CE410" s="260">
        <v>160</v>
      </c>
      <c r="CF410" s="272"/>
      <c r="CG410" s="260"/>
      <c r="CH410" s="260"/>
      <c r="CI410" s="260"/>
      <c r="CJ410" s="260"/>
      <c r="CK410" s="260"/>
      <c r="CL410" s="260"/>
      <c r="CM410" s="260"/>
      <c r="CN410" s="260">
        <v>80</v>
      </c>
      <c r="CO410" s="260">
        <v>80</v>
      </c>
      <c r="CP410" s="260">
        <v>160</v>
      </c>
      <c r="CQ410" s="260">
        <v>80</v>
      </c>
      <c r="CR410" s="260">
        <v>160</v>
      </c>
      <c r="CS410" s="270">
        <v>160</v>
      </c>
      <c r="CT410" s="279" t="s">
        <v>173</v>
      </c>
      <c r="CU410" s="249">
        <f>Table2821115[[#This Row],[D28 - BR/18]]/Table2821115[[#This Row],[D0 - BR/18]]</f>
        <v>1</v>
      </c>
      <c r="CV410" s="248">
        <f>Table2821115[[#This Row],[D28 - KS/17]]/Table2821115[[#This Row],[D0 - KS/17]]</f>
        <v>2</v>
      </c>
      <c r="CW410" s="248">
        <f>Table2821115[[#This Row],[D28 - Phu/13]]/Table2821115[[#This Row],[D0 - Phu/13]]</f>
        <v>1</v>
      </c>
      <c r="CX410" s="248">
        <f>Table2821115[[#This Row],[D28 - CO/17]]/Table2821115[[#This Row],[D0 - CO/17]]</f>
        <v>0.5</v>
      </c>
      <c r="CY410" s="248">
        <f>LOG(Table2821115[[#This Row],[BR/18 Fold]],2)</f>
        <v>0</v>
      </c>
      <c r="CZ410" s="248">
        <f>LOG(Table2821115[[#This Row],[KS/17 Fold]],2)</f>
        <v>1</v>
      </c>
      <c r="DA410" s="248">
        <f>LOG(Table2821115[[#This Row],[Phu/13 Fold]],2)</f>
        <v>0</v>
      </c>
      <c r="DB410" s="248">
        <f>LOG(Table2821115[[#This Row],[CO/17 Fold]],2)</f>
        <v>-1</v>
      </c>
      <c r="DC410" s="248">
        <f>SUM(Table2821115[[#This Row],[BR/18 Log2]:[CO/17 Log2]])</f>
        <v>0</v>
      </c>
    </row>
    <row r="411" spans="1:107" ht="24" customHeight="1">
      <c r="A411" s="282" t="s">
        <v>174</v>
      </c>
      <c r="B411" s="151">
        <v>38184</v>
      </c>
      <c r="C411" s="151">
        <v>43775</v>
      </c>
      <c r="D411" s="150">
        <v>15</v>
      </c>
      <c r="E411" s="4" t="s">
        <v>58</v>
      </c>
      <c r="F411" s="143" t="s">
        <v>116</v>
      </c>
      <c r="G411" s="142">
        <v>27.365694560061382</v>
      </c>
      <c r="H411" s="11" t="s">
        <v>59</v>
      </c>
      <c r="I411" s="281" t="s">
        <v>60</v>
      </c>
      <c r="J411" s="260">
        <v>5</v>
      </c>
      <c r="K411" s="260">
        <v>5</v>
      </c>
      <c r="L411" s="260"/>
      <c r="M411" s="260"/>
      <c r="N411" s="260"/>
      <c r="O411" s="260"/>
      <c r="P411" s="260"/>
      <c r="Q411" s="260"/>
      <c r="R411" s="260"/>
      <c r="S411" s="260"/>
      <c r="T411" s="260"/>
      <c r="U411" s="260"/>
      <c r="V411" s="260">
        <v>5</v>
      </c>
      <c r="W411" s="260">
        <v>5</v>
      </c>
      <c r="X411" s="260">
        <v>160</v>
      </c>
      <c r="Y411" s="260">
        <v>160</v>
      </c>
      <c r="Z411" s="260">
        <v>320</v>
      </c>
      <c r="AA411" s="260">
        <v>320</v>
      </c>
      <c r="AB411" s="260">
        <v>160</v>
      </c>
      <c r="AC411" s="260">
        <v>160</v>
      </c>
      <c r="AD411" s="260"/>
      <c r="AE411" s="260"/>
      <c r="AF411" s="260"/>
      <c r="AG411" s="260"/>
      <c r="AH411" s="174" t="s">
        <v>174</v>
      </c>
      <c r="AI411" s="272">
        <v>5</v>
      </c>
      <c r="AJ411" s="271">
        <v>5</v>
      </c>
      <c r="AK411" s="260"/>
      <c r="AL411" s="260"/>
      <c r="AM411" s="260"/>
      <c r="AN411" s="260"/>
      <c r="AO411" s="260"/>
      <c r="AP411" s="260"/>
      <c r="AQ411" s="260"/>
      <c r="AR411" s="260"/>
      <c r="AS411" s="260"/>
      <c r="AT411" s="260"/>
      <c r="AU411" s="260">
        <v>320</v>
      </c>
      <c r="AV411" s="271">
        <v>320</v>
      </c>
      <c r="AW411" s="260">
        <v>320</v>
      </c>
      <c r="AX411" s="271">
        <v>640</v>
      </c>
      <c r="AY411" s="260">
        <v>320</v>
      </c>
      <c r="AZ411" s="271">
        <v>320</v>
      </c>
      <c r="BA411" s="276">
        <v>320</v>
      </c>
      <c r="BB411" s="276">
        <v>320</v>
      </c>
      <c r="BC411" s="276"/>
      <c r="BD411" s="276"/>
      <c r="BE411" s="276">
        <v>80</v>
      </c>
      <c r="BF411" s="276">
        <v>160</v>
      </c>
      <c r="BG411" s="260">
        <v>320</v>
      </c>
      <c r="BH411" s="271">
        <v>320</v>
      </c>
      <c r="BI411" s="276"/>
      <c r="BJ411" s="276"/>
      <c r="BK411" s="276"/>
      <c r="BL411" s="275"/>
      <c r="BM411" s="280" t="s">
        <v>174</v>
      </c>
      <c r="BN411" s="272">
        <v>5</v>
      </c>
      <c r="BO411" s="270">
        <v>5</v>
      </c>
      <c r="BP411" s="272"/>
      <c r="BQ411" s="260"/>
      <c r="BR411" s="260"/>
      <c r="BS411" s="260"/>
      <c r="BT411" s="260"/>
      <c r="BU411" s="260"/>
      <c r="BV411" s="260">
        <v>5</v>
      </c>
      <c r="BW411" s="260">
        <v>40</v>
      </c>
      <c r="BX411" s="260"/>
      <c r="BY411" s="260"/>
      <c r="BZ411" s="260"/>
      <c r="CA411" s="260"/>
      <c r="CB411" s="260"/>
      <c r="CC411" s="260"/>
      <c r="CD411" s="260">
        <v>20</v>
      </c>
      <c r="CE411" s="260">
        <v>40</v>
      </c>
      <c r="CF411" s="272"/>
      <c r="CG411" s="260"/>
      <c r="CH411" s="260"/>
      <c r="CI411" s="260"/>
      <c r="CJ411" s="260"/>
      <c r="CK411" s="260"/>
      <c r="CL411" s="260"/>
      <c r="CM411" s="260"/>
      <c r="CN411" s="260">
        <v>40</v>
      </c>
      <c r="CO411" s="260">
        <v>40</v>
      </c>
      <c r="CP411" s="260">
        <v>40</v>
      </c>
      <c r="CQ411" s="260">
        <v>20</v>
      </c>
      <c r="CR411" s="260">
        <v>40</v>
      </c>
      <c r="CS411" s="270">
        <v>40</v>
      </c>
      <c r="CT411" s="279" t="s">
        <v>174</v>
      </c>
      <c r="CU411" s="249">
        <f>Table2821115[[#This Row],[D28 - BR/18]]/Table2821115[[#This Row],[D0 - BR/18]]</f>
        <v>1</v>
      </c>
      <c r="CV411" s="248">
        <f>Table2821115[[#This Row],[D28 - KS/17]]/Table2821115[[#This Row],[D0 - KS/17]]</f>
        <v>2</v>
      </c>
      <c r="CW411" s="248">
        <f>Table2821115[[#This Row],[D28 - Phu/13]]/Table2821115[[#This Row],[D0 - Phu/13]]</f>
        <v>2</v>
      </c>
      <c r="CX411" s="248">
        <f>Table2821115[[#This Row],[D28 - CO/17]]/Table2821115[[#This Row],[D0 - CO/17]]</f>
        <v>0.5</v>
      </c>
      <c r="CY411" s="248">
        <f>LOG(Table2821115[[#This Row],[BR/18 Fold]],2)</f>
        <v>0</v>
      </c>
      <c r="CZ411" s="248">
        <f>LOG(Table2821115[[#This Row],[KS/17 Fold]],2)</f>
        <v>1</v>
      </c>
      <c r="DA411" s="248">
        <f>LOG(Table2821115[[#This Row],[Phu/13 Fold]],2)</f>
        <v>1</v>
      </c>
      <c r="DB411" s="248">
        <f>LOG(Table2821115[[#This Row],[CO/17 Fold]],2)</f>
        <v>-1</v>
      </c>
      <c r="DC411" s="248">
        <f>SUM(Table2821115[[#This Row],[BR/18 Log2]:[CO/17 Log2]])</f>
        <v>1</v>
      </c>
    </row>
    <row r="412" spans="1:107" ht="24" customHeight="1">
      <c r="A412" s="282" t="s">
        <v>175</v>
      </c>
      <c r="B412" s="151">
        <v>37325</v>
      </c>
      <c r="C412" s="151">
        <v>43746</v>
      </c>
      <c r="D412" s="150">
        <v>17</v>
      </c>
      <c r="E412" s="3" t="s">
        <v>61</v>
      </c>
      <c r="F412" s="143" t="s">
        <v>116</v>
      </c>
      <c r="G412" s="142">
        <v>27.033730158730162</v>
      </c>
      <c r="H412" s="11" t="s">
        <v>59</v>
      </c>
      <c r="I412" s="281" t="s">
        <v>60</v>
      </c>
      <c r="J412" s="260">
        <v>5</v>
      </c>
      <c r="K412" s="260">
        <v>5</v>
      </c>
      <c r="L412" s="260"/>
      <c r="M412" s="260"/>
      <c r="N412" s="260"/>
      <c r="O412" s="260"/>
      <c r="P412" s="260"/>
      <c r="Q412" s="260"/>
      <c r="R412" s="260"/>
      <c r="S412" s="260"/>
      <c r="T412" s="260"/>
      <c r="U412" s="260"/>
      <c r="V412" s="260">
        <v>10</v>
      </c>
      <c r="W412" s="260">
        <v>5</v>
      </c>
      <c r="X412" s="260">
        <v>40</v>
      </c>
      <c r="Y412" s="260">
        <v>40</v>
      </c>
      <c r="Z412" s="260">
        <v>40</v>
      </c>
      <c r="AA412" s="260">
        <v>80</v>
      </c>
      <c r="AB412" s="260">
        <v>40</v>
      </c>
      <c r="AC412" s="260">
        <v>80</v>
      </c>
      <c r="AD412" s="260"/>
      <c r="AE412" s="260"/>
      <c r="AF412" s="260"/>
      <c r="AG412" s="260"/>
      <c r="AH412" s="174" t="s">
        <v>175</v>
      </c>
      <c r="AI412" s="272">
        <v>40</v>
      </c>
      <c r="AJ412" s="271">
        <v>40</v>
      </c>
      <c r="AK412" s="260"/>
      <c r="AL412" s="260"/>
      <c r="AM412" s="260"/>
      <c r="AN412" s="260"/>
      <c r="AO412" s="260"/>
      <c r="AP412" s="260"/>
      <c r="AQ412" s="260"/>
      <c r="AR412" s="260"/>
      <c r="AS412" s="260"/>
      <c r="AT412" s="260"/>
      <c r="AU412" s="260">
        <v>80</v>
      </c>
      <c r="AV412" s="271">
        <v>80</v>
      </c>
      <c r="AW412" s="260">
        <v>40</v>
      </c>
      <c r="AX412" s="271">
        <v>80</v>
      </c>
      <c r="AY412" s="260">
        <v>80</v>
      </c>
      <c r="AZ412" s="271">
        <v>80</v>
      </c>
      <c r="BA412" s="276">
        <v>80</v>
      </c>
      <c r="BB412" s="276">
        <v>80</v>
      </c>
      <c r="BC412" s="276"/>
      <c r="BD412" s="276"/>
      <c r="BE412" s="276">
        <v>40</v>
      </c>
      <c r="BF412" s="276">
        <v>40</v>
      </c>
      <c r="BG412" s="260">
        <v>80</v>
      </c>
      <c r="BH412" s="271">
        <v>80</v>
      </c>
      <c r="BI412" s="276"/>
      <c r="BJ412" s="276"/>
      <c r="BK412" s="276"/>
      <c r="BL412" s="275"/>
      <c r="BM412" s="280" t="s">
        <v>175</v>
      </c>
      <c r="BN412" s="272">
        <v>40</v>
      </c>
      <c r="BO412" s="270">
        <v>80</v>
      </c>
      <c r="BP412" s="272"/>
      <c r="BQ412" s="260"/>
      <c r="BR412" s="260"/>
      <c r="BS412" s="260"/>
      <c r="BT412" s="260"/>
      <c r="BU412" s="260"/>
      <c r="BV412" s="260">
        <v>5</v>
      </c>
      <c r="BW412" s="260">
        <v>5</v>
      </c>
      <c r="BX412" s="260"/>
      <c r="BY412" s="260"/>
      <c r="BZ412" s="260"/>
      <c r="CA412" s="260"/>
      <c r="CB412" s="260"/>
      <c r="CC412" s="260"/>
      <c r="CD412" s="260">
        <v>160</v>
      </c>
      <c r="CE412" s="260">
        <v>160</v>
      </c>
      <c r="CF412" s="272"/>
      <c r="CG412" s="260"/>
      <c r="CH412" s="260"/>
      <c r="CI412" s="260"/>
      <c r="CJ412" s="260"/>
      <c r="CK412" s="260"/>
      <c r="CL412" s="260"/>
      <c r="CM412" s="260"/>
      <c r="CN412" s="260">
        <v>40</v>
      </c>
      <c r="CO412" s="260">
        <v>40</v>
      </c>
      <c r="CP412" s="260">
        <v>40</v>
      </c>
      <c r="CQ412" s="260">
        <v>40</v>
      </c>
      <c r="CR412" s="260">
        <v>40</v>
      </c>
      <c r="CS412" s="270">
        <v>40</v>
      </c>
      <c r="CT412" s="279" t="s">
        <v>175</v>
      </c>
      <c r="CU412" s="249">
        <f>Table2821115[[#This Row],[D28 - BR/18]]/Table2821115[[#This Row],[D0 - BR/18]]</f>
        <v>2</v>
      </c>
      <c r="CV412" s="248">
        <f>Table2821115[[#This Row],[D28 - KS/17]]/Table2821115[[#This Row],[D0 - KS/17]]</f>
        <v>1</v>
      </c>
      <c r="CW412" s="248">
        <f>Table2821115[[#This Row],[D28 - Phu/13]]/Table2821115[[#This Row],[D0 - Phu/13]]</f>
        <v>1</v>
      </c>
      <c r="CX412" s="248">
        <f>Table2821115[[#This Row],[D28 - CO/17]]/Table2821115[[#This Row],[D0 - CO/17]]</f>
        <v>1</v>
      </c>
      <c r="CY412" s="248">
        <f>LOG(Table2821115[[#This Row],[BR/18 Fold]],2)</f>
        <v>1</v>
      </c>
      <c r="CZ412" s="248">
        <f>LOG(Table2821115[[#This Row],[KS/17 Fold]],2)</f>
        <v>0</v>
      </c>
      <c r="DA412" s="248">
        <f>LOG(Table2821115[[#This Row],[Phu/13 Fold]],2)</f>
        <v>0</v>
      </c>
      <c r="DB412" s="248">
        <f>LOG(Table2821115[[#This Row],[CO/17 Fold]],2)</f>
        <v>0</v>
      </c>
      <c r="DC412" s="248">
        <f>SUM(Table2821115[[#This Row],[BR/18 Log2]:[CO/17 Log2]])</f>
        <v>1</v>
      </c>
    </row>
    <row r="413" spans="1:107" ht="24" customHeight="1">
      <c r="A413" s="278" t="s">
        <v>176</v>
      </c>
      <c r="B413" s="145">
        <v>38611</v>
      </c>
      <c r="C413" s="145">
        <v>43746</v>
      </c>
      <c r="D413" s="144">
        <v>14</v>
      </c>
      <c r="E413" s="4" t="s">
        <v>58</v>
      </c>
      <c r="F413" s="143" t="s">
        <v>116</v>
      </c>
      <c r="G413" s="142">
        <v>21.905036592521089</v>
      </c>
      <c r="H413" s="11" t="s">
        <v>59</v>
      </c>
      <c r="I413" s="281" t="s">
        <v>60</v>
      </c>
      <c r="J413" s="260">
        <v>5</v>
      </c>
      <c r="K413" s="260">
        <v>5</v>
      </c>
      <c r="L413" s="260"/>
      <c r="M413" s="260"/>
      <c r="N413" s="260"/>
      <c r="O413" s="260"/>
      <c r="P413" s="260"/>
      <c r="Q413" s="260"/>
      <c r="R413" s="260"/>
      <c r="S413" s="260"/>
      <c r="T413" s="260"/>
      <c r="U413" s="260"/>
      <c r="V413" s="260">
        <v>5</v>
      </c>
      <c r="W413" s="260">
        <v>5</v>
      </c>
      <c r="X413" s="260">
        <v>160</v>
      </c>
      <c r="Y413" s="260">
        <v>320</v>
      </c>
      <c r="Z413" s="260">
        <v>320</v>
      </c>
      <c r="AA413" s="260">
        <v>640</v>
      </c>
      <c r="AB413" s="260">
        <v>160</v>
      </c>
      <c r="AC413" s="260">
        <v>160</v>
      </c>
      <c r="AD413" s="260"/>
      <c r="AE413" s="260"/>
      <c r="AF413" s="260"/>
      <c r="AG413" s="260"/>
      <c r="AH413" s="176" t="s">
        <v>176</v>
      </c>
      <c r="AI413" s="272">
        <v>5</v>
      </c>
      <c r="AJ413" s="271">
        <v>10</v>
      </c>
      <c r="AK413" s="260"/>
      <c r="AL413" s="260"/>
      <c r="AM413" s="260"/>
      <c r="AN413" s="260"/>
      <c r="AO413" s="260"/>
      <c r="AP413" s="260"/>
      <c r="AQ413" s="260"/>
      <c r="AR413" s="260"/>
      <c r="AS413" s="260"/>
      <c r="AT413" s="260"/>
      <c r="AU413" s="260">
        <v>320</v>
      </c>
      <c r="AV413" s="271">
        <v>640</v>
      </c>
      <c r="AW413" s="260">
        <v>160</v>
      </c>
      <c r="AX413" s="271">
        <v>320</v>
      </c>
      <c r="AY413" s="260">
        <v>80</v>
      </c>
      <c r="AZ413" s="271">
        <v>160</v>
      </c>
      <c r="BA413" s="276">
        <v>160</v>
      </c>
      <c r="BB413" s="276">
        <v>160</v>
      </c>
      <c r="BC413" s="276"/>
      <c r="BD413" s="276"/>
      <c r="BE413" s="276">
        <v>80</v>
      </c>
      <c r="BF413" s="276">
        <v>160</v>
      </c>
      <c r="BG413" s="260">
        <v>320</v>
      </c>
      <c r="BH413" s="271">
        <v>320</v>
      </c>
      <c r="BI413" s="276"/>
      <c r="BJ413" s="276"/>
      <c r="BK413" s="276"/>
      <c r="BL413" s="275"/>
      <c r="BM413" s="274" t="s">
        <v>176</v>
      </c>
      <c r="BN413" s="272">
        <v>20</v>
      </c>
      <c r="BO413" s="270">
        <v>40</v>
      </c>
      <c r="BP413" s="272"/>
      <c r="BQ413" s="260"/>
      <c r="BR413" s="260"/>
      <c r="BS413" s="260"/>
      <c r="BT413" s="260"/>
      <c r="BU413" s="260"/>
      <c r="BV413" s="260">
        <v>5</v>
      </c>
      <c r="BW413" s="260">
        <v>5</v>
      </c>
      <c r="BX413" s="260"/>
      <c r="BY413" s="260"/>
      <c r="BZ413" s="260"/>
      <c r="CA413" s="260"/>
      <c r="CB413" s="260"/>
      <c r="CC413" s="260"/>
      <c r="CD413" s="260">
        <v>40</v>
      </c>
      <c r="CE413" s="260">
        <v>80</v>
      </c>
      <c r="CF413" s="272"/>
      <c r="CG413" s="260"/>
      <c r="CH413" s="260"/>
      <c r="CI413" s="260"/>
      <c r="CJ413" s="260"/>
      <c r="CK413" s="260"/>
      <c r="CL413" s="260"/>
      <c r="CM413" s="260"/>
      <c r="CN413" s="260">
        <v>80</v>
      </c>
      <c r="CO413" s="260">
        <v>160</v>
      </c>
      <c r="CP413" s="260">
        <v>160</v>
      </c>
      <c r="CQ413" s="260">
        <v>160</v>
      </c>
      <c r="CR413" s="260">
        <v>160</v>
      </c>
      <c r="CS413" s="270">
        <v>160</v>
      </c>
      <c r="CT413" s="269" t="s">
        <v>176</v>
      </c>
      <c r="CU413" s="249">
        <f>Table2821115[[#This Row],[D28 - BR/18]]/Table2821115[[#This Row],[D0 - BR/18]]</f>
        <v>1</v>
      </c>
      <c r="CV413" s="248">
        <f>Table2821115[[#This Row],[D28 - KS/17]]/Table2821115[[#This Row],[D0 - KS/17]]</f>
        <v>2</v>
      </c>
      <c r="CW413" s="248">
        <f>Table2821115[[#This Row],[D28 - Phu/13]]/Table2821115[[#This Row],[D0 - Phu/13]]</f>
        <v>2</v>
      </c>
      <c r="CX413" s="248">
        <f>Table2821115[[#This Row],[D28 - CO/17]]/Table2821115[[#This Row],[D0 - CO/17]]</f>
        <v>1</v>
      </c>
      <c r="CY413" s="248">
        <f>LOG(Table2821115[[#This Row],[BR/18 Fold]],2)</f>
        <v>0</v>
      </c>
      <c r="CZ413" s="248">
        <f>LOG(Table2821115[[#This Row],[KS/17 Fold]],2)</f>
        <v>1</v>
      </c>
      <c r="DA413" s="248">
        <f>LOG(Table2821115[[#This Row],[Phu/13 Fold]],2)</f>
        <v>1</v>
      </c>
      <c r="DB413" s="248">
        <f>LOG(Table2821115[[#This Row],[CO/17 Fold]],2)</f>
        <v>0</v>
      </c>
      <c r="DC413" s="248">
        <f>SUM(Table2821115[[#This Row],[BR/18 Log2]:[CO/17 Log2]])</f>
        <v>2</v>
      </c>
    </row>
    <row r="414" spans="1:107" ht="24" customHeight="1">
      <c r="A414" s="282" t="s">
        <v>177</v>
      </c>
      <c r="B414" s="151">
        <v>37604</v>
      </c>
      <c r="C414" s="151">
        <v>43748</v>
      </c>
      <c r="D414" s="150">
        <v>16</v>
      </c>
      <c r="E414" s="3" t="s">
        <v>61</v>
      </c>
      <c r="F414" s="143" t="s">
        <v>116</v>
      </c>
      <c r="G414" s="142">
        <v>21.50600246503819</v>
      </c>
      <c r="H414" s="11" t="s">
        <v>59</v>
      </c>
      <c r="I414" s="281" t="s">
        <v>60</v>
      </c>
      <c r="J414" s="260">
        <v>5</v>
      </c>
      <c r="K414" s="260">
        <v>5</v>
      </c>
      <c r="L414" s="260"/>
      <c r="M414" s="260"/>
      <c r="N414" s="260"/>
      <c r="O414" s="260"/>
      <c r="P414" s="260"/>
      <c r="Q414" s="260"/>
      <c r="R414" s="260"/>
      <c r="S414" s="260"/>
      <c r="T414" s="260"/>
      <c r="U414" s="260"/>
      <c r="V414" s="260">
        <v>5</v>
      </c>
      <c r="W414" s="260">
        <v>5</v>
      </c>
      <c r="X414" s="260">
        <v>40</v>
      </c>
      <c r="Y414" s="260">
        <v>80</v>
      </c>
      <c r="Z414" s="260">
        <v>80</v>
      </c>
      <c r="AA414" s="260">
        <v>80</v>
      </c>
      <c r="AB414" s="260">
        <v>80</v>
      </c>
      <c r="AC414" s="260">
        <v>80</v>
      </c>
      <c r="AD414" s="260"/>
      <c r="AE414" s="260"/>
      <c r="AF414" s="260"/>
      <c r="AG414" s="260"/>
      <c r="AH414" s="174" t="s">
        <v>177</v>
      </c>
      <c r="AI414" s="272">
        <v>40</v>
      </c>
      <c r="AJ414" s="271">
        <v>40</v>
      </c>
      <c r="AK414" s="260"/>
      <c r="AL414" s="260"/>
      <c r="AM414" s="260"/>
      <c r="AN414" s="260"/>
      <c r="AO414" s="260"/>
      <c r="AP414" s="260"/>
      <c r="AQ414" s="260"/>
      <c r="AR414" s="260"/>
      <c r="AS414" s="260"/>
      <c r="AT414" s="260"/>
      <c r="AU414" s="260">
        <v>160</v>
      </c>
      <c r="AV414" s="271">
        <v>320</v>
      </c>
      <c r="AW414" s="260">
        <v>80</v>
      </c>
      <c r="AX414" s="271">
        <v>640</v>
      </c>
      <c r="AY414" s="260">
        <v>160</v>
      </c>
      <c r="AZ414" s="271">
        <v>320</v>
      </c>
      <c r="BA414" s="276">
        <v>160</v>
      </c>
      <c r="BB414" s="276">
        <v>320</v>
      </c>
      <c r="BC414" s="276"/>
      <c r="BD414" s="276"/>
      <c r="BE414" s="276">
        <v>40</v>
      </c>
      <c r="BF414" s="276">
        <v>320</v>
      </c>
      <c r="BG414" s="260">
        <v>160</v>
      </c>
      <c r="BH414" s="271">
        <v>640</v>
      </c>
      <c r="BI414" s="276"/>
      <c r="BJ414" s="276"/>
      <c r="BK414" s="276"/>
      <c r="BL414" s="275"/>
      <c r="BM414" s="280" t="s">
        <v>177</v>
      </c>
      <c r="BN414" s="272">
        <v>5</v>
      </c>
      <c r="BO414" s="270">
        <v>20</v>
      </c>
      <c r="BP414" s="272"/>
      <c r="BQ414" s="260"/>
      <c r="BR414" s="260"/>
      <c r="BS414" s="260"/>
      <c r="BT414" s="260"/>
      <c r="BU414" s="260"/>
      <c r="BV414" s="260">
        <v>5</v>
      </c>
      <c r="BW414" s="260">
        <v>80</v>
      </c>
      <c r="BX414" s="260"/>
      <c r="BY414" s="260"/>
      <c r="BZ414" s="260"/>
      <c r="CA414" s="260"/>
      <c r="CB414" s="260"/>
      <c r="CC414" s="260"/>
      <c r="CD414" s="260">
        <v>80</v>
      </c>
      <c r="CE414" s="260">
        <v>80</v>
      </c>
      <c r="CF414" s="272"/>
      <c r="CG414" s="260"/>
      <c r="CH414" s="260"/>
      <c r="CI414" s="260"/>
      <c r="CJ414" s="260"/>
      <c r="CK414" s="260"/>
      <c r="CL414" s="260"/>
      <c r="CM414" s="260"/>
      <c r="CN414" s="260">
        <v>20</v>
      </c>
      <c r="CO414" s="260">
        <v>40</v>
      </c>
      <c r="CP414" s="260">
        <v>10</v>
      </c>
      <c r="CQ414" s="260">
        <v>40</v>
      </c>
      <c r="CR414" s="260">
        <v>10</v>
      </c>
      <c r="CS414" s="270">
        <v>40</v>
      </c>
      <c r="CT414" s="279" t="s">
        <v>177</v>
      </c>
      <c r="CU414" s="249">
        <f>Table2821115[[#This Row],[D28 - BR/18]]/Table2821115[[#This Row],[D0 - BR/18]]</f>
        <v>1</v>
      </c>
      <c r="CV414" s="248">
        <f>Table2821115[[#This Row],[D28 - KS/17]]/Table2821115[[#This Row],[D0 - KS/17]]</f>
        <v>8</v>
      </c>
      <c r="CW414" s="248">
        <f>Table2821115[[#This Row],[D28 - Phu/13]]/Table2821115[[#This Row],[D0 - Phu/13]]</f>
        <v>1</v>
      </c>
      <c r="CX414" s="248">
        <f>Table2821115[[#This Row],[D28 - CO/17]]/Table2821115[[#This Row],[D0 - CO/17]]</f>
        <v>4</v>
      </c>
      <c r="CY414" s="248">
        <f>LOG(Table2821115[[#This Row],[BR/18 Fold]],2)</f>
        <v>0</v>
      </c>
      <c r="CZ414" s="248">
        <f>LOG(Table2821115[[#This Row],[KS/17 Fold]],2)</f>
        <v>3</v>
      </c>
      <c r="DA414" s="248">
        <f>LOG(Table2821115[[#This Row],[Phu/13 Fold]],2)</f>
        <v>0</v>
      </c>
      <c r="DB414" s="248">
        <f>LOG(Table2821115[[#This Row],[CO/17 Fold]],2)</f>
        <v>2</v>
      </c>
      <c r="DC414" s="248">
        <f>SUM(Table2821115[[#This Row],[BR/18 Log2]:[CO/17 Log2]])</f>
        <v>5</v>
      </c>
    </row>
    <row r="415" spans="1:107" ht="24" customHeight="1">
      <c r="A415" s="282" t="s">
        <v>178</v>
      </c>
      <c r="B415" s="151">
        <v>38224</v>
      </c>
      <c r="C415" s="151">
        <v>43809</v>
      </c>
      <c r="D415" s="150">
        <v>15</v>
      </c>
      <c r="E415" s="3" t="s">
        <v>61</v>
      </c>
      <c r="F415" s="143" t="s">
        <v>116</v>
      </c>
      <c r="G415" s="142">
        <v>21.578339197855321</v>
      </c>
      <c r="H415" s="11" t="s">
        <v>59</v>
      </c>
      <c r="I415" s="281" t="s">
        <v>60</v>
      </c>
      <c r="J415" s="260">
        <v>5</v>
      </c>
      <c r="K415" s="260">
        <v>5</v>
      </c>
      <c r="L415" s="260"/>
      <c r="M415" s="260"/>
      <c r="N415" s="260"/>
      <c r="O415" s="260"/>
      <c r="P415" s="260"/>
      <c r="Q415" s="260"/>
      <c r="R415" s="260"/>
      <c r="S415" s="260"/>
      <c r="T415" s="260"/>
      <c r="U415" s="260"/>
      <c r="V415" s="260">
        <v>5</v>
      </c>
      <c r="W415" s="260">
        <v>5</v>
      </c>
      <c r="X415" s="260">
        <v>80</v>
      </c>
      <c r="Y415" s="260">
        <v>80</v>
      </c>
      <c r="Z415" s="260">
        <v>160</v>
      </c>
      <c r="AA415" s="260">
        <v>160</v>
      </c>
      <c r="AB415" s="260">
        <v>80</v>
      </c>
      <c r="AC415" s="260">
        <v>80</v>
      </c>
      <c r="AD415" s="260"/>
      <c r="AE415" s="260"/>
      <c r="AF415" s="260"/>
      <c r="AG415" s="260"/>
      <c r="AH415" s="174" t="s">
        <v>178</v>
      </c>
      <c r="AI415" s="272">
        <v>10</v>
      </c>
      <c r="AJ415" s="271">
        <v>20</v>
      </c>
      <c r="AK415" s="260"/>
      <c r="AL415" s="260"/>
      <c r="AM415" s="260"/>
      <c r="AN415" s="260"/>
      <c r="AO415" s="260"/>
      <c r="AP415" s="260"/>
      <c r="AQ415" s="260"/>
      <c r="AR415" s="260"/>
      <c r="AS415" s="260"/>
      <c r="AT415" s="260"/>
      <c r="AU415" s="260">
        <v>320</v>
      </c>
      <c r="AV415" s="271">
        <v>320</v>
      </c>
      <c r="AW415" s="260">
        <v>160</v>
      </c>
      <c r="AX415" s="271">
        <v>160</v>
      </c>
      <c r="AY415" s="260">
        <v>160</v>
      </c>
      <c r="AZ415" s="271">
        <v>160</v>
      </c>
      <c r="BA415" s="276">
        <v>320</v>
      </c>
      <c r="BB415" s="276">
        <v>160</v>
      </c>
      <c r="BC415" s="276"/>
      <c r="BD415" s="276"/>
      <c r="BE415" s="276">
        <v>10</v>
      </c>
      <c r="BF415" s="276">
        <v>20</v>
      </c>
      <c r="BG415" s="260">
        <v>320</v>
      </c>
      <c r="BH415" s="271">
        <v>320</v>
      </c>
      <c r="BI415" s="276"/>
      <c r="BJ415" s="276"/>
      <c r="BK415" s="276"/>
      <c r="BL415" s="275"/>
      <c r="BM415" s="280" t="s">
        <v>178</v>
      </c>
      <c r="BN415" s="272">
        <v>20</v>
      </c>
      <c r="BO415" s="270">
        <v>40</v>
      </c>
      <c r="BP415" s="272"/>
      <c r="BQ415" s="260"/>
      <c r="BR415" s="260"/>
      <c r="BS415" s="260"/>
      <c r="BT415" s="260"/>
      <c r="BU415" s="260"/>
      <c r="BV415" s="260">
        <v>5</v>
      </c>
      <c r="BW415" s="260">
        <v>40</v>
      </c>
      <c r="BX415" s="260"/>
      <c r="BY415" s="260"/>
      <c r="BZ415" s="260"/>
      <c r="CA415" s="260"/>
      <c r="CB415" s="260"/>
      <c r="CC415" s="260"/>
      <c r="CD415" s="260">
        <v>80</v>
      </c>
      <c r="CE415" s="260">
        <v>80</v>
      </c>
      <c r="CF415" s="272"/>
      <c r="CG415" s="260"/>
      <c r="CH415" s="260"/>
      <c r="CI415" s="260"/>
      <c r="CJ415" s="260"/>
      <c r="CK415" s="260"/>
      <c r="CL415" s="260"/>
      <c r="CM415" s="260"/>
      <c r="CN415" s="260">
        <v>80</v>
      </c>
      <c r="CO415" s="260">
        <v>80</v>
      </c>
      <c r="CP415" s="260">
        <v>80</v>
      </c>
      <c r="CQ415" s="260">
        <v>80</v>
      </c>
      <c r="CR415" s="260">
        <v>80</v>
      </c>
      <c r="CS415" s="270">
        <v>80</v>
      </c>
      <c r="CT415" s="279" t="s">
        <v>178</v>
      </c>
      <c r="CU415" s="249">
        <f>Table2821115[[#This Row],[D28 - BR/18]]/Table2821115[[#This Row],[D0 - BR/18]]</f>
        <v>1</v>
      </c>
      <c r="CV415" s="248">
        <f>Table2821115[[#This Row],[D28 - KS/17]]/Table2821115[[#This Row],[D0 - KS/17]]</f>
        <v>2</v>
      </c>
      <c r="CW415" s="248">
        <f>Table2821115[[#This Row],[D28 - Phu/13]]/Table2821115[[#This Row],[D0 - Phu/13]]</f>
        <v>1</v>
      </c>
      <c r="CX415" s="248">
        <f>Table2821115[[#This Row],[D28 - CO/17]]/Table2821115[[#This Row],[D0 - CO/17]]</f>
        <v>1</v>
      </c>
      <c r="CY415" s="248">
        <f>LOG(Table2821115[[#This Row],[BR/18 Fold]],2)</f>
        <v>0</v>
      </c>
      <c r="CZ415" s="248">
        <f>LOG(Table2821115[[#This Row],[KS/17 Fold]],2)</f>
        <v>1</v>
      </c>
      <c r="DA415" s="248">
        <f>LOG(Table2821115[[#This Row],[Phu/13 Fold]],2)</f>
        <v>0</v>
      </c>
      <c r="DB415" s="248">
        <f>LOG(Table2821115[[#This Row],[CO/17 Fold]],2)</f>
        <v>0</v>
      </c>
      <c r="DC415" s="248">
        <f>SUM(Table2821115[[#This Row],[BR/18 Log2]:[CO/17 Log2]])</f>
        <v>1</v>
      </c>
    </row>
    <row r="416" spans="1:107" ht="24" customHeight="1">
      <c r="A416" s="282" t="s">
        <v>179</v>
      </c>
      <c r="B416" s="151">
        <v>37688</v>
      </c>
      <c r="C416" s="151">
        <v>43792</v>
      </c>
      <c r="D416" s="150">
        <v>16</v>
      </c>
      <c r="E416" s="4" t="s">
        <v>58</v>
      </c>
      <c r="F416" s="143" t="s">
        <v>116</v>
      </c>
      <c r="G416" s="142">
        <v>34.700186787176591</v>
      </c>
      <c r="H416" s="11" t="s">
        <v>59</v>
      </c>
      <c r="I416" s="281" t="s">
        <v>60</v>
      </c>
      <c r="J416" s="260">
        <v>5</v>
      </c>
      <c r="K416" s="260">
        <v>5</v>
      </c>
      <c r="L416" s="260"/>
      <c r="M416" s="260"/>
      <c r="N416" s="260"/>
      <c r="O416" s="260"/>
      <c r="P416" s="260"/>
      <c r="Q416" s="260"/>
      <c r="R416" s="260"/>
      <c r="S416" s="260"/>
      <c r="T416" s="260"/>
      <c r="U416" s="260"/>
      <c r="V416" s="260">
        <v>5</v>
      </c>
      <c r="W416" s="260">
        <v>80</v>
      </c>
      <c r="X416" s="260">
        <v>160</v>
      </c>
      <c r="Y416" s="260">
        <v>160</v>
      </c>
      <c r="Z416" s="260">
        <v>320</v>
      </c>
      <c r="AA416" s="260">
        <v>320</v>
      </c>
      <c r="AB416" s="260">
        <v>160</v>
      </c>
      <c r="AC416" s="260">
        <v>160</v>
      </c>
      <c r="AD416" s="260"/>
      <c r="AE416" s="260"/>
      <c r="AF416" s="260"/>
      <c r="AG416" s="260"/>
      <c r="AH416" s="174" t="s">
        <v>179</v>
      </c>
      <c r="AI416" s="272">
        <v>20</v>
      </c>
      <c r="AJ416" s="271">
        <v>40</v>
      </c>
      <c r="AK416" s="260"/>
      <c r="AL416" s="260"/>
      <c r="AM416" s="260"/>
      <c r="AN416" s="260"/>
      <c r="AO416" s="260"/>
      <c r="AP416" s="260"/>
      <c r="AQ416" s="260"/>
      <c r="AR416" s="260"/>
      <c r="AS416" s="260"/>
      <c r="AT416" s="260"/>
      <c r="AU416" s="260">
        <v>40</v>
      </c>
      <c r="AV416" s="271">
        <v>320</v>
      </c>
      <c r="AW416" s="260">
        <v>80</v>
      </c>
      <c r="AX416" s="271">
        <v>320</v>
      </c>
      <c r="AY416" s="260">
        <v>40</v>
      </c>
      <c r="AZ416" s="271">
        <v>320</v>
      </c>
      <c r="BA416" s="276">
        <v>80</v>
      </c>
      <c r="BB416" s="276">
        <v>320</v>
      </c>
      <c r="BC416" s="276"/>
      <c r="BD416" s="276"/>
      <c r="BE416" s="276">
        <v>20</v>
      </c>
      <c r="BF416" s="276">
        <v>160</v>
      </c>
      <c r="BG416" s="260">
        <v>80</v>
      </c>
      <c r="BH416" s="271">
        <v>320</v>
      </c>
      <c r="BI416" s="276"/>
      <c r="BJ416" s="276"/>
      <c r="BK416" s="276"/>
      <c r="BL416" s="275"/>
      <c r="BM416" s="280" t="s">
        <v>179</v>
      </c>
      <c r="BN416" s="272">
        <v>20</v>
      </c>
      <c r="BO416" s="270">
        <v>80</v>
      </c>
      <c r="BP416" s="272"/>
      <c r="BQ416" s="260"/>
      <c r="BR416" s="260"/>
      <c r="BS416" s="260"/>
      <c r="BT416" s="260"/>
      <c r="BU416" s="260"/>
      <c r="BV416" s="260">
        <v>5</v>
      </c>
      <c r="BW416" s="260">
        <v>160</v>
      </c>
      <c r="BX416" s="260"/>
      <c r="BY416" s="260"/>
      <c r="BZ416" s="260"/>
      <c r="CA416" s="260"/>
      <c r="CB416" s="260"/>
      <c r="CC416" s="260"/>
      <c r="CD416" s="260">
        <v>80</v>
      </c>
      <c r="CE416" s="260">
        <v>160</v>
      </c>
      <c r="CF416" s="272"/>
      <c r="CG416" s="260"/>
      <c r="CH416" s="260"/>
      <c r="CI416" s="260"/>
      <c r="CJ416" s="260"/>
      <c r="CK416" s="260"/>
      <c r="CL416" s="260"/>
      <c r="CM416" s="260"/>
      <c r="CN416" s="260">
        <v>40</v>
      </c>
      <c r="CO416" s="260">
        <v>80</v>
      </c>
      <c r="CP416" s="260">
        <v>80</v>
      </c>
      <c r="CQ416" s="260">
        <v>80</v>
      </c>
      <c r="CR416" s="260">
        <v>40</v>
      </c>
      <c r="CS416" s="270">
        <v>80</v>
      </c>
      <c r="CT416" s="279" t="s">
        <v>179</v>
      </c>
      <c r="CU416" s="249">
        <f>Table2821115[[#This Row],[D28 - BR/18]]/Table2821115[[#This Row],[D0 - BR/18]]</f>
        <v>1</v>
      </c>
      <c r="CV416" s="248">
        <f>Table2821115[[#This Row],[D28 - KS/17]]/Table2821115[[#This Row],[D0 - KS/17]]</f>
        <v>8</v>
      </c>
      <c r="CW416" s="248">
        <f>Table2821115[[#This Row],[D28 - Phu/13]]/Table2821115[[#This Row],[D0 - Phu/13]]</f>
        <v>2</v>
      </c>
      <c r="CX416" s="248">
        <f>Table2821115[[#This Row],[D28 - CO/17]]/Table2821115[[#This Row],[D0 - CO/17]]</f>
        <v>1</v>
      </c>
      <c r="CY416" s="248">
        <f>LOG(Table2821115[[#This Row],[BR/18 Fold]],2)</f>
        <v>0</v>
      </c>
      <c r="CZ416" s="248">
        <f>LOG(Table2821115[[#This Row],[KS/17 Fold]],2)</f>
        <v>3</v>
      </c>
      <c r="DA416" s="248">
        <f>LOG(Table2821115[[#This Row],[Phu/13 Fold]],2)</f>
        <v>1</v>
      </c>
      <c r="DB416" s="248">
        <f>LOG(Table2821115[[#This Row],[CO/17 Fold]],2)</f>
        <v>0</v>
      </c>
      <c r="DC416" s="248">
        <f>SUM(Table2821115[[#This Row],[BR/18 Log2]:[CO/17 Log2]])</f>
        <v>4</v>
      </c>
    </row>
    <row r="417" spans="1:107" ht="24" customHeight="1">
      <c r="A417" s="282" t="s">
        <v>180</v>
      </c>
      <c r="B417" s="151">
        <v>37650</v>
      </c>
      <c r="C417" s="151">
        <v>43808</v>
      </c>
      <c r="D417" s="150">
        <v>16</v>
      </c>
      <c r="E417" s="3" t="s">
        <v>61</v>
      </c>
      <c r="F417" s="143" t="s">
        <v>181</v>
      </c>
      <c r="G417" s="142">
        <v>22.221758882795974</v>
      </c>
      <c r="H417" s="11" t="s">
        <v>59</v>
      </c>
      <c r="I417" s="281" t="s">
        <v>60</v>
      </c>
      <c r="J417" s="260">
        <v>5</v>
      </c>
      <c r="K417" s="260">
        <v>5</v>
      </c>
      <c r="L417" s="260"/>
      <c r="M417" s="260"/>
      <c r="N417" s="260"/>
      <c r="O417" s="260"/>
      <c r="P417" s="260"/>
      <c r="Q417" s="260"/>
      <c r="R417" s="260"/>
      <c r="S417" s="260"/>
      <c r="T417" s="260"/>
      <c r="U417" s="260"/>
      <c r="V417" s="260">
        <v>5</v>
      </c>
      <c r="W417" s="260">
        <v>5</v>
      </c>
      <c r="X417" s="260">
        <v>40</v>
      </c>
      <c r="Y417" s="260">
        <v>80</v>
      </c>
      <c r="Z417" s="260">
        <v>80</v>
      </c>
      <c r="AA417" s="260">
        <v>160</v>
      </c>
      <c r="AB417" s="260">
        <v>40</v>
      </c>
      <c r="AC417" s="260">
        <v>80</v>
      </c>
      <c r="AD417" s="260"/>
      <c r="AE417" s="260"/>
      <c r="AF417" s="260"/>
      <c r="AG417" s="260"/>
      <c r="AH417" s="174" t="s">
        <v>180</v>
      </c>
      <c r="AI417" s="272">
        <v>5</v>
      </c>
      <c r="AJ417" s="271">
        <v>5</v>
      </c>
      <c r="AK417" s="260"/>
      <c r="AL417" s="260"/>
      <c r="AM417" s="260"/>
      <c r="AN417" s="260"/>
      <c r="AO417" s="260"/>
      <c r="AP417" s="260"/>
      <c r="AQ417" s="260"/>
      <c r="AR417" s="260"/>
      <c r="AS417" s="260"/>
      <c r="AT417" s="260"/>
      <c r="AU417" s="260">
        <v>40</v>
      </c>
      <c r="AV417" s="271">
        <v>160</v>
      </c>
      <c r="AW417" s="260">
        <v>40</v>
      </c>
      <c r="AX417" s="271">
        <v>80</v>
      </c>
      <c r="AY417" s="260">
        <v>20</v>
      </c>
      <c r="AZ417" s="271">
        <v>80</v>
      </c>
      <c r="BA417" s="276">
        <v>40</v>
      </c>
      <c r="BB417" s="276">
        <v>160</v>
      </c>
      <c r="BC417" s="276"/>
      <c r="BD417" s="276"/>
      <c r="BE417" s="276">
        <v>10</v>
      </c>
      <c r="BF417" s="276">
        <v>80</v>
      </c>
      <c r="BG417" s="260">
        <v>40</v>
      </c>
      <c r="BH417" s="271">
        <v>80</v>
      </c>
      <c r="BI417" s="276"/>
      <c r="BJ417" s="276"/>
      <c r="BK417" s="276"/>
      <c r="BL417" s="275"/>
      <c r="BM417" s="280" t="s">
        <v>180</v>
      </c>
      <c r="BN417" s="272">
        <v>160</v>
      </c>
      <c r="BO417" s="270">
        <v>320</v>
      </c>
      <c r="BP417" s="272"/>
      <c r="BQ417" s="260"/>
      <c r="BR417" s="260"/>
      <c r="BS417" s="260"/>
      <c r="BT417" s="260"/>
      <c r="BU417" s="260"/>
      <c r="BV417" s="260">
        <v>80</v>
      </c>
      <c r="BW417" s="260">
        <v>160</v>
      </c>
      <c r="BX417" s="260"/>
      <c r="BY417" s="260"/>
      <c r="BZ417" s="260"/>
      <c r="CA417" s="260"/>
      <c r="CB417" s="260"/>
      <c r="CC417" s="260"/>
      <c r="CD417" s="260">
        <v>20</v>
      </c>
      <c r="CE417" s="260">
        <v>40</v>
      </c>
      <c r="CF417" s="272"/>
      <c r="CG417" s="260"/>
      <c r="CH417" s="260"/>
      <c r="CI417" s="260"/>
      <c r="CJ417" s="260"/>
      <c r="CK417" s="260"/>
      <c r="CL417" s="260"/>
      <c r="CM417" s="260"/>
      <c r="CN417" s="260">
        <v>40</v>
      </c>
      <c r="CO417" s="260">
        <v>80</v>
      </c>
      <c r="CP417" s="260">
        <v>80</v>
      </c>
      <c r="CQ417" s="260">
        <v>80</v>
      </c>
      <c r="CR417" s="260">
        <v>40</v>
      </c>
      <c r="CS417" s="270">
        <v>80</v>
      </c>
      <c r="CT417" s="279" t="s">
        <v>180</v>
      </c>
      <c r="CU417" s="249">
        <f>Table2821115[[#This Row],[D28 - BR/18]]/Table2821115[[#This Row],[D0 - BR/18]]</f>
        <v>2</v>
      </c>
      <c r="CV417" s="248">
        <f>Table2821115[[#This Row],[D28 - KS/17]]/Table2821115[[#This Row],[D0 - KS/17]]</f>
        <v>8</v>
      </c>
      <c r="CW417" s="248">
        <f>Table2821115[[#This Row],[D28 - Phu/13]]/Table2821115[[#This Row],[D0 - Phu/13]]</f>
        <v>2</v>
      </c>
      <c r="CX417" s="248">
        <f>Table2821115[[#This Row],[D28 - CO/17]]/Table2821115[[#This Row],[D0 - CO/17]]</f>
        <v>1</v>
      </c>
      <c r="CY417" s="248">
        <f>LOG(Table2821115[[#This Row],[BR/18 Fold]],2)</f>
        <v>1</v>
      </c>
      <c r="CZ417" s="248">
        <f>LOG(Table2821115[[#This Row],[KS/17 Fold]],2)</f>
        <v>3</v>
      </c>
      <c r="DA417" s="248">
        <f>LOG(Table2821115[[#This Row],[Phu/13 Fold]],2)</f>
        <v>1</v>
      </c>
      <c r="DB417" s="248">
        <f>LOG(Table2821115[[#This Row],[CO/17 Fold]],2)</f>
        <v>0</v>
      </c>
      <c r="DC417" s="248">
        <f>SUM(Table2821115[[#This Row],[BR/18 Log2]:[CO/17 Log2]])</f>
        <v>5</v>
      </c>
    </row>
    <row r="418" spans="1:107" ht="24" customHeight="1">
      <c r="A418" s="278" t="s">
        <v>182</v>
      </c>
      <c r="B418" s="145">
        <v>38358</v>
      </c>
      <c r="C418" s="145">
        <v>43768</v>
      </c>
      <c r="D418" s="144">
        <v>14</v>
      </c>
      <c r="E418" s="3" t="s">
        <v>61</v>
      </c>
      <c r="F418" s="143" t="s">
        <v>116</v>
      </c>
      <c r="G418" s="142">
        <v>22.567770863675818</v>
      </c>
      <c r="H418" s="11" t="s">
        <v>59</v>
      </c>
      <c r="I418" s="281" t="s">
        <v>60</v>
      </c>
      <c r="J418" s="260">
        <v>5</v>
      </c>
      <c r="K418" s="260">
        <v>5</v>
      </c>
      <c r="L418" s="260"/>
      <c r="M418" s="260"/>
      <c r="N418" s="260"/>
      <c r="O418" s="260"/>
      <c r="P418" s="260"/>
      <c r="Q418" s="260"/>
      <c r="R418" s="260"/>
      <c r="S418" s="260"/>
      <c r="T418" s="260"/>
      <c r="U418" s="260"/>
      <c r="V418" s="260">
        <v>80</v>
      </c>
      <c r="W418" s="260">
        <v>80</v>
      </c>
      <c r="X418" s="260">
        <v>320</v>
      </c>
      <c r="Y418" s="260">
        <v>320</v>
      </c>
      <c r="Z418" s="260">
        <v>640</v>
      </c>
      <c r="AA418" s="260">
        <v>640</v>
      </c>
      <c r="AB418" s="260">
        <v>320</v>
      </c>
      <c r="AC418" s="260">
        <v>320</v>
      </c>
      <c r="AD418" s="260"/>
      <c r="AE418" s="260"/>
      <c r="AF418" s="260"/>
      <c r="AG418" s="260"/>
      <c r="AH418" s="176" t="s">
        <v>182</v>
      </c>
      <c r="AI418" s="272">
        <v>5</v>
      </c>
      <c r="AJ418" s="271">
        <v>10</v>
      </c>
      <c r="AK418" s="260"/>
      <c r="AL418" s="260"/>
      <c r="AM418" s="260"/>
      <c r="AN418" s="260"/>
      <c r="AO418" s="260"/>
      <c r="AP418" s="260"/>
      <c r="AQ418" s="260"/>
      <c r="AR418" s="260"/>
      <c r="AS418" s="260"/>
      <c r="AT418" s="260"/>
      <c r="AU418" s="260">
        <v>80</v>
      </c>
      <c r="AV418" s="271">
        <v>160</v>
      </c>
      <c r="AW418" s="260">
        <v>80</v>
      </c>
      <c r="AX418" s="271">
        <v>160</v>
      </c>
      <c r="AY418" s="260">
        <v>80</v>
      </c>
      <c r="AZ418" s="271">
        <v>160</v>
      </c>
      <c r="BA418" s="276">
        <v>160</v>
      </c>
      <c r="BB418" s="276">
        <v>160</v>
      </c>
      <c r="BC418" s="276"/>
      <c r="BD418" s="276"/>
      <c r="BE418" s="276">
        <v>80</v>
      </c>
      <c r="BF418" s="276">
        <v>80</v>
      </c>
      <c r="BG418" s="260">
        <v>80</v>
      </c>
      <c r="BH418" s="271">
        <v>80</v>
      </c>
      <c r="BI418" s="276"/>
      <c r="BJ418" s="276"/>
      <c r="BK418" s="276"/>
      <c r="BL418" s="275"/>
      <c r="BM418" s="274" t="s">
        <v>182</v>
      </c>
      <c r="BN418" s="272">
        <v>40</v>
      </c>
      <c r="BO418" s="270">
        <v>80</v>
      </c>
      <c r="BP418" s="272"/>
      <c r="BQ418" s="260"/>
      <c r="BR418" s="260"/>
      <c r="BS418" s="260"/>
      <c r="BT418" s="260"/>
      <c r="BU418" s="260"/>
      <c r="BV418" s="260">
        <v>80</v>
      </c>
      <c r="BW418" s="260">
        <v>80</v>
      </c>
      <c r="BX418" s="260"/>
      <c r="BY418" s="260"/>
      <c r="BZ418" s="260"/>
      <c r="CA418" s="260"/>
      <c r="CB418" s="260"/>
      <c r="CC418" s="260"/>
      <c r="CD418" s="260">
        <v>80</v>
      </c>
      <c r="CE418" s="260">
        <v>80</v>
      </c>
      <c r="CF418" s="272"/>
      <c r="CG418" s="260"/>
      <c r="CH418" s="260"/>
      <c r="CI418" s="260"/>
      <c r="CJ418" s="260"/>
      <c r="CK418" s="260"/>
      <c r="CL418" s="260"/>
      <c r="CM418" s="260"/>
      <c r="CN418" s="260">
        <v>80</v>
      </c>
      <c r="CO418" s="260">
        <v>80</v>
      </c>
      <c r="CP418" s="260">
        <v>160</v>
      </c>
      <c r="CQ418" s="260">
        <v>160</v>
      </c>
      <c r="CR418" s="260">
        <v>80</v>
      </c>
      <c r="CS418" s="270">
        <v>160</v>
      </c>
      <c r="CT418" s="269" t="s">
        <v>182</v>
      </c>
      <c r="CU418" s="249">
        <f>Table2821115[[#This Row],[D28 - BR/18]]/Table2821115[[#This Row],[D0 - BR/18]]</f>
        <v>1</v>
      </c>
      <c r="CV418" s="248">
        <f>Table2821115[[#This Row],[D28 - KS/17]]/Table2821115[[#This Row],[D0 - KS/17]]</f>
        <v>1</v>
      </c>
      <c r="CW418" s="248">
        <f>Table2821115[[#This Row],[D28 - Phu/13]]/Table2821115[[#This Row],[D0 - Phu/13]]</f>
        <v>1</v>
      </c>
      <c r="CX418" s="248">
        <f>Table2821115[[#This Row],[D28 - CO/17]]/Table2821115[[#This Row],[D0 - CO/17]]</f>
        <v>1</v>
      </c>
      <c r="CY418" s="248">
        <f>LOG(Table2821115[[#This Row],[BR/18 Fold]],2)</f>
        <v>0</v>
      </c>
      <c r="CZ418" s="248">
        <f>LOG(Table2821115[[#This Row],[KS/17 Fold]],2)</f>
        <v>0</v>
      </c>
      <c r="DA418" s="248">
        <f>LOG(Table2821115[[#This Row],[Phu/13 Fold]],2)</f>
        <v>0</v>
      </c>
      <c r="DB418" s="248">
        <f>LOG(Table2821115[[#This Row],[CO/17 Fold]],2)</f>
        <v>0</v>
      </c>
      <c r="DC418" s="248">
        <f>SUM(Table2821115[[#This Row],[BR/18 Log2]:[CO/17 Log2]])</f>
        <v>0</v>
      </c>
    </row>
    <row r="419" spans="1:107" ht="24" customHeight="1">
      <c r="A419" s="282" t="s">
        <v>183</v>
      </c>
      <c r="B419" s="151">
        <v>37707</v>
      </c>
      <c r="C419" s="151">
        <v>43746</v>
      </c>
      <c r="D419" s="150">
        <v>16</v>
      </c>
      <c r="E419" s="4" t="s">
        <v>58</v>
      </c>
      <c r="F419" s="143" t="s">
        <v>116</v>
      </c>
      <c r="G419" s="142">
        <v>27.501363882715335</v>
      </c>
      <c r="H419" s="11" t="s">
        <v>59</v>
      </c>
      <c r="I419" s="281" t="s">
        <v>60</v>
      </c>
      <c r="J419" s="260">
        <v>5</v>
      </c>
      <c r="K419" s="260">
        <v>5</v>
      </c>
      <c r="L419" s="260"/>
      <c r="M419" s="260"/>
      <c r="N419" s="260"/>
      <c r="O419" s="260"/>
      <c r="P419" s="260"/>
      <c r="Q419" s="260"/>
      <c r="R419" s="260"/>
      <c r="S419" s="260"/>
      <c r="T419" s="260"/>
      <c r="U419" s="260"/>
      <c r="V419" s="260">
        <v>5</v>
      </c>
      <c r="W419" s="260">
        <v>5</v>
      </c>
      <c r="X419" s="260">
        <v>160</v>
      </c>
      <c r="Y419" s="260">
        <v>160</v>
      </c>
      <c r="Z419" s="260">
        <v>160</v>
      </c>
      <c r="AA419" s="260">
        <v>320</v>
      </c>
      <c r="AB419" s="260">
        <v>80</v>
      </c>
      <c r="AC419" s="260">
        <v>160</v>
      </c>
      <c r="AD419" s="260"/>
      <c r="AE419" s="260"/>
      <c r="AF419" s="260"/>
      <c r="AG419" s="260"/>
      <c r="AH419" s="174" t="s">
        <v>183</v>
      </c>
      <c r="AI419" s="272">
        <v>10</v>
      </c>
      <c r="AJ419" s="271">
        <v>20</v>
      </c>
      <c r="AK419" s="260"/>
      <c r="AL419" s="260"/>
      <c r="AM419" s="260"/>
      <c r="AN419" s="260"/>
      <c r="AO419" s="260"/>
      <c r="AP419" s="260"/>
      <c r="AQ419" s="260"/>
      <c r="AR419" s="260"/>
      <c r="AS419" s="260"/>
      <c r="AT419" s="260"/>
      <c r="AU419" s="260">
        <v>320</v>
      </c>
      <c r="AV419" s="271">
        <v>640</v>
      </c>
      <c r="AW419" s="260">
        <v>320</v>
      </c>
      <c r="AX419" s="271">
        <v>320</v>
      </c>
      <c r="AY419" s="260">
        <v>160</v>
      </c>
      <c r="AZ419" s="271">
        <v>320</v>
      </c>
      <c r="BA419" s="276">
        <v>320</v>
      </c>
      <c r="BB419" s="276">
        <v>320</v>
      </c>
      <c r="BC419" s="276"/>
      <c r="BD419" s="276"/>
      <c r="BE419" s="276">
        <v>20</v>
      </c>
      <c r="BF419" s="276">
        <v>160</v>
      </c>
      <c r="BG419" s="260">
        <v>320</v>
      </c>
      <c r="BH419" s="271">
        <v>320</v>
      </c>
      <c r="BI419" s="276"/>
      <c r="BJ419" s="276"/>
      <c r="BK419" s="276"/>
      <c r="BL419" s="275"/>
      <c r="BM419" s="280" t="s">
        <v>183</v>
      </c>
      <c r="BN419" s="272">
        <v>80</v>
      </c>
      <c r="BO419" s="270">
        <v>80</v>
      </c>
      <c r="BP419" s="272"/>
      <c r="BQ419" s="260"/>
      <c r="BR419" s="260"/>
      <c r="BS419" s="260"/>
      <c r="BT419" s="260"/>
      <c r="BU419" s="260"/>
      <c r="BV419" s="260">
        <v>5</v>
      </c>
      <c r="BW419" s="260">
        <v>5</v>
      </c>
      <c r="BX419" s="260"/>
      <c r="BY419" s="260"/>
      <c r="BZ419" s="260"/>
      <c r="CA419" s="260"/>
      <c r="CB419" s="260"/>
      <c r="CC419" s="260"/>
      <c r="CD419" s="260">
        <v>80</v>
      </c>
      <c r="CE419" s="260">
        <v>80</v>
      </c>
      <c r="CF419" s="272"/>
      <c r="CG419" s="260"/>
      <c r="CH419" s="260"/>
      <c r="CI419" s="260"/>
      <c r="CJ419" s="260"/>
      <c r="CK419" s="260"/>
      <c r="CL419" s="260"/>
      <c r="CM419" s="260"/>
      <c r="CN419" s="260">
        <v>80</v>
      </c>
      <c r="CO419" s="260">
        <v>80</v>
      </c>
      <c r="CP419" s="260">
        <v>320</v>
      </c>
      <c r="CQ419" s="260">
        <v>160</v>
      </c>
      <c r="CR419" s="260">
        <v>160</v>
      </c>
      <c r="CS419" s="270">
        <v>160</v>
      </c>
      <c r="CT419" s="279" t="s">
        <v>183</v>
      </c>
      <c r="CU419" s="249">
        <f>Table2821115[[#This Row],[D28 - BR/18]]/Table2821115[[#This Row],[D0 - BR/18]]</f>
        <v>2</v>
      </c>
      <c r="CV419" s="248">
        <f>Table2821115[[#This Row],[D28 - KS/17]]/Table2821115[[#This Row],[D0 - KS/17]]</f>
        <v>8</v>
      </c>
      <c r="CW419" s="248">
        <f>Table2821115[[#This Row],[D28 - Phu/13]]/Table2821115[[#This Row],[D0 - Phu/13]]</f>
        <v>1</v>
      </c>
      <c r="CX419" s="248">
        <f>Table2821115[[#This Row],[D28 - CO/17]]/Table2821115[[#This Row],[D0 - CO/17]]</f>
        <v>0.5</v>
      </c>
      <c r="CY419" s="248">
        <f>LOG(Table2821115[[#This Row],[BR/18 Fold]],2)</f>
        <v>1</v>
      </c>
      <c r="CZ419" s="248">
        <f>LOG(Table2821115[[#This Row],[KS/17 Fold]],2)</f>
        <v>3</v>
      </c>
      <c r="DA419" s="248">
        <f>LOG(Table2821115[[#This Row],[Phu/13 Fold]],2)</f>
        <v>0</v>
      </c>
      <c r="DB419" s="248">
        <f>LOG(Table2821115[[#This Row],[CO/17 Fold]],2)</f>
        <v>-1</v>
      </c>
      <c r="DC419" s="248">
        <f>SUM(Table2821115[[#This Row],[BR/18 Log2]:[CO/17 Log2]])</f>
        <v>3</v>
      </c>
    </row>
    <row r="420" spans="1:107" ht="24" customHeight="1">
      <c r="A420" s="278" t="s">
        <v>184</v>
      </c>
      <c r="B420" s="145">
        <v>38752</v>
      </c>
      <c r="C420" s="145">
        <v>43781</v>
      </c>
      <c r="D420" s="144">
        <v>13</v>
      </c>
      <c r="E420" s="4" t="s">
        <v>58</v>
      </c>
      <c r="F420" s="143" t="s">
        <v>116</v>
      </c>
      <c r="G420" s="142">
        <v>21.288386678200698</v>
      </c>
      <c r="H420" s="11" t="s">
        <v>59</v>
      </c>
      <c r="I420" s="281" t="s">
        <v>60</v>
      </c>
      <c r="J420" s="260">
        <v>5</v>
      </c>
      <c r="K420" s="260">
        <v>5</v>
      </c>
      <c r="L420" s="260"/>
      <c r="M420" s="260"/>
      <c r="N420" s="260"/>
      <c r="O420" s="260"/>
      <c r="P420" s="260"/>
      <c r="Q420" s="260"/>
      <c r="R420" s="260"/>
      <c r="S420" s="260"/>
      <c r="T420" s="260"/>
      <c r="U420" s="260"/>
      <c r="V420" s="260">
        <v>5</v>
      </c>
      <c r="W420" s="260">
        <v>20</v>
      </c>
      <c r="X420" s="260">
        <v>80</v>
      </c>
      <c r="Y420" s="260">
        <v>320</v>
      </c>
      <c r="Z420" s="260">
        <v>160</v>
      </c>
      <c r="AA420" s="260">
        <v>640</v>
      </c>
      <c r="AB420" s="260">
        <v>80</v>
      </c>
      <c r="AC420" s="260">
        <v>320</v>
      </c>
      <c r="AD420" s="260"/>
      <c r="AE420" s="260"/>
      <c r="AF420" s="260"/>
      <c r="AG420" s="260"/>
      <c r="AH420" s="176" t="s">
        <v>184</v>
      </c>
      <c r="AI420" s="272">
        <v>5</v>
      </c>
      <c r="AJ420" s="271">
        <v>5</v>
      </c>
      <c r="AK420" s="260"/>
      <c r="AL420" s="260"/>
      <c r="AM420" s="260"/>
      <c r="AN420" s="260"/>
      <c r="AO420" s="260"/>
      <c r="AP420" s="260"/>
      <c r="AQ420" s="260"/>
      <c r="AR420" s="260"/>
      <c r="AS420" s="260"/>
      <c r="AT420" s="260"/>
      <c r="AU420" s="260">
        <v>80</v>
      </c>
      <c r="AV420" s="271">
        <v>320</v>
      </c>
      <c r="AW420" s="260">
        <v>80</v>
      </c>
      <c r="AX420" s="271">
        <v>320</v>
      </c>
      <c r="AY420" s="260">
        <v>80</v>
      </c>
      <c r="AZ420" s="271">
        <v>320</v>
      </c>
      <c r="BA420" s="276">
        <v>80</v>
      </c>
      <c r="BB420" s="276">
        <v>320</v>
      </c>
      <c r="BC420" s="276"/>
      <c r="BD420" s="276"/>
      <c r="BE420" s="276">
        <v>20</v>
      </c>
      <c r="BF420" s="276">
        <v>320</v>
      </c>
      <c r="BG420" s="260">
        <v>80</v>
      </c>
      <c r="BH420" s="271">
        <v>320</v>
      </c>
      <c r="BI420" s="276"/>
      <c r="BJ420" s="276"/>
      <c r="BK420" s="276"/>
      <c r="BL420" s="275"/>
      <c r="BM420" s="274" t="s">
        <v>184</v>
      </c>
      <c r="BN420" s="272">
        <v>5</v>
      </c>
      <c r="BO420" s="270">
        <v>20</v>
      </c>
      <c r="BP420" s="272"/>
      <c r="BQ420" s="260"/>
      <c r="BR420" s="260"/>
      <c r="BS420" s="260"/>
      <c r="BT420" s="260"/>
      <c r="BU420" s="260"/>
      <c r="BV420" s="260">
        <v>5</v>
      </c>
      <c r="BW420" s="260">
        <v>5</v>
      </c>
      <c r="BX420" s="260"/>
      <c r="BY420" s="260"/>
      <c r="BZ420" s="260"/>
      <c r="CA420" s="260"/>
      <c r="CB420" s="260"/>
      <c r="CC420" s="260"/>
      <c r="CD420" s="260">
        <v>40</v>
      </c>
      <c r="CE420" s="260">
        <v>80</v>
      </c>
      <c r="CF420" s="272"/>
      <c r="CG420" s="260"/>
      <c r="CH420" s="260"/>
      <c r="CI420" s="260"/>
      <c r="CJ420" s="260"/>
      <c r="CK420" s="260"/>
      <c r="CL420" s="260"/>
      <c r="CM420" s="260"/>
      <c r="CN420" s="260">
        <v>20</v>
      </c>
      <c r="CO420" s="260">
        <v>80</v>
      </c>
      <c r="CP420" s="260">
        <v>40</v>
      </c>
      <c r="CQ420" s="260">
        <v>80</v>
      </c>
      <c r="CR420" s="260">
        <v>40</v>
      </c>
      <c r="CS420" s="270">
        <v>160</v>
      </c>
      <c r="CT420" s="269" t="s">
        <v>184</v>
      </c>
      <c r="CU420" s="249">
        <f>Table2821115[[#This Row],[D28 - BR/18]]/Table2821115[[#This Row],[D0 - BR/18]]</f>
        <v>4</v>
      </c>
      <c r="CV420" s="248">
        <f>Table2821115[[#This Row],[D28 - KS/17]]/Table2821115[[#This Row],[D0 - KS/17]]</f>
        <v>16</v>
      </c>
      <c r="CW420" s="248">
        <f>Table2821115[[#This Row],[D28 - Phu/13]]/Table2821115[[#This Row],[D0 - Phu/13]]</f>
        <v>2</v>
      </c>
      <c r="CX420" s="248">
        <f>Table2821115[[#This Row],[D28 - CO/17]]/Table2821115[[#This Row],[D0 - CO/17]]</f>
        <v>2</v>
      </c>
      <c r="CY420" s="248">
        <f>LOG(Table2821115[[#This Row],[BR/18 Fold]],2)</f>
        <v>2</v>
      </c>
      <c r="CZ420" s="248">
        <f>LOG(Table2821115[[#This Row],[KS/17 Fold]],2)</f>
        <v>4</v>
      </c>
      <c r="DA420" s="248">
        <f>LOG(Table2821115[[#This Row],[Phu/13 Fold]],2)</f>
        <v>1</v>
      </c>
      <c r="DB420" s="248">
        <f>LOG(Table2821115[[#This Row],[CO/17 Fold]],2)</f>
        <v>1</v>
      </c>
      <c r="DC420" s="248">
        <f>SUM(Table2821115[[#This Row],[BR/18 Log2]:[CO/17 Log2]])</f>
        <v>8</v>
      </c>
    </row>
    <row r="421" spans="1:107" ht="24" customHeight="1">
      <c r="A421" s="278" t="s">
        <v>185</v>
      </c>
      <c r="B421" s="145">
        <v>38405</v>
      </c>
      <c r="C421" s="145">
        <v>43806</v>
      </c>
      <c r="D421" s="144">
        <v>14</v>
      </c>
      <c r="E421" s="3" t="s">
        <v>61</v>
      </c>
      <c r="F421" s="143" t="s">
        <v>116</v>
      </c>
      <c r="G421" s="142">
        <v>22.93946710669999</v>
      </c>
      <c r="H421" s="11" t="s">
        <v>59</v>
      </c>
      <c r="I421" s="281" t="s">
        <v>60</v>
      </c>
      <c r="J421" s="260">
        <v>5</v>
      </c>
      <c r="K421" s="260">
        <v>5</v>
      </c>
      <c r="L421" s="260"/>
      <c r="M421" s="260"/>
      <c r="N421" s="260"/>
      <c r="O421" s="260"/>
      <c r="P421" s="260"/>
      <c r="Q421" s="260"/>
      <c r="R421" s="260"/>
      <c r="S421" s="260"/>
      <c r="T421" s="260"/>
      <c r="U421" s="260"/>
      <c r="V421" s="260">
        <v>5</v>
      </c>
      <c r="W421" s="260">
        <v>20</v>
      </c>
      <c r="X421" s="260">
        <v>80</v>
      </c>
      <c r="Y421" s="260">
        <v>160</v>
      </c>
      <c r="Z421" s="260">
        <v>80</v>
      </c>
      <c r="AA421" s="260">
        <v>320</v>
      </c>
      <c r="AB421" s="260">
        <v>40</v>
      </c>
      <c r="AC421" s="260">
        <v>160</v>
      </c>
      <c r="AD421" s="260"/>
      <c r="AE421" s="260"/>
      <c r="AF421" s="260"/>
      <c r="AG421" s="260"/>
      <c r="AH421" s="176" t="s">
        <v>185</v>
      </c>
      <c r="AI421" s="272">
        <v>5</v>
      </c>
      <c r="AJ421" s="271">
        <v>5</v>
      </c>
      <c r="AK421" s="260"/>
      <c r="AL421" s="260"/>
      <c r="AM421" s="260"/>
      <c r="AN421" s="260"/>
      <c r="AO421" s="260"/>
      <c r="AP421" s="260"/>
      <c r="AQ421" s="260"/>
      <c r="AR421" s="260"/>
      <c r="AS421" s="260"/>
      <c r="AT421" s="260"/>
      <c r="AU421" s="260">
        <v>80</v>
      </c>
      <c r="AV421" s="271">
        <v>320</v>
      </c>
      <c r="AW421" s="260">
        <v>40</v>
      </c>
      <c r="AX421" s="271">
        <v>320</v>
      </c>
      <c r="AY421" s="260">
        <v>20</v>
      </c>
      <c r="AZ421" s="271">
        <v>320</v>
      </c>
      <c r="BA421" s="276">
        <v>40</v>
      </c>
      <c r="BB421" s="276">
        <v>320</v>
      </c>
      <c r="BC421" s="276"/>
      <c r="BD421" s="276"/>
      <c r="BE421" s="276">
        <v>5</v>
      </c>
      <c r="BF421" s="276">
        <v>320</v>
      </c>
      <c r="BG421" s="260">
        <v>80</v>
      </c>
      <c r="BH421" s="271">
        <v>320</v>
      </c>
      <c r="BI421" s="276"/>
      <c r="BJ421" s="276"/>
      <c r="BK421" s="276"/>
      <c r="BL421" s="275"/>
      <c r="BM421" s="274" t="s">
        <v>185</v>
      </c>
      <c r="BN421" s="272">
        <v>40</v>
      </c>
      <c r="BO421" s="270">
        <v>80</v>
      </c>
      <c r="BP421" s="272"/>
      <c r="BQ421" s="260"/>
      <c r="BR421" s="260"/>
      <c r="BS421" s="260"/>
      <c r="BT421" s="260"/>
      <c r="BU421" s="260"/>
      <c r="BV421" s="260">
        <v>5</v>
      </c>
      <c r="BW421" s="260">
        <v>160</v>
      </c>
      <c r="BX421" s="260"/>
      <c r="BY421" s="260"/>
      <c r="BZ421" s="260"/>
      <c r="CA421" s="260"/>
      <c r="CB421" s="260"/>
      <c r="CC421" s="260"/>
      <c r="CD421" s="260">
        <v>80</v>
      </c>
      <c r="CE421" s="260">
        <v>160</v>
      </c>
      <c r="CF421" s="272"/>
      <c r="CG421" s="260"/>
      <c r="CH421" s="260"/>
      <c r="CI421" s="260"/>
      <c r="CJ421" s="260"/>
      <c r="CK421" s="260"/>
      <c r="CL421" s="260"/>
      <c r="CM421" s="260"/>
      <c r="CN421" s="260">
        <v>40</v>
      </c>
      <c r="CO421" s="260">
        <v>80</v>
      </c>
      <c r="CP421" s="260">
        <v>80</v>
      </c>
      <c r="CQ421" s="260">
        <v>80</v>
      </c>
      <c r="CR421" s="260">
        <v>20</v>
      </c>
      <c r="CS421" s="270">
        <v>80</v>
      </c>
      <c r="CT421" s="269" t="s">
        <v>185</v>
      </c>
      <c r="CU421" s="249">
        <f>Table2821115[[#This Row],[D28 - BR/18]]/Table2821115[[#This Row],[D0 - BR/18]]</f>
        <v>4</v>
      </c>
      <c r="CV421" s="248">
        <f>Table2821115[[#This Row],[D28 - KS/17]]/Table2821115[[#This Row],[D0 - KS/17]]</f>
        <v>64</v>
      </c>
      <c r="CW421" s="248">
        <f>Table2821115[[#This Row],[D28 - Phu/13]]/Table2821115[[#This Row],[D0 - Phu/13]]</f>
        <v>2</v>
      </c>
      <c r="CX421" s="248">
        <f>Table2821115[[#This Row],[D28 - CO/17]]/Table2821115[[#This Row],[D0 - CO/17]]</f>
        <v>1</v>
      </c>
      <c r="CY421" s="248">
        <f>LOG(Table2821115[[#This Row],[BR/18 Fold]],2)</f>
        <v>2</v>
      </c>
      <c r="CZ421" s="248">
        <f>LOG(Table2821115[[#This Row],[KS/17 Fold]],2)</f>
        <v>6</v>
      </c>
      <c r="DA421" s="248">
        <f>LOG(Table2821115[[#This Row],[Phu/13 Fold]],2)</f>
        <v>1</v>
      </c>
      <c r="DB421" s="248">
        <f>LOG(Table2821115[[#This Row],[CO/17 Fold]],2)</f>
        <v>0</v>
      </c>
      <c r="DC421" s="248">
        <f>SUM(Table2821115[[#This Row],[BR/18 Log2]:[CO/17 Log2]])</f>
        <v>9</v>
      </c>
    </row>
    <row r="422" spans="1:107" ht="24" customHeight="1">
      <c r="A422" s="278" t="s">
        <v>186</v>
      </c>
      <c r="B422" s="145">
        <v>38405</v>
      </c>
      <c r="C422" s="145">
        <v>43806</v>
      </c>
      <c r="D422" s="144">
        <v>14</v>
      </c>
      <c r="E422" s="3" t="s">
        <v>61</v>
      </c>
      <c r="F422" s="143" t="s">
        <v>116</v>
      </c>
      <c r="G422" s="142">
        <v>19.351531462258105</v>
      </c>
      <c r="H422" s="11" t="s">
        <v>59</v>
      </c>
      <c r="I422" s="281" t="s">
        <v>60</v>
      </c>
      <c r="J422" s="260">
        <v>5</v>
      </c>
      <c r="K422" s="260">
        <v>5</v>
      </c>
      <c r="L422" s="260"/>
      <c r="M422" s="260"/>
      <c r="N422" s="260"/>
      <c r="O422" s="260"/>
      <c r="P422" s="260"/>
      <c r="Q422" s="260"/>
      <c r="R422" s="260"/>
      <c r="S422" s="260"/>
      <c r="T422" s="260"/>
      <c r="U422" s="260"/>
      <c r="V422" s="260">
        <v>5</v>
      </c>
      <c r="W422" s="260">
        <v>5</v>
      </c>
      <c r="X422" s="260">
        <v>80</v>
      </c>
      <c r="Y422" s="260">
        <v>160</v>
      </c>
      <c r="Z422" s="260">
        <v>160</v>
      </c>
      <c r="AA422" s="260">
        <v>160</v>
      </c>
      <c r="AB422" s="260">
        <v>80</v>
      </c>
      <c r="AC422" s="260">
        <v>80</v>
      </c>
      <c r="AD422" s="260"/>
      <c r="AE422" s="260"/>
      <c r="AF422" s="260"/>
      <c r="AG422" s="260"/>
      <c r="AH422" s="176" t="s">
        <v>186</v>
      </c>
      <c r="AI422" s="272">
        <v>10</v>
      </c>
      <c r="AJ422" s="271">
        <v>40</v>
      </c>
      <c r="AK422" s="260"/>
      <c r="AL422" s="260"/>
      <c r="AM422" s="260"/>
      <c r="AN422" s="260"/>
      <c r="AO422" s="260"/>
      <c r="AP422" s="260"/>
      <c r="AQ422" s="260"/>
      <c r="AR422" s="260"/>
      <c r="AS422" s="260"/>
      <c r="AT422" s="260"/>
      <c r="AU422" s="260">
        <v>80</v>
      </c>
      <c r="AV422" s="271">
        <v>640</v>
      </c>
      <c r="AW422" s="260">
        <v>80</v>
      </c>
      <c r="AX422" s="271">
        <v>640</v>
      </c>
      <c r="AY422" s="260">
        <v>80</v>
      </c>
      <c r="AZ422" s="271">
        <v>640</v>
      </c>
      <c r="BA422" s="276">
        <v>160</v>
      </c>
      <c r="BB422" s="276">
        <v>640</v>
      </c>
      <c r="BC422" s="276"/>
      <c r="BD422" s="276"/>
      <c r="BE422" s="276">
        <v>40</v>
      </c>
      <c r="BF422" s="276">
        <v>320</v>
      </c>
      <c r="BG422" s="260">
        <v>160</v>
      </c>
      <c r="BH422" s="271">
        <v>320</v>
      </c>
      <c r="BI422" s="276"/>
      <c r="BJ422" s="276"/>
      <c r="BK422" s="276"/>
      <c r="BL422" s="275"/>
      <c r="BM422" s="274" t="s">
        <v>186</v>
      </c>
      <c r="BN422" s="272">
        <v>80</v>
      </c>
      <c r="BO422" s="270">
        <v>80</v>
      </c>
      <c r="BP422" s="272"/>
      <c r="BQ422" s="260"/>
      <c r="BR422" s="260"/>
      <c r="BS422" s="260"/>
      <c r="BT422" s="260"/>
      <c r="BU422" s="260"/>
      <c r="BV422" s="260">
        <v>80</v>
      </c>
      <c r="BW422" s="260">
        <v>80</v>
      </c>
      <c r="BX422" s="260"/>
      <c r="BY422" s="260"/>
      <c r="BZ422" s="260"/>
      <c r="CA422" s="260"/>
      <c r="CB422" s="260"/>
      <c r="CC422" s="260"/>
      <c r="CD422" s="260">
        <v>80</v>
      </c>
      <c r="CE422" s="260">
        <v>40</v>
      </c>
      <c r="CF422" s="272"/>
      <c r="CG422" s="260"/>
      <c r="CH422" s="260"/>
      <c r="CI422" s="260"/>
      <c r="CJ422" s="260"/>
      <c r="CK422" s="260"/>
      <c r="CL422" s="260"/>
      <c r="CM422" s="260"/>
      <c r="CN422" s="260">
        <v>80</v>
      </c>
      <c r="CO422" s="260">
        <v>80</v>
      </c>
      <c r="CP422" s="260">
        <v>160</v>
      </c>
      <c r="CQ422" s="260">
        <v>80</v>
      </c>
      <c r="CR422" s="260">
        <v>80</v>
      </c>
      <c r="CS422" s="270">
        <v>80</v>
      </c>
      <c r="CT422" s="269" t="s">
        <v>186</v>
      </c>
      <c r="CU422" s="249">
        <f>Table2821115[[#This Row],[D28 - BR/18]]/Table2821115[[#This Row],[D0 - BR/18]]</f>
        <v>1</v>
      </c>
      <c r="CV422" s="248">
        <f>Table2821115[[#This Row],[D28 - KS/17]]/Table2821115[[#This Row],[D0 - KS/17]]</f>
        <v>8</v>
      </c>
      <c r="CW422" s="248">
        <f>Table2821115[[#This Row],[D28 - Phu/13]]/Table2821115[[#This Row],[D0 - Phu/13]]</f>
        <v>0.5</v>
      </c>
      <c r="CX422" s="248">
        <f>Table2821115[[#This Row],[D28 - CO/17]]/Table2821115[[#This Row],[D0 - CO/17]]</f>
        <v>0.5</v>
      </c>
      <c r="CY422" s="248">
        <f>LOG(Table2821115[[#This Row],[BR/18 Fold]],2)</f>
        <v>0</v>
      </c>
      <c r="CZ422" s="248">
        <f>LOG(Table2821115[[#This Row],[KS/17 Fold]],2)</f>
        <v>3</v>
      </c>
      <c r="DA422" s="248">
        <f>LOG(Table2821115[[#This Row],[Phu/13 Fold]],2)</f>
        <v>-1</v>
      </c>
      <c r="DB422" s="248">
        <f>LOG(Table2821115[[#This Row],[CO/17 Fold]],2)</f>
        <v>-1</v>
      </c>
      <c r="DC422" s="248">
        <f>SUM(Table2821115[[#This Row],[BR/18 Log2]:[CO/17 Log2]])</f>
        <v>1</v>
      </c>
    </row>
    <row r="423" spans="1:107" ht="24" customHeight="1">
      <c r="A423" s="282" t="s">
        <v>187</v>
      </c>
      <c r="B423" s="151">
        <v>37245</v>
      </c>
      <c r="C423" s="151">
        <v>43773</v>
      </c>
      <c r="D423" s="150">
        <v>17</v>
      </c>
      <c r="E423" s="3" t="s">
        <v>61</v>
      </c>
      <c r="F423" s="143" t="s">
        <v>116</v>
      </c>
      <c r="G423" s="142">
        <v>17.361527422489591</v>
      </c>
      <c r="H423" s="11" t="s">
        <v>59</v>
      </c>
      <c r="I423" s="281" t="s">
        <v>60</v>
      </c>
      <c r="J423" s="260">
        <v>5</v>
      </c>
      <c r="K423" s="260">
        <v>5</v>
      </c>
      <c r="L423" s="260"/>
      <c r="M423" s="260"/>
      <c r="N423" s="260"/>
      <c r="O423" s="260"/>
      <c r="P423" s="260"/>
      <c r="Q423" s="260"/>
      <c r="R423" s="260"/>
      <c r="S423" s="260"/>
      <c r="T423" s="260"/>
      <c r="U423" s="260"/>
      <c r="V423" s="260">
        <v>10</v>
      </c>
      <c r="W423" s="260">
        <v>10</v>
      </c>
      <c r="X423" s="260">
        <v>40</v>
      </c>
      <c r="Y423" s="260">
        <v>80</v>
      </c>
      <c r="Z423" s="260">
        <v>80</v>
      </c>
      <c r="AA423" s="260">
        <v>160</v>
      </c>
      <c r="AB423" s="260">
        <v>80</v>
      </c>
      <c r="AC423" s="260">
        <v>80</v>
      </c>
      <c r="AD423" s="260"/>
      <c r="AE423" s="260"/>
      <c r="AF423" s="260"/>
      <c r="AG423" s="260"/>
      <c r="AH423" s="174" t="s">
        <v>187</v>
      </c>
      <c r="AI423" s="272">
        <v>10</v>
      </c>
      <c r="AJ423" s="271">
        <v>10</v>
      </c>
      <c r="AK423" s="260"/>
      <c r="AL423" s="260"/>
      <c r="AM423" s="260"/>
      <c r="AN423" s="260"/>
      <c r="AO423" s="260"/>
      <c r="AP423" s="260"/>
      <c r="AQ423" s="260"/>
      <c r="AR423" s="260"/>
      <c r="AS423" s="260"/>
      <c r="AT423" s="260"/>
      <c r="AU423" s="260">
        <v>160</v>
      </c>
      <c r="AV423" s="271">
        <v>320</v>
      </c>
      <c r="AW423" s="260">
        <v>40</v>
      </c>
      <c r="AX423" s="271">
        <v>80</v>
      </c>
      <c r="AY423" s="260">
        <v>80</v>
      </c>
      <c r="AZ423" s="271">
        <v>80</v>
      </c>
      <c r="BA423" s="276">
        <v>160</v>
      </c>
      <c r="BB423" s="276">
        <v>80</v>
      </c>
      <c r="BC423" s="276"/>
      <c r="BD423" s="276"/>
      <c r="BE423" s="276">
        <v>5</v>
      </c>
      <c r="BF423" s="276">
        <v>20</v>
      </c>
      <c r="BG423" s="260">
        <v>160</v>
      </c>
      <c r="BH423" s="271">
        <v>160</v>
      </c>
      <c r="BI423" s="276"/>
      <c r="BJ423" s="276"/>
      <c r="BK423" s="276"/>
      <c r="BL423" s="275"/>
      <c r="BM423" s="280" t="s">
        <v>187</v>
      </c>
      <c r="BN423" s="272">
        <v>80</v>
      </c>
      <c r="BO423" s="270">
        <v>80</v>
      </c>
      <c r="BP423" s="272"/>
      <c r="BQ423" s="260"/>
      <c r="BR423" s="260"/>
      <c r="BS423" s="260"/>
      <c r="BT423" s="260"/>
      <c r="BU423" s="260"/>
      <c r="BV423" s="260">
        <v>160</v>
      </c>
      <c r="BW423" s="260">
        <v>160</v>
      </c>
      <c r="BX423" s="260"/>
      <c r="BY423" s="260"/>
      <c r="BZ423" s="260"/>
      <c r="CA423" s="260"/>
      <c r="CB423" s="260"/>
      <c r="CC423" s="260"/>
      <c r="CD423" s="260">
        <v>160</v>
      </c>
      <c r="CE423" s="260">
        <v>160</v>
      </c>
      <c r="CF423" s="272"/>
      <c r="CG423" s="260"/>
      <c r="CH423" s="260"/>
      <c r="CI423" s="260"/>
      <c r="CJ423" s="260"/>
      <c r="CK423" s="260"/>
      <c r="CL423" s="260"/>
      <c r="CM423" s="260"/>
      <c r="CN423" s="260">
        <v>40</v>
      </c>
      <c r="CO423" s="260">
        <v>40</v>
      </c>
      <c r="CP423" s="260">
        <v>40</v>
      </c>
      <c r="CQ423" s="260">
        <v>20</v>
      </c>
      <c r="CR423" s="260">
        <v>20</v>
      </c>
      <c r="CS423" s="270">
        <v>40</v>
      </c>
      <c r="CT423" s="279" t="s">
        <v>187</v>
      </c>
      <c r="CU423" s="249">
        <f>Table2821115[[#This Row],[D28 - BR/18]]/Table2821115[[#This Row],[D0 - BR/18]]</f>
        <v>1</v>
      </c>
      <c r="CV423" s="248">
        <f>Table2821115[[#This Row],[D28 - KS/17]]/Table2821115[[#This Row],[D0 - KS/17]]</f>
        <v>4</v>
      </c>
      <c r="CW423" s="248">
        <f>Table2821115[[#This Row],[D28 - Phu/13]]/Table2821115[[#This Row],[D0 - Phu/13]]</f>
        <v>1</v>
      </c>
      <c r="CX423" s="248">
        <f>Table2821115[[#This Row],[D28 - CO/17]]/Table2821115[[#This Row],[D0 - CO/17]]</f>
        <v>0.5</v>
      </c>
      <c r="CY423" s="248">
        <f>LOG(Table2821115[[#This Row],[BR/18 Fold]],2)</f>
        <v>0</v>
      </c>
      <c r="CZ423" s="248">
        <f>LOG(Table2821115[[#This Row],[KS/17 Fold]],2)</f>
        <v>2</v>
      </c>
      <c r="DA423" s="248">
        <f>LOG(Table2821115[[#This Row],[Phu/13 Fold]],2)</f>
        <v>0</v>
      </c>
      <c r="DB423" s="248">
        <f>LOG(Table2821115[[#This Row],[CO/17 Fold]],2)</f>
        <v>-1</v>
      </c>
      <c r="DC423" s="248">
        <f>SUM(Table2821115[[#This Row],[BR/18 Log2]:[CO/17 Log2]])</f>
        <v>1</v>
      </c>
    </row>
    <row r="424" spans="1:107" ht="24" customHeight="1">
      <c r="A424" s="278" t="s">
        <v>188</v>
      </c>
      <c r="B424" s="145">
        <v>38863</v>
      </c>
      <c r="C424" s="145">
        <v>43774</v>
      </c>
      <c r="D424" s="144">
        <v>13</v>
      </c>
      <c r="E424" s="4" t="s">
        <v>58</v>
      </c>
      <c r="F424" s="143" t="s">
        <v>116</v>
      </c>
      <c r="G424" s="142">
        <v>19.806392513183631</v>
      </c>
      <c r="H424" s="11" t="s">
        <v>59</v>
      </c>
      <c r="I424" s="281" t="s">
        <v>60</v>
      </c>
      <c r="J424" s="260">
        <v>5</v>
      </c>
      <c r="K424" s="260">
        <v>5</v>
      </c>
      <c r="L424" s="260"/>
      <c r="M424" s="260"/>
      <c r="N424" s="260"/>
      <c r="O424" s="260"/>
      <c r="P424" s="260"/>
      <c r="Q424" s="260"/>
      <c r="R424" s="260"/>
      <c r="S424" s="260"/>
      <c r="T424" s="260"/>
      <c r="U424" s="260"/>
      <c r="V424" s="260">
        <v>5</v>
      </c>
      <c r="W424" s="260">
        <v>5</v>
      </c>
      <c r="X424" s="260">
        <v>20</v>
      </c>
      <c r="Y424" s="260">
        <v>40</v>
      </c>
      <c r="Z424" s="260">
        <v>40</v>
      </c>
      <c r="AA424" s="260">
        <v>80</v>
      </c>
      <c r="AB424" s="260">
        <v>20</v>
      </c>
      <c r="AC424" s="260">
        <v>40</v>
      </c>
      <c r="AD424" s="260"/>
      <c r="AE424" s="260"/>
      <c r="AF424" s="260"/>
      <c r="AG424" s="260"/>
      <c r="AH424" s="176" t="s">
        <v>188</v>
      </c>
      <c r="AI424" s="272">
        <v>5</v>
      </c>
      <c r="AJ424" s="271">
        <v>5</v>
      </c>
      <c r="AK424" s="260"/>
      <c r="AL424" s="260"/>
      <c r="AM424" s="260"/>
      <c r="AN424" s="260"/>
      <c r="AO424" s="260"/>
      <c r="AP424" s="260"/>
      <c r="AQ424" s="260"/>
      <c r="AR424" s="260"/>
      <c r="AS424" s="260"/>
      <c r="AT424" s="260"/>
      <c r="AU424" s="260">
        <v>160</v>
      </c>
      <c r="AV424" s="271">
        <v>320</v>
      </c>
      <c r="AW424" s="260">
        <v>160</v>
      </c>
      <c r="AX424" s="271">
        <v>320</v>
      </c>
      <c r="AY424" s="260">
        <v>160</v>
      </c>
      <c r="AZ424" s="271">
        <v>320</v>
      </c>
      <c r="BA424" s="276">
        <v>160</v>
      </c>
      <c r="BB424" s="276">
        <v>160</v>
      </c>
      <c r="BC424" s="276"/>
      <c r="BD424" s="276"/>
      <c r="BE424" s="276">
        <v>40</v>
      </c>
      <c r="BF424" s="276">
        <v>320</v>
      </c>
      <c r="BG424" s="260">
        <v>160</v>
      </c>
      <c r="BH424" s="271">
        <v>160</v>
      </c>
      <c r="BI424" s="276"/>
      <c r="BJ424" s="276"/>
      <c r="BK424" s="276"/>
      <c r="BL424" s="275"/>
      <c r="BM424" s="274" t="s">
        <v>188</v>
      </c>
      <c r="BN424" s="272">
        <v>40</v>
      </c>
      <c r="BO424" s="270">
        <v>80</v>
      </c>
      <c r="BP424" s="272"/>
      <c r="BQ424" s="260"/>
      <c r="BR424" s="260"/>
      <c r="BS424" s="260"/>
      <c r="BT424" s="260"/>
      <c r="BU424" s="260"/>
      <c r="BV424" s="260">
        <v>5</v>
      </c>
      <c r="BW424" s="260">
        <v>5</v>
      </c>
      <c r="BX424" s="260"/>
      <c r="BY424" s="260"/>
      <c r="BZ424" s="260"/>
      <c r="CA424" s="260"/>
      <c r="CB424" s="260"/>
      <c r="CC424" s="260"/>
      <c r="CD424" s="260">
        <v>40</v>
      </c>
      <c r="CE424" s="260">
        <v>80</v>
      </c>
      <c r="CF424" s="272"/>
      <c r="CG424" s="260"/>
      <c r="CH424" s="260"/>
      <c r="CI424" s="260"/>
      <c r="CJ424" s="260"/>
      <c r="CK424" s="260"/>
      <c r="CL424" s="260"/>
      <c r="CM424" s="260"/>
      <c r="CN424" s="260">
        <v>20</v>
      </c>
      <c r="CO424" s="260">
        <v>80</v>
      </c>
      <c r="CP424" s="260">
        <v>40</v>
      </c>
      <c r="CQ424" s="260">
        <v>40</v>
      </c>
      <c r="CR424" s="260">
        <v>10</v>
      </c>
      <c r="CS424" s="270">
        <v>40</v>
      </c>
      <c r="CT424" s="269" t="s">
        <v>188</v>
      </c>
      <c r="CU424" s="249">
        <f>Table2821115[[#This Row],[D28 - BR/18]]/Table2821115[[#This Row],[D0 - BR/18]]</f>
        <v>2</v>
      </c>
      <c r="CV424" s="248">
        <f>Table2821115[[#This Row],[D28 - KS/17]]/Table2821115[[#This Row],[D0 - KS/17]]</f>
        <v>8</v>
      </c>
      <c r="CW424" s="248">
        <f>Table2821115[[#This Row],[D28 - Phu/13]]/Table2821115[[#This Row],[D0 - Phu/13]]</f>
        <v>2</v>
      </c>
      <c r="CX424" s="248">
        <f>Table2821115[[#This Row],[D28 - CO/17]]/Table2821115[[#This Row],[D0 - CO/17]]</f>
        <v>1</v>
      </c>
      <c r="CY424" s="248">
        <f>LOG(Table2821115[[#This Row],[BR/18 Fold]],2)</f>
        <v>1</v>
      </c>
      <c r="CZ424" s="248">
        <f>LOG(Table2821115[[#This Row],[KS/17 Fold]],2)</f>
        <v>3</v>
      </c>
      <c r="DA424" s="248">
        <f>LOG(Table2821115[[#This Row],[Phu/13 Fold]],2)</f>
        <v>1</v>
      </c>
      <c r="DB424" s="248">
        <f>LOG(Table2821115[[#This Row],[CO/17 Fold]],2)</f>
        <v>0</v>
      </c>
      <c r="DC424" s="248">
        <f>SUM(Table2821115[[#This Row],[BR/18 Log2]:[CO/17 Log2]])</f>
        <v>5</v>
      </c>
    </row>
    <row r="425" spans="1:107" ht="24" customHeight="1">
      <c r="A425" s="282" t="s">
        <v>189</v>
      </c>
      <c r="B425" s="151">
        <v>37247</v>
      </c>
      <c r="C425" s="151">
        <v>43755</v>
      </c>
      <c r="D425" s="150">
        <v>17</v>
      </c>
      <c r="E425" s="3" t="s">
        <v>61</v>
      </c>
      <c r="F425" s="143" t="s">
        <v>116</v>
      </c>
      <c r="G425" s="142">
        <v>23.938936766762421</v>
      </c>
      <c r="H425" s="11" t="s">
        <v>59</v>
      </c>
      <c r="I425" s="281" t="s">
        <v>60</v>
      </c>
      <c r="J425" s="260">
        <v>5</v>
      </c>
      <c r="K425" s="260">
        <v>5</v>
      </c>
      <c r="L425" s="260"/>
      <c r="M425" s="260"/>
      <c r="N425" s="260"/>
      <c r="O425" s="260"/>
      <c r="P425" s="260"/>
      <c r="Q425" s="260"/>
      <c r="R425" s="260"/>
      <c r="S425" s="260"/>
      <c r="T425" s="260"/>
      <c r="U425" s="260"/>
      <c r="V425" s="260">
        <v>5</v>
      </c>
      <c r="W425" s="260">
        <v>5</v>
      </c>
      <c r="X425" s="260">
        <v>80</v>
      </c>
      <c r="Y425" s="260">
        <v>80</v>
      </c>
      <c r="Z425" s="260">
        <v>80</v>
      </c>
      <c r="AA425" s="260">
        <v>160</v>
      </c>
      <c r="AB425" s="260">
        <v>80</v>
      </c>
      <c r="AC425" s="260">
        <v>80</v>
      </c>
      <c r="AD425" s="260"/>
      <c r="AE425" s="260"/>
      <c r="AF425" s="260"/>
      <c r="AG425" s="260"/>
      <c r="AH425" s="174" t="s">
        <v>189</v>
      </c>
      <c r="AI425" s="272">
        <v>80</v>
      </c>
      <c r="AJ425" s="271">
        <v>80</v>
      </c>
      <c r="AK425" s="260"/>
      <c r="AL425" s="260"/>
      <c r="AM425" s="260"/>
      <c r="AN425" s="260"/>
      <c r="AO425" s="260"/>
      <c r="AP425" s="260"/>
      <c r="AQ425" s="260"/>
      <c r="AR425" s="260"/>
      <c r="AS425" s="260"/>
      <c r="AT425" s="260"/>
      <c r="AU425" s="260">
        <v>320</v>
      </c>
      <c r="AV425" s="271">
        <v>320</v>
      </c>
      <c r="AW425" s="260">
        <v>320</v>
      </c>
      <c r="AX425" s="271">
        <v>320</v>
      </c>
      <c r="AY425" s="260">
        <v>160</v>
      </c>
      <c r="AZ425" s="271">
        <v>320</v>
      </c>
      <c r="BA425" s="276">
        <v>160</v>
      </c>
      <c r="BB425" s="276">
        <v>160</v>
      </c>
      <c r="BC425" s="276"/>
      <c r="BD425" s="276"/>
      <c r="BE425" s="276">
        <v>160</v>
      </c>
      <c r="BF425" s="276">
        <v>160</v>
      </c>
      <c r="BG425" s="260">
        <v>160</v>
      </c>
      <c r="BH425" s="271">
        <v>160</v>
      </c>
      <c r="BI425" s="276"/>
      <c r="BJ425" s="276"/>
      <c r="BK425" s="276"/>
      <c r="BL425" s="275"/>
      <c r="BM425" s="280" t="s">
        <v>189</v>
      </c>
      <c r="BN425" s="272">
        <v>40</v>
      </c>
      <c r="BO425" s="270">
        <v>80</v>
      </c>
      <c r="BP425" s="272"/>
      <c r="BQ425" s="260"/>
      <c r="BR425" s="260"/>
      <c r="BS425" s="260"/>
      <c r="BT425" s="260"/>
      <c r="BU425" s="260"/>
      <c r="BV425" s="260">
        <v>5</v>
      </c>
      <c r="BW425" s="260">
        <v>80</v>
      </c>
      <c r="BX425" s="260"/>
      <c r="BY425" s="260"/>
      <c r="BZ425" s="260"/>
      <c r="CA425" s="260"/>
      <c r="CB425" s="260"/>
      <c r="CC425" s="260"/>
      <c r="CD425" s="260">
        <v>20</v>
      </c>
      <c r="CE425" s="260">
        <v>40</v>
      </c>
      <c r="CF425" s="272"/>
      <c r="CG425" s="260"/>
      <c r="CH425" s="260"/>
      <c r="CI425" s="260"/>
      <c r="CJ425" s="260"/>
      <c r="CK425" s="260"/>
      <c r="CL425" s="260"/>
      <c r="CM425" s="260"/>
      <c r="CN425" s="260">
        <v>20</v>
      </c>
      <c r="CO425" s="260">
        <v>40</v>
      </c>
      <c r="CP425" s="260">
        <v>20</v>
      </c>
      <c r="CQ425" s="260">
        <v>80</v>
      </c>
      <c r="CR425" s="260">
        <v>40</v>
      </c>
      <c r="CS425" s="270">
        <v>40</v>
      </c>
      <c r="CT425" s="279" t="s">
        <v>189</v>
      </c>
      <c r="CU425" s="249">
        <f>Table2821115[[#This Row],[D28 - BR/18]]/Table2821115[[#This Row],[D0 - BR/18]]</f>
        <v>1</v>
      </c>
      <c r="CV425" s="248">
        <f>Table2821115[[#This Row],[D28 - KS/17]]/Table2821115[[#This Row],[D0 - KS/17]]</f>
        <v>1</v>
      </c>
      <c r="CW425" s="248">
        <f>Table2821115[[#This Row],[D28 - Phu/13]]/Table2821115[[#This Row],[D0 - Phu/13]]</f>
        <v>2</v>
      </c>
      <c r="CX425" s="248">
        <f>Table2821115[[#This Row],[D28 - CO/17]]/Table2821115[[#This Row],[D0 - CO/17]]</f>
        <v>4</v>
      </c>
      <c r="CY425" s="248">
        <f>LOG(Table2821115[[#This Row],[BR/18 Fold]],2)</f>
        <v>0</v>
      </c>
      <c r="CZ425" s="248">
        <f>LOG(Table2821115[[#This Row],[KS/17 Fold]],2)</f>
        <v>0</v>
      </c>
      <c r="DA425" s="248">
        <f>LOG(Table2821115[[#This Row],[Phu/13 Fold]],2)</f>
        <v>1</v>
      </c>
      <c r="DB425" s="248">
        <f>LOG(Table2821115[[#This Row],[CO/17 Fold]],2)</f>
        <v>2</v>
      </c>
      <c r="DC425" s="248">
        <f>SUM(Table2821115[[#This Row],[BR/18 Log2]:[CO/17 Log2]])</f>
        <v>3</v>
      </c>
    </row>
    <row r="426" spans="1:107" ht="24" customHeight="1">
      <c r="A426" s="282" t="s">
        <v>190</v>
      </c>
      <c r="B426" s="151">
        <v>37795</v>
      </c>
      <c r="C426" s="151">
        <v>43755</v>
      </c>
      <c r="D426" s="150">
        <v>16</v>
      </c>
      <c r="E426" s="3" t="s">
        <v>61</v>
      </c>
      <c r="F426" s="143" t="s">
        <v>116</v>
      </c>
      <c r="G426" s="142">
        <v>20.285990902065638</v>
      </c>
      <c r="H426" s="11" t="s">
        <v>59</v>
      </c>
      <c r="I426" s="281" t="s">
        <v>60</v>
      </c>
      <c r="J426" s="260">
        <v>5</v>
      </c>
      <c r="K426" s="260">
        <v>5</v>
      </c>
      <c r="L426" s="260"/>
      <c r="M426" s="260"/>
      <c r="N426" s="260"/>
      <c r="O426" s="260"/>
      <c r="P426" s="260"/>
      <c r="Q426" s="260"/>
      <c r="R426" s="260"/>
      <c r="S426" s="260"/>
      <c r="T426" s="260"/>
      <c r="U426" s="260"/>
      <c r="V426" s="260">
        <v>5</v>
      </c>
      <c r="W426" s="260">
        <v>5</v>
      </c>
      <c r="X426" s="260">
        <v>80</v>
      </c>
      <c r="Y426" s="260">
        <v>80</v>
      </c>
      <c r="Z426" s="260">
        <v>160</v>
      </c>
      <c r="AA426" s="260">
        <v>160</v>
      </c>
      <c r="AB426" s="260">
        <v>80</v>
      </c>
      <c r="AC426" s="260">
        <v>160</v>
      </c>
      <c r="AD426" s="260"/>
      <c r="AE426" s="260"/>
      <c r="AF426" s="260"/>
      <c r="AG426" s="260"/>
      <c r="AH426" s="174" t="s">
        <v>190</v>
      </c>
      <c r="AI426" s="272">
        <v>5</v>
      </c>
      <c r="AJ426" s="271">
        <v>20</v>
      </c>
      <c r="AK426" s="260"/>
      <c r="AL426" s="260"/>
      <c r="AM426" s="260"/>
      <c r="AN426" s="260"/>
      <c r="AO426" s="260"/>
      <c r="AP426" s="260"/>
      <c r="AQ426" s="260"/>
      <c r="AR426" s="260"/>
      <c r="AS426" s="260"/>
      <c r="AT426" s="260"/>
      <c r="AU426" s="260">
        <v>80</v>
      </c>
      <c r="AV426" s="271">
        <v>160</v>
      </c>
      <c r="AW426" s="260">
        <v>40</v>
      </c>
      <c r="AX426" s="271">
        <v>80</v>
      </c>
      <c r="AY426" s="260">
        <v>40</v>
      </c>
      <c r="AZ426" s="271">
        <v>80</v>
      </c>
      <c r="BA426" s="276">
        <v>80</v>
      </c>
      <c r="BB426" s="276">
        <v>80</v>
      </c>
      <c r="BC426" s="276"/>
      <c r="BD426" s="276"/>
      <c r="BE426" s="276">
        <v>40</v>
      </c>
      <c r="BF426" s="276">
        <v>40</v>
      </c>
      <c r="BG426" s="260">
        <v>80</v>
      </c>
      <c r="BH426" s="271">
        <v>80</v>
      </c>
      <c r="BI426" s="276"/>
      <c r="BJ426" s="276"/>
      <c r="BK426" s="276"/>
      <c r="BL426" s="275"/>
      <c r="BM426" s="280" t="s">
        <v>190</v>
      </c>
      <c r="BN426" s="272">
        <v>40</v>
      </c>
      <c r="BO426" s="270">
        <v>40</v>
      </c>
      <c r="BP426" s="272"/>
      <c r="BQ426" s="260"/>
      <c r="BR426" s="260"/>
      <c r="BS426" s="260"/>
      <c r="BT426" s="260"/>
      <c r="BU426" s="260"/>
      <c r="BV426" s="260">
        <v>5</v>
      </c>
      <c r="BW426" s="260">
        <v>160</v>
      </c>
      <c r="BX426" s="260"/>
      <c r="BY426" s="260"/>
      <c r="BZ426" s="260"/>
      <c r="CA426" s="260"/>
      <c r="CB426" s="260"/>
      <c r="CC426" s="260"/>
      <c r="CD426" s="260">
        <v>80</v>
      </c>
      <c r="CE426" s="260">
        <v>160</v>
      </c>
      <c r="CF426" s="272"/>
      <c r="CG426" s="260"/>
      <c r="CH426" s="260"/>
      <c r="CI426" s="260"/>
      <c r="CJ426" s="260"/>
      <c r="CK426" s="260"/>
      <c r="CL426" s="260"/>
      <c r="CM426" s="260"/>
      <c r="CN426" s="260">
        <v>10</v>
      </c>
      <c r="CO426" s="260">
        <v>40</v>
      </c>
      <c r="CP426" s="260">
        <v>5</v>
      </c>
      <c r="CQ426" s="260">
        <v>20</v>
      </c>
      <c r="CR426" s="260">
        <v>20</v>
      </c>
      <c r="CS426" s="270">
        <v>40</v>
      </c>
      <c r="CT426" s="279" t="s">
        <v>190</v>
      </c>
      <c r="CU426" s="249">
        <f>Table2821115[[#This Row],[D28 - BR/18]]/Table2821115[[#This Row],[D0 - BR/18]]</f>
        <v>2</v>
      </c>
      <c r="CV426" s="248">
        <f>Table2821115[[#This Row],[D28 - KS/17]]/Table2821115[[#This Row],[D0 - KS/17]]</f>
        <v>1</v>
      </c>
      <c r="CW426" s="248">
        <f>Table2821115[[#This Row],[D28 - Phu/13]]/Table2821115[[#This Row],[D0 - Phu/13]]</f>
        <v>2</v>
      </c>
      <c r="CX426" s="248">
        <f>Table2821115[[#This Row],[D28 - CO/17]]/Table2821115[[#This Row],[D0 - CO/17]]</f>
        <v>4</v>
      </c>
      <c r="CY426" s="248">
        <f>LOG(Table2821115[[#This Row],[BR/18 Fold]],2)</f>
        <v>1</v>
      </c>
      <c r="CZ426" s="248">
        <f>LOG(Table2821115[[#This Row],[KS/17 Fold]],2)</f>
        <v>0</v>
      </c>
      <c r="DA426" s="248">
        <f>LOG(Table2821115[[#This Row],[Phu/13 Fold]],2)</f>
        <v>1</v>
      </c>
      <c r="DB426" s="248">
        <f>LOG(Table2821115[[#This Row],[CO/17 Fold]],2)</f>
        <v>2</v>
      </c>
      <c r="DC426" s="248">
        <f>SUM(Table2821115[[#This Row],[BR/18 Log2]:[CO/17 Log2]])</f>
        <v>4</v>
      </c>
    </row>
    <row r="427" spans="1:107" ht="24" customHeight="1">
      <c r="A427" s="282" t="s">
        <v>191</v>
      </c>
      <c r="B427" s="151">
        <v>37453</v>
      </c>
      <c r="C427" s="151">
        <v>43783</v>
      </c>
      <c r="D427" s="150">
        <v>17</v>
      </c>
      <c r="E427" s="4" t="s">
        <v>58</v>
      </c>
      <c r="F427" s="143" t="s">
        <v>116</v>
      </c>
      <c r="G427" s="142">
        <v>24.612043613989051</v>
      </c>
      <c r="H427" s="11" t="s">
        <v>59</v>
      </c>
      <c r="I427" s="281" t="s">
        <v>60</v>
      </c>
      <c r="J427" s="260">
        <v>5</v>
      </c>
      <c r="K427" s="260">
        <v>5</v>
      </c>
      <c r="L427" s="260"/>
      <c r="M427" s="260"/>
      <c r="N427" s="260"/>
      <c r="O427" s="260"/>
      <c r="P427" s="260"/>
      <c r="Q427" s="260"/>
      <c r="R427" s="260"/>
      <c r="S427" s="260"/>
      <c r="T427" s="260"/>
      <c r="U427" s="260"/>
      <c r="V427" s="260">
        <v>40</v>
      </c>
      <c r="W427" s="260">
        <v>40</v>
      </c>
      <c r="X427" s="260">
        <v>80</v>
      </c>
      <c r="Y427" s="260">
        <v>80</v>
      </c>
      <c r="Z427" s="260">
        <v>80</v>
      </c>
      <c r="AA427" s="260">
        <v>80</v>
      </c>
      <c r="AB427" s="260">
        <v>40</v>
      </c>
      <c r="AC427" s="260">
        <v>80</v>
      </c>
      <c r="AD427" s="260"/>
      <c r="AE427" s="260"/>
      <c r="AF427" s="260"/>
      <c r="AG427" s="260"/>
      <c r="AH427" s="174" t="s">
        <v>191</v>
      </c>
      <c r="AI427" s="272">
        <v>80</v>
      </c>
      <c r="AJ427" s="271">
        <v>80</v>
      </c>
      <c r="AK427" s="260"/>
      <c r="AL427" s="260"/>
      <c r="AM427" s="260"/>
      <c r="AN427" s="260"/>
      <c r="AO427" s="260"/>
      <c r="AP427" s="260"/>
      <c r="AQ427" s="260"/>
      <c r="AR427" s="260"/>
      <c r="AS427" s="260"/>
      <c r="AT427" s="260"/>
      <c r="AU427" s="260">
        <v>160</v>
      </c>
      <c r="AV427" s="271">
        <v>320</v>
      </c>
      <c r="AW427" s="260">
        <v>80</v>
      </c>
      <c r="AX427" s="271">
        <v>320</v>
      </c>
      <c r="AY427" s="260">
        <v>80</v>
      </c>
      <c r="AZ427" s="271">
        <v>160</v>
      </c>
      <c r="BA427" s="276">
        <v>160</v>
      </c>
      <c r="BB427" s="276">
        <v>160</v>
      </c>
      <c r="BC427" s="276"/>
      <c r="BD427" s="276"/>
      <c r="BE427" s="276">
        <v>40</v>
      </c>
      <c r="BF427" s="276">
        <v>160</v>
      </c>
      <c r="BG427" s="260">
        <v>320</v>
      </c>
      <c r="BH427" s="271">
        <v>320</v>
      </c>
      <c r="BI427" s="276"/>
      <c r="BJ427" s="276"/>
      <c r="BK427" s="276"/>
      <c r="BL427" s="275"/>
      <c r="BM427" s="280" t="s">
        <v>191</v>
      </c>
      <c r="BN427" s="272">
        <v>160</v>
      </c>
      <c r="BO427" s="270">
        <v>160</v>
      </c>
      <c r="BP427" s="272"/>
      <c r="BQ427" s="260"/>
      <c r="BR427" s="260"/>
      <c r="BS427" s="260"/>
      <c r="BT427" s="260"/>
      <c r="BU427" s="260"/>
      <c r="BV427" s="260">
        <v>160</v>
      </c>
      <c r="BW427" s="260">
        <v>160</v>
      </c>
      <c r="BX427" s="260"/>
      <c r="BY427" s="260"/>
      <c r="BZ427" s="260"/>
      <c r="CA427" s="260"/>
      <c r="CB427" s="260"/>
      <c r="CC427" s="260"/>
      <c r="CD427" s="260">
        <v>80</v>
      </c>
      <c r="CE427" s="260">
        <v>80</v>
      </c>
      <c r="CF427" s="272"/>
      <c r="CG427" s="260"/>
      <c r="CH427" s="260"/>
      <c r="CI427" s="260"/>
      <c r="CJ427" s="260"/>
      <c r="CK427" s="260"/>
      <c r="CL427" s="260"/>
      <c r="CM427" s="260"/>
      <c r="CN427" s="260">
        <v>160</v>
      </c>
      <c r="CO427" s="260">
        <v>160</v>
      </c>
      <c r="CP427" s="260">
        <v>320</v>
      </c>
      <c r="CQ427" s="260">
        <v>320</v>
      </c>
      <c r="CR427" s="260">
        <v>160</v>
      </c>
      <c r="CS427" s="270">
        <v>160</v>
      </c>
      <c r="CT427" s="279" t="s">
        <v>191</v>
      </c>
      <c r="CU427" s="249">
        <f>Table2821115[[#This Row],[D28 - BR/18]]/Table2821115[[#This Row],[D0 - BR/18]]</f>
        <v>2</v>
      </c>
      <c r="CV427" s="248">
        <f>Table2821115[[#This Row],[D28 - KS/17]]/Table2821115[[#This Row],[D0 - KS/17]]</f>
        <v>4</v>
      </c>
      <c r="CW427" s="248">
        <f>Table2821115[[#This Row],[D28 - Phu/13]]/Table2821115[[#This Row],[D0 - Phu/13]]</f>
        <v>1</v>
      </c>
      <c r="CX427" s="248">
        <f>Table2821115[[#This Row],[D28 - CO/17]]/Table2821115[[#This Row],[D0 - CO/17]]</f>
        <v>1</v>
      </c>
      <c r="CY427" s="248">
        <f>LOG(Table2821115[[#This Row],[BR/18 Fold]],2)</f>
        <v>1</v>
      </c>
      <c r="CZ427" s="248">
        <f>LOG(Table2821115[[#This Row],[KS/17 Fold]],2)</f>
        <v>2</v>
      </c>
      <c r="DA427" s="248">
        <f>LOG(Table2821115[[#This Row],[Phu/13 Fold]],2)</f>
        <v>0</v>
      </c>
      <c r="DB427" s="248">
        <f>LOG(Table2821115[[#This Row],[CO/17 Fold]],2)</f>
        <v>0</v>
      </c>
      <c r="DC427" s="248">
        <f>SUM(Table2821115[[#This Row],[BR/18 Log2]:[CO/17 Log2]])</f>
        <v>3</v>
      </c>
    </row>
    <row r="428" spans="1:107" ht="24" customHeight="1">
      <c r="A428" s="278" t="s">
        <v>192</v>
      </c>
      <c r="B428" s="145">
        <v>38496</v>
      </c>
      <c r="C428" s="145">
        <v>43783</v>
      </c>
      <c r="D428" s="144">
        <v>14</v>
      </c>
      <c r="E428" s="3" t="s">
        <v>61</v>
      </c>
      <c r="F428" s="143" t="s">
        <v>116</v>
      </c>
      <c r="G428" s="142">
        <v>20.140143110322239</v>
      </c>
      <c r="H428" s="11" t="s">
        <v>59</v>
      </c>
      <c r="I428" s="281" t="s">
        <v>60</v>
      </c>
      <c r="J428" s="260">
        <v>5</v>
      </c>
      <c r="K428" s="260">
        <v>5</v>
      </c>
      <c r="L428" s="260"/>
      <c r="M428" s="260"/>
      <c r="N428" s="260"/>
      <c r="O428" s="260"/>
      <c r="P428" s="260"/>
      <c r="Q428" s="260"/>
      <c r="R428" s="260"/>
      <c r="S428" s="260"/>
      <c r="T428" s="260"/>
      <c r="U428" s="260"/>
      <c r="V428" s="260">
        <v>5</v>
      </c>
      <c r="W428" s="260">
        <v>20</v>
      </c>
      <c r="X428" s="260">
        <v>80</v>
      </c>
      <c r="Y428" s="260">
        <v>80</v>
      </c>
      <c r="Z428" s="260">
        <v>80</v>
      </c>
      <c r="AA428" s="260">
        <v>80</v>
      </c>
      <c r="AB428" s="260">
        <v>40</v>
      </c>
      <c r="AC428" s="260">
        <v>80</v>
      </c>
      <c r="AD428" s="260"/>
      <c r="AE428" s="260"/>
      <c r="AF428" s="260"/>
      <c r="AG428" s="260"/>
      <c r="AH428" s="176" t="s">
        <v>192</v>
      </c>
      <c r="AI428" s="272">
        <v>5</v>
      </c>
      <c r="AJ428" s="271">
        <v>10</v>
      </c>
      <c r="AK428" s="260"/>
      <c r="AL428" s="260"/>
      <c r="AM428" s="260"/>
      <c r="AN428" s="260"/>
      <c r="AO428" s="260"/>
      <c r="AP428" s="260"/>
      <c r="AQ428" s="260"/>
      <c r="AR428" s="260"/>
      <c r="AS428" s="260"/>
      <c r="AT428" s="260"/>
      <c r="AU428" s="260">
        <v>80</v>
      </c>
      <c r="AV428" s="271">
        <v>640</v>
      </c>
      <c r="AW428" s="260">
        <v>40</v>
      </c>
      <c r="AX428" s="271">
        <v>320</v>
      </c>
      <c r="AY428" s="260">
        <v>80</v>
      </c>
      <c r="AZ428" s="271">
        <v>80</v>
      </c>
      <c r="BA428" s="276">
        <v>80</v>
      </c>
      <c r="BB428" s="276">
        <v>160</v>
      </c>
      <c r="BC428" s="276"/>
      <c r="BD428" s="276"/>
      <c r="BE428" s="276">
        <v>20</v>
      </c>
      <c r="BF428" s="276">
        <v>80</v>
      </c>
      <c r="BG428" s="260">
        <v>80</v>
      </c>
      <c r="BH428" s="271">
        <v>320</v>
      </c>
      <c r="BI428" s="276"/>
      <c r="BJ428" s="276"/>
      <c r="BK428" s="276"/>
      <c r="BL428" s="275"/>
      <c r="BM428" s="274" t="s">
        <v>192</v>
      </c>
      <c r="BN428" s="272">
        <v>20</v>
      </c>
      <c r="BO428" s="270">
        <v>20</v>
      </c>
      <c r="BP428" s="272"/>
      <c r="BQ428" s="260"/>
      <c r="BR428" s="260"/>
      <c r="BS428" s="260"/>
      <c r="BT428" s="260"/>
      <c r="BU428" s="260"/>
      <c r="BV428" s="260">
        <v>5</v>
      </c>
      <c r="BW428" s="260">
        <v>5</v>
      </c>
      <c r="BX428" s="260"/>
      <c r="BY428" s="260"/>
      <c r="BZ428" s="260"/>
      <c r="CA428" s="260"/>
      <c r="CB428" s="260"/>
      <c r="CC428" s="260"/>
      <c r="CD428" s="260">
        <v>5</v>
      </c>
      <c r="CE428" s="260">
        <v>40</v>
      </c>
      <c r="CF428" s="272"/>
      <c r="CG428" s="260"/>
      <c r="CH428" s="260"/>
      <c r="CI428" s="260"/>
      <c r="CJ428" s="260"/>
      <c r="CK428" s="260"/>
      <c r="CL428" s="260"/>
      <c r="CM428" s="260"/>
      <c r="CN428" s="260">
        <v>20</v>
      </c>
      <c r="CO428" s="260">
        <v>40</v>
      </c>
      <c r="CP428" s="260">
        <v>5</v>
      </c>
      <c r="CQ428" s="260">
        <v>20</v>
      </c>
      <c r="CR428" s="260">
        <v>20</v>
      </c>
      <c r="CS428" s="270">
        <v>20</v>
      </c>
      <c r="CT428" s="269" t="s">
        <v>192</v>
      </c>
      <c r="CU428" s="249">
        <f>Table2821115[[#This Row],[D28 - BR/18]]/Table2821115[[#This Row],[D0 - BR/18]]</f>
        <v>2</v>
      </c>
      <c r="CV428" s="248">
        <f>Table2821115[[#This Row],[D28 - KS/17]]/Table2821115[[#This Row],[D0 - KS/17]]</f>
        <v>4</v>
      </c>
      <c r="CW428" s="248">
        <f>Table2821115[[#This Row],[D28 - Phu/13]]/Table2821115[[#This Row],[D0 - Phu/13]]</f>
        <v>8</v>
      </c>
      <c r="CX428" s="248">
        <f>Table2821115[[#This Row],[D28 - CO/17]]/Table2821115[[#This Row],[D0 - CO/17]]</f>
        <v>4</v>
      </c>
      <c r="CY428" s="248">
        <f>LOG(Table2821115[[#This Row],[BR/18 Fold]],2)</f>
        <v>1</v>
      </c>
      <c r="CZ428" s="248">
        <f>LOG(Table2821115[[#This Row],[KS/17 Fold]],2)</f>
        <v>2</v>
      </c>
      <c r="DA428" s="248">
        <f>LOG(Table2821115[[#This Row],[Phu/13 Fold]],2)</f>
        <v>3</v>
      </c>
      <c r="DB428" s="248">
        <f>LOG(Table2821115[[#This Row],[CO/17 Fold]],2)</f>
        <v>2</v>
      </c>
      <c r="DC428" s="248">
        <f>SUM(Table2821115[[#This Row],[BR/18 Log2]:[CO/17 Log2]])</f>
        <v>8</v>
      </c>
    </row>
    <row r="429" spans="1:107" ht="24" customHeight="1">
      <c r="A429" s="278" t="s">
        <v>193</v>
      </c>
      <c r="B429" s="145">
        <v>38874</v>
      </c>
      <c r="C429" s="145">
        <v>43753</v>
      </c>
      <c r="D429" s="144">
        <v>13</v>
      </c>
      <c r="E429" s="3" t="s">
        <v>61</v>
      </c>
      <c r="F429" s="143" t="s">
        <v>116</v>
      </c>
      <c r="G429" s="142">
        <v>23.417617117541706</v>
      </c>
      <c r="H429" s="11" t="s">
        <v>59</v>
      </c>
      <c r="I429" s="281" t="s">
        <v>60</v>
      </c>
      <c r="J429" s="260">
        <v>5</v>
      </c>
      <c r="K429" s="260">
        <v>5</v>
      </c>
      <c r="L429" s="260"/>
      <c r="M429" s="260"/>
      <c r="N429" s="260"/>
      <c r="O429" s="260"/>
      <c r="P429" s="260"/>
      <c r="Q429" s="260"/>
      <c r="R429" s="260"/>
      <c r="S429" s="260"/>
      <c r="T429" s="260"/>
      <c r="U429" s="260"/>
      <c r="V429" s="260">
        <v>5</v>
      </c>
      <c r="W429" s="260">
        <v>5</v>
      </c>
      <c r="X429" s="260">
        <v>160</v>
      </c>
      <c r="Y429" s="260">
        <v>160</v>
      </c>
      <c r="Z429" s="260">
        <v>1280</v>
      </c>
      <c r="AA429" s="260">
        <v>1280</v>
      </c>
      <c r="AB429" s="260">
        <v>640</v>
      </c>
      <c r="AC429" s="260">
        <v>640</v>
      </c>
      <c r="AD429" s="260"/>
      <c r="AE429" s="260"/>
      <c r="AF429" s="260"/>
      <c r="AG429" s="260"/>
      <c r="AH429" s="176" t="s">
        <v>193</v>
      </c>
      <c r="AI429" s="272">
        <v>5</v>
      </c>
      <c r="AJ429" s="271">
        <v>40</v>
      </c>
      <c r="AK429" s="260"/>
      <c r="AL429" s="260"/>
      <c r="AM429" s="260"/>
      <c r="AN429" s="260"/>
      <c r="AO429" s="260"/>
      <c r="AP429" s="260"/>
      <c r="AQ429" s="260"/>
      <c r="AR429" s="260"/>
      <c r="AS429" s="260"/>
      <c r="AT429" s="260"/>
      <c r="AU429" s="260">
        <v>320</v>
      </c>
      <c r="AV429" s="271">
        <v>640</v>
      </c>
      <c r="AW429" s="260">
        <v>160</v>
      </c>
      <c r="AX429" s="271">
        <v>640</v>
      </c>
      <c r="AY429" s="260">
        <v>80</v>
      </c>
      <c r="AZ429" s="271">
        <v>320</v>
      </c>
      <c r="BA429" s="276">
        <v>320</v>
      </c>
      <c r="BB429" s="276">
        <v>640</v>
      </c>
      <c r="BC429" s="276"/>
      <c r="BD429" s="276"/>
      <c r="BE429" s="276">
        <v>80</v>
      </c>
      <c r="BF429" s="276">
        <v>640</v>
      </c>
      <c r="BG429" s="260">
        <v>640</v>
      </c>
      <c r="BH429" s="271">
        <v>1280</v>
      </c>
      <c r="BI429" s="276"/>
      <c r="BJ429" s="276"/>
      <c r="BK429" s="276"/>
      <c r="BL429" s="275"/>
      <c r="BM429" s="274" t="s">
        <v>193</v>
      </c>
      <c r="BN429" s="272">
        <v>80</v>
      </c>
      <c r="BO429" s="270">
        <v>80</v>
      </c>
      <c r="BP429" s="272"/>
      <c r="BQ429" s="260"/>
      <c r="BR429" s="260"/>
      <c r="BS429" s="260"/>
      <c r="BT429" s="260"/>
      <c r="BU429" s="260"/>
      <c r="BV429" s="260">
        <v>80</v>
      </c>
      <c r="BW429" s="260">
        <v>80</v>
      </c>
      <c r="BX429" s="260"/>
      <c r="BY429" s="260"/>
      <c r="BZ429" s="260"/>
      <c r="CA429" s="260"/>
      <c r="CB429" s="260"/>
      <c r="CC429" s="260"/>
      <c r="CD429" s="260">
        <v>320</v>
      </c>
      <c r="CE429" s="260">
        <v>160</v>
      </c>
      <c r="CF429" s="272"/>
      <c r="CG429" s="260"/>
      <c r="CH429" s="260"/>
      <c r="CI429" s="260"/>
      <c r="CJ429" s="260"/>
      <c r="CK429" s="260"/>
      <c r="CL429" s="260"/>
      <c r="CM429" s="260"/>
      <c r="CN429" s="260">
        <v>5</v>
      </c>
      <c r="CO429" s="260">
        <v>160</v>
      </c>
      <c r="CP429" s="260">
        <v>160</v>
      </c>
      <c r="CQ429" s="260">
        <v>160</v>
      </c>
      <c r="CR429" s="260">
        <v>160</v>
      </c>
      <c r="CS429" s="270">
        <v>160</v>
      </c>
      <c r="CT429" s="269" t="s">
        <v>193</v>
      </c>
      <c r="CU429" s="249">
        <f>Table2821115[[#This Row],[D28 - BR/18]]/Table2821115[[#This Row],[D0 - BR/18]]</f>
        <v>1</v>
      </c>
      <c r="CV429" s="248">
        <f>Table2821115[[#This Row],[D28 - KS/17]]/Table2821115[[#This Row],[D0 - KS/17]]</f>
        <v>8</v>
      </c>
      <c r="CW429" s="248">
        <f>Table2821115[[#This Row],[D28 - Phu/13]]/Table2821115[[#This Row],[D0 - Phu/13]]</f>
        <v>0.5</v>
      </c>
      <c r="CX429" s="248">
        <f>Table2821115[[#This Row],[D28 - CO/17]]/Table2821115[[#This Row],[D0 - CO/17]]</f>
        <v>1</v>
      </c>
      <c r="CY429" s="248">
        <f>LOG(Table2821115[[#This Row],[BR/18 Fold]],2)</f>
        <v>0</v>
      </c>
      <c r="CZ429" s="248">
        <f>LOG(Table2821115[[#This Row],[KS/17 Fold]],2)</f>
        <v>3</v>
      </c>
      <c r="DA429" s="248">
        <f>LOG(Table2821115[[#This Row],[Phu/13 Fold]],2)</f>
        <v>-1</v>
      </c>
      <c r="DB429" s="248">
        <f>LOG(Table2821115[[#This Row],[CO/17 Fold]],2)</f>
        <v>0</v>
      </c>
      <c r="DC429" s="248">
        <f>SUM(Table2821115[[#This Row],[BR/18 Log2]:[CO/17 Log2]])</f>
        <v>2</v>
      </c>
    </row>
    <row r="430" spans="1:107" ht="24" customHeight="1">
      <c r="A430" s="278" t="s">
        <v>194</v>
      </c>
      <c r="B430" s="145">
        <v>38414</v>
      </c>
      <c r="C430" s="145">
        <v>43753</v>
      </c>
      <c r="D430" s="144">
        <v>14</v>
      </c>
      <c r="E430" s="3" t="s">
        <v>61</v>
      </c>
      <c r="F430" s="143" t="s">
        <v>116</v>
      </c>
      <c r="G430" s="142">
        <v>19.577765186587616</v>
      </c>
      <c r="H430" s="11" t="s">
        <v>59</v>
      </c>
      <c r="I430" s="281" t="s">
        <v>60</v>
      </c>
      <c r="J430" s="260">
        <v>5</v>
      </c>
      <c r="K430" s="260">
        <v>5</v>
      </c>
      <c r="L430" s="260"/>
      <c r="M430" s="260"/>
      <c r="N430" s="260"/>
      <c r="O430" s="260"/>
      <c r="P430" s="260"/>
      <c r="Q430" s="260"/>
      <c r="R430" s="260"/>
      <c r="S430" s="260"/>
      <c r="T430" s="260"/>
      <c r="U430" s="260"/>
      <c r="V430" s="260">
        <v>5</v>
      </c>
      <c r="W430" s="260">
        <v>5</v>
      </c>
      <c r="X430" s="260">
        <v>80</v>
      </c>
      <c r="Y430" s="260">
        <v>80</v>
      </c>
      <c r="Z430" s="260">
        <v>160</v>
      </c>
      <c r="AA430" s="260">
        <v>160</v>
      </c>
      <c r="AB430" s="260">
        <v>80</v>
      </c>
      <c r="AC430" s="260">
        <v>80</v>
      </c>
      <c r="AD430" s="260"/>
      <c r="AE430" s="260"/>
      <c r="AF430" s="260"/>
      <c r="AG430" s="260"/>
      <c r="AH430" s="176" t="s">
        <v>194</v>
      </c>
      <c r="AI430" s="272">
        <v>5</v>
      </c>
      <c r="AJ430" s="271">
        <v>5</v>
      </c>
      <c r="AK430" s="260"/>
      <c r="AL430" s="260"/>
      <c r="AM430" s="260"/>
      <c r="AN430" s="260"/>
      <c r="AO430" s="260"/>
      <c r="AP430" s="260"/>
      <c r="AQ430" s="260"/>
      <c r="AR430" s="260"/>
      <c r="AS430" s="260"/>
      <c r="AT430" s="260"/>
      <c r="AU430" s="260">
        <v>320</v>
      </c>
      <c r="AV430" s="271">
        <v>320</v>
      </c>
      <c r="AW430" s="260">
        <v>160</v>
      </c>
      <c r="AX430" s="271">
        <v>160</v>
      </c>
      <c r="AY430" s="260">
        <v>160</v>
      </c>
      <c r="AZ430" s="271">
        <v>160</v>
      </c>
      <c r="BA430" s="276">
        <v>320</v>
      </c>
      <c r="BB430" s="276">
        <v>160</v>
      </c>
      <c r="BC430" s="276"/>
      <c r="BD430" s="276"/>
      <c r="BE430" s="276">
        <v>40</v>
      </c>
      <c r="BF430" s="276">
        <v>40</v>
      </c>
      <c r="BG430" s="260">
        <v>160</v>
      </c>
      <c r="BH430" s="271">
        <v>160</v>
      </c>
      <c r="BI430" s="276"/>
      <c r="BJ430" s="276"/>
      <c r="BK430" s="276"/>
      <c r="BL430" s="275"/>
      <c r="BM430" s="274" t="s">
        <v>194</v>
      </c>
      <c r="BN430" s="272">
        <v>20</v>
      </c>
      <c r="BO430" s="270">
        <v>20</v>
      </c>
      <c r="BP430" s="272"/>
      <c r="BQ430" s="260"/>
      <c r="BR430" s="260"/>
      <c r="BS430" s="260"/>
      <c r="BT430" s="260"/>
      <c r="BU430" s="260"/>
      <c r="BV430" s="260">
        <v>5</v>
      </c>
      <c r="BW430" s="260">
        <v>5</v>
      </c>
      <c r="BX430" s="260"/>
      <c r="BY430" s="260"/>
      <c r="BZ430" s="260"/>
      <c r="CA430" s="260"/>
      <c r="CB430" s="260"/>
      <c r="CC430" s="260"/>
      <c r="CD430" s="260">
        <v>80</v>
      </c>
      <c r="CE430" s="260">
        <v>80</v>
      </c>
      <c r="CF430" s="272"/>
      <c r="CG430" s="260"/>
      <c r="CH430" s="260"/>
      <c r="CI430" s="260"/>
      <c r="CJ430" s="260"/>
      <c r="CK430" s="260"/>
      <c r="CL430" s="260"/>
      <c r="CM430" s="260"/>
      <c r="CN430" s="260">
        <v>80</v>
      </c>
      <c r="CO430" s="260">
        <v>80</v>
      </c>
      <c r="CP430" s="260">
        <v>160</v>
      </c>
      <c r="CQ430" s="260">
        <v>80</v>
      </c>
      <c r="CR430" s="260">
        <v>160</v>
      </c>
      <c r="CS430" s="270">
        <v>80</v>
      </c>
      <c r="CT430" s="269" t="s">
        <v>194</v>
      </c>
      <c r="CU430" s="249">
        <f>Table2821115[[#This Row],[D28 - BR/18]]/Table2821115[[#This Row],[D0 - BR/18]]</f>
        <v>1</v>
      </c>
      <c r="CV430" s="248">
        <f>Table2821115[[#This Row],[D28 - KS/17]]/Table2821115[[#This Row],[D0 - KS/17]]</f>
        <v>1</v>
      </c>
      <c r="CW430" s="248">
        <f>Table2821115[[#This Row],[D28 - Phu/13]]/Table2821115[[#This Row],[D0 - Phu/13]]</f>
        <v>1</v>
      </c>
      <c r="CX430" s="248">
        <f>Table2821115[[#This Row],[D28 - CO/17]]/Table2821115[[#This Row],[D0 - CO/17]]</f>
        <v>0.5</v>
      </c>
      <c r="CY430" s="248">
        <f>LOG(Table2821115[[#This Row],[BR/18 Fold]],2)</f>
        <v>0</v>
      </c>
      <c r="CZ430" s="248">
        <f>LOG(Table2821115[[#This Row],[KS/17 Fold]],2)</f>
        <v>0</v>
      </c>
      <c r="DA430" s="248">
        <f>LOG(Table2821115[[#This Row],[Phu/13 Fold]],2)</f>
        <v>0</v>
      </c>
      <c r="DB430" s="248">
        <f>LOG(Table2821115[[#This Row],[CO/17 Fold]],2)</f>
        <v>-1</v>
      </c>
      <c r="DC430" s="248">
        <f>SUM(Table2821115[[#This Row],[BR/18 Log2]:[CO/17 Log2]])</f>
        <v>-1</v>
      </c>
    </row>
    <row r="431" spans="1:107" ht="24" customHeight="1">
      <c r="A431" s="278" t="s">
        <v>195</v>
      </c>
      <c r="B431" s="145">
        <v>38323</v>
      </c>
      <c r="C431" s="145">
        <v>43788</v>
      </c>
      <c r="D431" s="144">
        <v>14</v>
      </c>
      <c r="E431" s="3" t="s">
        <v>61</v>
      </c>
      <c r="F431" s="143" t="s">
        <v>116</v>
      </c>
      <c r="G431" s="142">
        <v>18.470082226190836</v>
      </c>
      <c r="H431" s="11" t="s">
        <v>59</v>
      </c>
      <c r="I431" s="281" t="s">
        <v>60</v>
      </c>
      <c r="J431" s="260">
        <v>5</v>
      </c>
      <c r="K431" s="260">
        <v>5</v>
      </c>
      <c r="L431" s="260"/>
      <c r="M431" s="260"/>
      <c r="N431" s="260"/>
      <c r="O431" s="260"/>
      <c r="P431" s="260"/>
      <c r="Q431" s="260"/>
      <c r="R431" s="260"/>
      <c r="S431" s="260"/>
      <c r="T431" s="260"/>
      <c r="U431" s="260"/>
      <c r="V431" s="260">
        <v>5</v>
      </c>
      <c r="W431" s="260">
        <v>160</v>
      </c>
      <c r="X431" s="260">
        <v>160</v>
      </c>
      <c r="Y431" s="260">
        <v>160</v>
      </c>
      <c r="Z431" s="260">
        <v>320</v>
      </c>
      <c r="AA431" s="260">
        <v>320</v>
      </c>
      <c r="AB431" s="260">
        <v>160</v>
      </c>
      <c r="AC431" s="260">
        <v>160</v>
      </c>
      <c r="AD431" s="260"/>
      <c r="AE431" s="260"/>
      <c r="AF431" s="260"/>
      <c r="AG431" s="260"/>
      <c r="AH431" s="176" t="s">
        <v>195</v>
      </c>
      <c r="AI431" s="272">
        <v>5</v>
      </c>
      <c r="AJ431" s="271">
        <v>40</v>
      </c>
      <c r="AK431" s="260"/>
      <c r="AL431" s="260"/>
      <c r="AM431" s="260"/>
      <c r="AN431" s="260"/>
      <c r="AO431" s="260"/>
      <c r="AP431" s="260"/>
      <c r="AQ431" s="260"/>
      <c r="AR431" s="260"/>
      <c r="AS431" s="260"/>
      <c r="AT431" s="260"/>
      <c r="AU431" s="260">
        <v>80</v>
      </c>
      <c r="AV431" s="271">
        <v>1280</v>
      </c>
      <c r="AW431" s="260">
        <v>40</v>
      </c>
      <c r="AX431" s="271">
        <v>1280</v>
      </c>
      <c r="AY431" s="260">
        <v>80</v>
      </c>
      <c r="AZ431" s="271">
        <v>320</v>
      </c>
      <c r="BA431" s="276">
        <v>80</v>
      </c>
      <c r="BB431" s="276">
        <v>640</v>
      </c>
      <c r="BC431" s="276"/>
      <c r="BD431" s="276"/>
      <c r="BE431" s="276">
        <v>40</v>
      </c>
      <c r="BF431" s="276">
        <v>1280</v>
      </c>
      <c r="BG431" s="260">
        <v>80</v>
      </c>
      <c r="BH431" s="271">
        <v>640</v>
      </c>
      <c r="BI431" s="276"/>
      <c r="BJ431" s="276"/>
      <c r="BK431" s="276"/>
      <c r="BL431" s="275"/>
      <c r="BM431" s="274" t="s">
        <v>195</v>
      </c>
      <c r="BN431" s="272">
        <v>20</v>
      </c>
      <c r="BO431" s="270">
        <v>40</v>
      </c>
      <c r="BP431" s="272"/>
      <c r="BQ431" s="260"/>
      <c r="BR431" s="260"/>
      <c r="BS431" s="260"/>
      <c r="BT431" s="260"/>
      <c r="BU431" s="260"/>
      <c r="BV431" s="260">
        <v>5</v>
      </c>
      <c r="BW431" s="260">
        <v>5</v>
      </c>
      <c r="BX431" s="260"/>
      <c r="BY431" s="260"/>
      <c r="BZ431" s="260"/>
      <c r="CA431" s="260"/>
      <c r="CB431" s="260"/>
      <c r="CC431" s="260"/>
      <c r="CD431" s="260">
        <v>80</v>
      </c>
      <c r="CE431" s="260">
        <v>80</v>
      </c>
      <c r="CF431" s="272"/>
      <c r="CG431" s="260"/>
      <c r="CH431" s="260"/>
      <c r="CI431" s="260"/>
      <c r="CJ431" s="260"/>
      <c r="CK431" s="260"/>
      <c r="CL431" s="260"/>
      <c r="CM431" s="260"/>
      <c r="CN431" s="260">
        <v>40</v>
      </c>
      <c r="CO431" s="260">
        <v>80</v>
      </c>
      <c r="CP431" s="260">
        <v>40</v>
      </c>
      <c r="CQ431" s="260">
        <v>80</v>
      </c>
      <c r="CR431" s="260">
        <v>40</v>
      </c>
      <c r="CS431" s="270">
        <v>80</v>
      </c>
      <c r="CT431" s="269" t="s">
        <v>195</v>
      </c>
      <c r="CU431" s="249">
        <f>Table2821115[[#This Row],[D28 - BR/18]]/Table2821115[[#This Row],[D0 - BR/18]]</f>
        <v>1</v>
      </c>
      <c r="CV431" s="248">
        <f>Table2821115[[#This Row],[D28 - KS/17]]/Table2821115[[#This Row],[D0 - KS/17]]</f>
        <v>32</v>
      </c>
      <c r="CW431" s="248">
        <f>Table2821115[[#This Row],[D28 - Phu/13]]/Table2821115[[#This Row],[D0 - Phu/13]]</f>
        <v>1</v>
      </c>
      <c r="CX431" s="248">
        <f>Table2821115[[#This Row],[D28 - CO/17]]/Table2821115[[#This Row],[D0 - CO/17]]</f>
        <v>2</v>
      </c>
      <c r="CY431" s="248">
        <f>LOG(Table2821115[[#This Row],[BR/18 Fold]],2)</f>
        <v>0</v>
      </c>
      <c r="CZ431" s="248">
        <f>LOG(Table2821115[[#This Row],[KS/17 Fold]],2)</f>
        <v>5</v>
      </c>
      <c r="DA431" s="248">
        <f>LOG(Table2821115[[#This Row],[Phu/13 Fold]],2)</f>
        <v>0</v>
      </c>
      <c r="DB431" s="248">
        <f>LOG(Table2821115[[#This Row],[CO/17 Fold]],2)</f>
        <v>1</v>
      </c>
      <c r="DC431" s="248">
        <f>SUM(Table2821115[[#This Row],[BR/18 Log2]:[CO/17 Log2]])</f>
        <v>6</v>
      </c>
    </row>
    <row r="432" spans="1:107" ht="24" customHeight="1">
      <c r="A432" s="278" t="s">
        <v>196</v>
      </c>
      <c r="B432" s="145">
        <v>38474</v>
      </c>
      <c r="C432" s="145">
        <v>43813</v>
      </c>
      <c r="D432" s="144">
        <v>14</v>
      </c>
      <c r="E432" s="3" t="s">
        <v>61</v>
      </c>
      <c r="F432" s="143" t="s">
        <v>116</v>
      </c>
      <c r="G432" s="142">
        <v>18.121855366055907</v>
      </c>
      <c r="H432" s="11" t="s">
        <v>59</v>
      </c>
      <c r="I432" s="281" t="s">
        <v>60</v>
      </c>
      <c r="J432" s="260">
        <v>5</v>
      </c>
      <c r="K432" s="260">
        <v>5</v>
      </c>
      <c r="L432" s="260"/>
      <c r="M432" s="260"/>
      <c r="N432" s="260"/>
      <c r="O432" s="260"/>
      <c r="P432" s="260"/>
      <c r="Q432" s="260"/>
      <c r="R432" s="260"/>
      <c r="S432" s="260"/>
      <c r="T432" s="260"/>
      <c r="U432" s="260"/>
      <c r="V432" s="260">
        <v>5</v>
      </c>
      <c r="W432" s="260">
        <v>20</v>
      </c>
      <c r="X432" s="260">
        <v>320</v>
      </c>
      <c r="Y432" s="260">
        <v>320</v>
      </c>
      <c r="Z432" s="260">
        <v>640</v>
      </c>
      <c r="AA432" s="260">
        <v>1280</v>
      </c>
      <c r="AB432" s="260">
        <v>320</v>
      </c>
      <c r="AC432" s="260">
        <v>320</v>
      </c>
      <c r="AD432" s="260"/>
      <c r="AE432" s="260"/>
      <c r="AF432" s="260"/>
      <c r="AG432" s="260"/>
      <c r="AH432" s="176" t="s">
        <v>196</v>
      </c>
      <c r="AI432" s="272">
        <v>5</v>
      </c>
      <c r="AJ432" s="271">
        <v>5</v>
      </c>
      <c r="AK432" s="260"/>
      <c r="AL432" s="260"/>
      <c r="AM432" s="260"/>
      <c r="AN432" s="260"/>
      <c r="AO432" s="260"/>
      <c r="AP432" s="260"/>
      <c r="AQ432" s="260"/>
      <c r="AR432" s="260"/>
      <c r="AS432" s="260"/>
      <c r="AT432" s="260"/>
      <c r="AU432" s="260">
        <v>160</v>
      </c>
      <c r="AV432" s="271">
        <v>320</v>
      </c>
      <c r="AW432" s="260">
        <v>160</v>
      </c>
      <c r="AX432" s="271">
        <v>320</v>
      </c>
      <c r="AY432" s="260">
        <v>320</v>
      </c>
      <c r="AZ432" s="271">
        <v>320</v>
      </c>
      <c r="BA432" s="276">
        <v>320</v>
      </c>
      <c r="BB432" s="276">
        <v>320</v>
      </c>
      <c r="BC432" s="276"/>
      <c r="BD432" s="276"/>
      <c r="BE432" s="276">
        <v>160</v>
      </c>
      <c r="BF432" s="276">
        <v>80</v>
      </c>
      <c r="BG432" s="260">
        <v>320</v>
      </c>
      <c r="BH432" s="271">
        <v>320</v>
      </c>
      <c r="BI432" s="276"/>
      <c r="BJ432" s="276"/>
      <c r="BK432" s="276"/>
      <c r="BL432" s="275"/>
      <c r="BM432" s="274" t="s">
        <v>196</v>
      </c>
      <c r="BN432" s="272">
        <v>80</v>
      </c>
      <c r="BO432" s="270">
        <v>80</v>
      </c>
      <c r="BP432" s="272"/>
      <c r="BQ432" s="260"/>
      <c r="BR432" s="260"/>
      <c r="BS432" s="260"/>
      <c r="BT432" s="260"/>
      <c r="BU432" s="260"/>
      <c r="BV432" s="260">
        <v>160</v>
      </c>
      <c r="BW432" s="260">
        <v>160</v>
      </c>
      <c r="BX432" s="260"/>
      <c r="BY432" s="260"/>
      <c r="BZ432" s="260"/>
      <c r="CA432" s="260"/>
      <c r="CB432" s="260"/>
      <c r="CC432" s="260"/>
      <c r="CD432" s="260">
        <v>160</v>
      </c>
      <c r="CE432" s="260">
        <v>160</v>
      </c>
      <c r="CF432" s="272"/>
      <c r="CG432" s="260"/>
      <c r="CH432" s="260"/>
      <c r="CI432" s="260"/>
      <c r="CJ432" s="260"/>
      <c r="CK432" s="260"/>
      <c r="CL432" s="260"/>
      <c r="CM432" s="260"/>
      <c r="CN432" s="260">
        <v>160</v>
      </c>
      <c r="CO432" s="260">
        <v>160</v>
      </c>
      <c r="CP432" s="260">
        <v>160</v>
      </c>
      <c r="CQ432" s="260">
        <v>160</v>
      </c>
      <c r="CR432" s="260">
        <v>160</v>
      </c>
      <c r="CS432" s="270">
        <v>160</v>
      </c>
      <c r="CT432" s="269" t="s">
        <v>196</v>
      </c>
      <c r="CU432" s="249">
        <f>Table2821115[[#This Row],[D28 - BR/18]]/Table2821115[[#This Row],[D0 - BR/18]]</f>
        <v>1</v>
      </c>
      <c r="CV432" s="248">
        <f>Table2821115[[#This Row],[D28 - KS/17]]/Table2821115[[#This Row],[D0 - KS/17]]</f>
        <v>0.5</v>
      </c>
      <c r="CW432" s="248">
        <f>Table2821115[[#This Row],[D28 - Phu/13]]/Table2821115[[#This Row],[D0 - Phu/13]]</f>
        <v>1</v>
      </c>
      <c r="CX432" s="248">
        <f>Table2821115[[#This Row],[D28 - CO/17]]/Table2821115[[#This Row],[D0 - CO/17]]</f>
        <v>1</v>
      </c>
      <c r="CY432" s="248">
        <f>LOG(Table2821115[[#This Row],[BR/18 Fold]],2)</f>
        <v>0</v>
      </c>
      <c r="CZ432" s="248">
        <f>LOG(Table2821115[[#This Row],[KS/17 Fold]],2)</f>
        <v>-1</v>
      </c>
      <c r="DA432" s="248">
        <f>LOG(Table2821115[[#This Row],[Phu/13 Fold]],2)</f>
        <v>0</v>
      </c>
      <c r="DB432" s="248">
        <f>LOG(Table2821115[[#This Row],[CO/17 Fold]],2)</f>
        <v>0</v>
      </c>
      <c r="DC432" s="248">
        <f>SUM(Table2821115[[#This Row],[BR/18 Log2]:[CO/17 Log2]])</f>
        <v>-1</v>
      </c>
    </row>
    <row r="433" spans="1:107" ht="24" customHeight="1">
      <c r="A433" s="278" t="s">
        <v>197</v>
      </c>
      <c r="B433" s="145">
        <v>38474</v>
      </c>
      <c r="C433" s="145">
        <v>43813</v>
      </c>
      <c r="D433" s="144">
        <v>14</v>
      </c>
      <c r="E433" s="3" t="s">
        <v>61</v>
      </c>
      <c r="F433" s="143" t="s">
        <v>116</v>
      </c>
      <c r="G433" s="142">
        <v>17.52291055170641</v>
      </c>
      <c r="H433" s="11" t="s">
        <v>59</v>
      </c>
      <c r="I433" s="281" t="s">
        <v>60</v>
      </c>
      <c r="J433" s="260">
        <v>5</v>
      </c>
      <c r="K433" s="260">
        <v>5</v>
      </c>
      <c r="L433" s="260"/>
      <c r="M433" s="260"/>
      <c r="N433" s="260"/>
      <c r="O433" s="260"/>
      <c r="P433" s="260"/>
      <c r="Q433" s="260"/>
      <c r="R433" s="260"/>
      <c r="S433" s="260"/>
      <c r="T433" s="260"/>
      <c r="U433" s="260"/>
      <c r="V433" s="260">
        <v>5</v>
      </c>
      <c r="W433" s="260">
        <v>40</v>
      </c>
      <c r="X433" s="260">
        <v>640</v>
      </c>
      <c r="Y433" s="260">
        <v>640</v>
      </c>
      <c r="Z433" s="260">
        <v>640</v>
      </c>
      <c r="AA433" s="260">
        <v>640</v>
      </c>
      <c r="AB433" s="260">
        <v>640</v>
      </c>
      <c r="AC433" s="260">
        <v>320</v>
      </c>
      <c r="AD433" s="260"/>
      <c r="AE433" s="260"/>
      <c r="AF433" s="260"/>
      <c r="AG433" s="260"/>
      <c r="AH433" s="176" t="s">
        <v>197</v>
      </c>
      <c r="AI433" s="272">
        <v>5</v>
      </c>
      <c r="AJ433" s="271">
        <v>5</v>
      </c>
      <c r="AK433" s="260"/>
      <c r="AL433" s="260"/>
      <c r="AM433" s="260"/>
      <c r="AN433" s="260"/>
      <c r="AO433" s="260"/>
      <c r="AP433" s="260"/>
      <c r="AQ433" s="260"/>
      <c r="AR433" s="260"/>
      <c r="AS433" s="260"/>
      <c r="AT433" s="260"/>
      <c r="AU433" s="260">
        <v>160</v>
      </c>
      <c r="AV433" s="271">
        <v>320</v>
      </c>
      <c r="AW433" s="260">
        <v>160</v>
      </c>
      <c r="AX433" s="271">
        <v>320</v>
      </c>
      <c r="AY433" s="260">
        <v>160</v>
      </c>
      <c r="AZ433" s="271">
        <v>160</v>
      </c>
      <c r="BA433" s="276">
        <v>160</v>
      </c>
      <c r="BB433" s="276">
        <v>320</v>
      </c>
      <c r="BC433" s="276"/>
      <c r="BD433" s="276"/>
      <c r="BE433" s="276">
        <v>80</v>
      </c>
      <c r="BF433" s="276">
        <v>160</v>
      </c>
      <c r="BG433" s="260">
        <v>320</v>
      </c>
      <c r="BH433" s="271">
        <v>320</v>
      </c>
      <c r="BI433" s="276"/>
      <c r="BJ433" s="276"/>
      <c r="BK433" s="276"/>
      <c r="BL433" s="275"/>
      <c r="BM433" s="274" t="s">
        <v>197</v>
      </c>
      <c r="BN433" s="272">
        <v>10</v>
      </c>
      <c r="BO433" s="270">
        <v>20</v>
      </c>
      <c r="BP433" s="272"/>
      <c r="BQ433" s="260"/>
      <c r="BR433" s="260"/>
      <c r="BS433" s="260"/>
      <c r="BT433" s="260"/>
      <c r="BU433" s="260"/>
      <c r="BV433" s="260">
        <v>5</v>
      </c>
      <c r="BW433" s="260">
        <v>80</v>
      </c>
      <c r="BX433" s="260"/>
      <c r="BY433" s="260"/>
      <c r="BZ433" s="260"/>
      <c r="CA433" s="260"/>
      <c r="CB433" s="260"/>
      <c r="CC433" s="260"/>
      <c r="CD433" s="260">
        <v>40</v>
      </c>
      <c r="CE433" s="260">
        <v>40</v>
      </c>
      <c r="CF433" s="272"/>
      <c r="CG433" s="260"/>
      <c r="CH433" s="260"/>
      <c r="CI433" s="260"/>
      <c r="CJ433" s="260"/>
      <c r="CK433" s="260"/>
      <c r="CL433" s="260"/>
      <c r="CM433" s="260"/>
      <c r="CN433" s="260">
        <v>40</v>
      </c>
      <c r="CO433" s="260">
        <v>40</v>
      </c>
      <c r="CP433" s="260">
        <v>40</v>
      </c>
      <c r="CQ433" s="260">
        <v>40</v>
      </c>
      <c r="CR433" s="260">
        <v>80</v>
      </c>
      <c r="CS433" s="270">
        <v>80</v>
      </c>
      <c r="CT433" s="269" t="s">
        <v>197</v>
      </c>
      <c r="CU433" s="249">
        <f>Table2821115[[#This Row],[D28 - BR/18]]/Table2821115[[#This Row],[D0 - BR/18]]</f>
        <v>0.5</v>
      </c>
      <c r="CV433" s="248">
        <f>Table2821115[[#This Row],[D28 - KS/17]]/Table2821115[[#This Row],[D0 - KS/17]]</f>
        <v>2</v>
      </c>
      <c r="CW433" s="248">
        <f>Table2821115[[#This Row],[D28 - Phu/13]]/Table2821115[[#This Row],[D0 - Phu/13]]</f>
        <v>1</v>
      </c>
      <c r="CX433" s="248">
        <f>Table2821115[[#This Row],[D28 - CO/17]]/Table2821115[[#This Row],[D0 - CO/17]]</f>
        <v>1</v>
      </c>
      <c r="CY433" s="248">
        <f>LOG(Table2821115[[#This Row],[BR/18 Fold]],2)</f>
        <v>-1</v>
      </c>
      <c r="CZ433" s="248">
        <f>LOG(Table2821115[[#This Row],[KS/17 Fold]],2)</f>
        <v>1</v>
      </c>
      <c r="DA433" s="248">
        <f>LOG(Table2821115[[#This Row],[Phu/13 Fold]],2)</f>
        <v>0</v>
      </c>
      <c r="DB433" s="248">
        <f>LOG(Table2821115[[#This Row],[CO/17 Fold]],2)</f>
        <v>0</v>
      </c>
      <c r="DC433" s="248">
        <f>SUM(Table2821115[[#This Row],[BR/18 Log2]:[CO/17 Log2]])</f>
        <v>0</v>
      </c>
    </row>
    <row r="434" spans="1:107" ht="24" customHeight="1">
      <c r="A434" s="282" t="s">
        <v>198</v>
      </c>
      <c r="B434" s="151">
        <v>37726</v>
      </c>
      <c r="C434" s="151">
        <v>43790</v>
      </c>
      <c r="D434" s="150">
        <v>16</v>
      </c>
      <c r="E434" s="3" t="s">
        <v>61</v>
      </c>
      <c r="F434" s="143" t="s">
        <v>116</v>
      </c>
      <c r="G434" s="142">
        <v>21.451596760535622</v>
      </c>
      <c r="H434" s="11" t="s">
        <v>59</v>
      </c>
      <c r="I434" s="281" t="s">
        <v>60</v>
      </c>
      <c r="J434" s="260">
        <v>5</v>
      </c>
      <c r="K434" s="260">
        <v>5</v>
      </c>
      <c r="L434" s="260"/>
      <c r="M434" s="260"/>
      <c r="N434" s="260"/>
      <c r="O434" s="260"/>
      <c r="P434" s="260"/>
      <c r="Q434" s="260"/>
      <c r="R434" s="260"/>
      <c r="S434" s="260"/>
      <c r="T434" s="260"/>
      <c r="U434" s="260"/>
      <c r="V434" s="260">
        <v>40</v>
      </c>
      <c r="W434" s="260">
        <v>40</v>
      </c>
      <c r="X434" s="260">
        <v>40</v>
      </c>
      <c r="Y434" s="260">
        <v>80</v>
      </c>
      <c r="Z434" s="260">
        <v>40</v>
      </c>
      <c r="AA434" s="260">
        <v>80</v>
      </c>
      <c r="AB434" s="260">
        <v>40</v>
      </c>
      <c r="AC434" s="260">
        <v>40</v>
      </c>
      <c r="AD434" s="260"/>
      <c r="AE434" s="260"/>
      <c r="AF434" s="260"/>
      <c r="AG434" s="260"/>
      <c r="AH434" s="174" t="s">
        <v>198</v>
      </c>
      <c r="AI434" s="272">
        <v>40</v>
      </c>
      <c r="AJ434" s="271">
        <v>40</v>
      </c>
      <c r="AK434" s="260"/>
      <c r="AL434" s="260"/>
      <c r="AM434" s="260"/>
      <c r="AN434" s="260"/>
      <c r="AO434" s="260"/>
      <c r="AP434" s="260"/>
      <c r="AQ434" s="260"/>
      <c r="AR434" s="260"/>
      <c r="AS434" s="260"/>
      <c r="AT434" s="260"/>
      <c r="AU434" s="260">
        <v>640</v>
      </c>
      <c r="AV434" s="271">
        <v>1280</v>
      </c>
      <c r="AW434" s="260">
        <v>320</v>
      </c>
      <c r="AX434" s="271">
        <v>640</v>
      </c>
      <c r="AY434" s="260">
        <v>640</v>
      </c>
      <c r="AZ434" s="271">
        <v>640</v>
      </c>
      <c r="BA434" s="276">
        <v>640</v>
      </c>
      <c r="BB434" s="276">
        <v>1280</v>
      </c>
      <c r="BC434" s="276"/>
      <c r="BD434" s="276"/>
      <c r="BE434" s="276">
        <v>320</v>
      </c>
      <c r="BF434" s="276">
        <v>320</v>
      </c>
      <c r="BG434" s="260">
        <v>640</v>
      </c>
      <c r="BH434" s="271">
        <v>640</v>
      </c>
      <c r="BI434" s="276"/>
      <c r="BJ434" s="276"/>
      <c r="BK434" s="276"/>
      <c r="BL434" s="275"/>
      <c r="BM434" s="280" t="s">
        <v>198</v>
      </c>
      <c r="BN434" s="272">
        <v>80</v>
      </c>
      <c r="BO434" s="270">
        <v>160</v>
      </c>
      <c r="BP434" s="272"/>
      <c r="BQ434" s="260"/>
      <c r="BR434" s="260"/>
      <c r="BS434" s="260"/>
      <c r="BT434" s="260"/>
      <c r="BU434" s="260"/>
      <c r="BV434" s="260">
        <v>320</v>
      </c>
      <c r="BW434" s="260">
        <v>320</v>
      </c>
      <c r="BX434" s="260"/>
      <c r="BY434" s="260"/>
      <c r="BZ434" s="260"/>
      <c r="CA434" s="260"/>
      <c r="CB434" s="260"/>
      <c r="CC434" s="260"/>
      <c r="CD434" s="260">
        <v>160</v>
      </c>
      <c r="CE434" s="260">
        <v>160</v>
      </c>
      <c r="CF434" s="272"/>
      <c r="CG434" s="260"/>
      <c r="CH434" s="260"/>
      <c r="CI434" s="260"/>
      <c r="CJ434" s="260"/>
      <c r="CK434" s="260"/>
      <c r="CL434" s="260"/>
      <c r="CM434" s="260"/>
      <c r="CN434" s="260">
        <v>80</v>
      </c>
      <c r="CO434" s="260">
        <v>160</v>
      </c>
      <c r="CP434" s="260">
        <v>160</v>
      </c>
      <c r="CQ434" s="260">
        <v>160</v>
      </c>
      <c r="CR434" s="260">
        <v>160</v>
      </c>
      <c r="CS434" s="270">
        <v>160</v>
      </c>
      <c r="CT434" s="279" t="s">
        <v>198</v>
      </c>
      <c r="CU434" s="249">
        <f>Table2821115[[#This Row],[D28 - BR/18]]/Table2821115[[#This Row],[D0 - BR/18]]</f>
        <v>1</v>
      </c>
      <c r="CV434" s="248">
        <f>Table2821115[[#This Row],[D28 - KS/17]]/Table2821115[[#This Row],[D0 - KS/17]]</f>
        <v>1</v>
      </c>
      <c r="CW434" s="248">
        <f>Table2821115[[#This Row],[D28 - Phu/13]]/Table2821115[[#This Row],[D0 - Phu/13]]</f>
        <v>1</v>
      </c>
      <c r="CX434" s="248">
        <f>Table2821115[[#This Row],[D28 - CO/17]]/Table2821115[[#This Row],[D0 - CO/17]]</f>
        <v>1</v>
      </c>
      <c r="CY434" s="248">
        <f>LOG(Table2821115[[#This Row],[BR/18 Fold]],2)</f>
        <v>0</v>
      </c>
      <c r="CZ434" s="248">
        <f>LOG(Table2821115[[#This Row],[KS/17 Fold]],2)</f>
        <v>0</v>
      </c>
      <c r="DA434" s="248">
        <f>LOG(Table2821115[[#This Row],[Phu/13 Fold]],2)</f>
        <v>0</v>
      </c>
      <c r="DB434" s="248">
        <f>LOG(Table2821115[[#This Row],[CO/17 Fold]],2)</f>
        <v>0</v>
      </c>
      <c r="DC434" s="248">
        <f>SUM(Table2821115[[#This Row],[BR/18 Log2]:[CO/17 Log2]])</f>
        <v>0</v>
      </c>
    </row>
    <row r="435" spans="1:107" ht="24" customHeight="1">
      <c r="A435" s="314" t="s">
        <v>199</v>
      </c>
      <c r="B435" s="151">
        <v>37371</v>
      </c>
      <c r="C435" s="151">
        <v>43757</v>
      </c>
      <c r="D435" s="150">
        <v>17</v>
      </c>
      <c r="E435" s="4" t="s">
        <v>58</v>
      </c>
      <c r="F435" s="143" t="s">
        <v>116</v>
      </c>
      <c r="G435" s="142">
        <v>33.404231901519331</v>
      </c>
      <c r="H435" s="11" t="s">
        <v>59</v>
      </c>
      <c r="I435" s="281" t="s">
        <v>60</v>
      </c>
      <c r="J435" s="260">
        <v>5</v>
      </c>
      <c r="K435" s="260">
        <v>5</v>
      </c>
      <c r="L435" s="260"/>
      <c r="M435" s="260"/>
      <c r="N435" s="260"/>
      <c r="O435" s="260"/>
      <c r="P435" s="260"/>
      <c r="Q435" s="260"/>
      <c r="R435" s="260"/>
      <c r="S435" s="260"/>
      <c r="T435" s="260"/>
      <c r="U435" s="260"/>
      <c r="V435" s="260">
        <v>40</v>
      </c>
      <c r="W435" s="260">
        <v>40</v>
      </c>
      <c r="X435" s="260">
        <v>160</v>
      </c>
      <c r="Y435" s="260">
        <v>160</v>
      </c>
      <c r="Z435" s="260">
        <v>320</v>
      </c>
      <c r="AA435" s="260">
        <v>320</v>
      </c>
      <c r="AB435" s="260">
        <v>160</v>
      </c>
      <c r="AC435" s="260">
        <v>160</v>
      </c>
      <c r="AD435" s="260"/>
      <c r="AE435" s="260"/>
      <c r="AF435" s="260"/>
      <c r="AG435" s="260"/>
      <c r="AH435" s="174" t="s">
        <v>199</v>
      </c>
      <c r="AI435" s="272">
        <v>40</v>
      </c>
      <c r="AJ435" s="271">
        <v>40</v>
      </c>
      <c r="AK435" s="260"/>
      <c r="AL435" s="260"/>
      <c r="AM435" s="260"/>
      <c r="AN435" s="260"/>
      <c r="AO435" s="260"/>
      <c r="AP435" s="260"/>
      <c r="AQ435" s="260"/>
      <c r="AR435" s="260"/>
      <c r="AS435" s="260"/>
      <c r="AT435" s="260"/>
      <c r="AU435" s="260">
        <v>160</v>
      </c>
      <c r="AV435" s="271">
        <v>160</v>
      </c>
      <c r="AW435" s="260">
        <v>320</v>
      </c>
      <c r="AX435" s="271">
        <v>320</v>
      </c>
      <c r="AY435" s="260">
        <v>160</v>
      </c>
      <c r="AZ435" s="271">
        <v>160</v>
      </c>
      <c r="BA435" s="276">
        <v>160</v>
      </c>
      <c r="BB435" s="276">
        <v>320</v>
      </c>
      <c r="BC435" s="276"/>
      <c r="BD435" s="276"/>
      <c r="BE435" s="276">
        <v>320</v>
      </c>
      <c r="BF435" s="276">
        <v>320</v>
      </c>
      <c r="BG435" s="260">
        <v>160</v>
      </c>
      <c r="BH435" s="271">
        <v>160</v>
      </c>
      <c r="BI435" s="276"/>
      <c r="BJ435" s="276"/>
      <c r="BK435" s="276"/>
      <c r="BL435" s="275"/>
      <c r="BM435" s="280" t="s">
        <v>199</v>
      </c>
      <c r="BN435" s="272">
        <v>160</v>
      </c>
      <c r="BO435" s="270">
        <v>160</v>
      </c>
      <c r="BP435" s="272"/>
      <c r="BQ435" s="260"/>
      <c r="BR435" s="260"/>
      <c r="BS435" s="260"/>
      <c r="BT435" s="260"/>
      <c r="BU435" s="260"/>
      <c r="BV435" s="260">
        <v>320</v>
      </c>
      <c r="BW435" s="260">
        <v>320</v>
      </c>
      <c r="BX435" s="260"/>
      <c r="BY435" s="260"/>
      <c r="BZ435" s="260"/>
      <c r="CA435" s="260"/>
      <c r="CB435" s="260"/>
      <c r="CC435" s="260"/>
      <c r="CD435" s="260">
        <v>320</v>
      </c>
      <c r="CE435" s="260">
        <v>320</v>
      </c>
      <c r="CF435" s="272"/>
      <c r="CG435" s="260"/>
      <c r="CH435" s="260"/>
      <c r="CI435" s="260"/>
      <c r="CJ435" s="260"/>
      <c r="CK435" s="260"/>
      <c r="CL435" s="260"/>
      <c r="CM435" s="260"/>
      <c r="CN435" s="260">
        <v>160</v>
      </c>
      <c r="CO435" s="260">
        <v>160</v>
      </c>
      <c r="CP435" s="260">
        <v>160</v>
      </c>
      <c r="CQ435" s="260">
        <v>160</v>
      </c>
      <c r="CR435" s="260">
        <v>160</v>
      </c>
      <c r="CS435" s="270">
        <v>320</v>
      </c>
      <c r="CT435" s="279" t="s">
        <v>199</v>
      </c>
      <c r="CU435" s="249">
        <f>Table2821115[[#This Row],[D28 - BR/18]]/Table2821115[[#This Row],[D0 - BR/18]]</f>
        <v>1</v>
      </c>
      <c r="CV435" s="248">
        <f>Table2821115[[#This Row],[D28 - KS/17]]/Table2821115[[#This Row],[D0 - KS/17]]</f>
        <v>1</v>
      </c>
      <c r="CW435" s="248">
        <f>Table2821115[[#This Row],[D28 - Phu/13]]/Table2821115[[#This Row],[D0 - Phu/13]]</f>
        <v>1</v>
      </c>
      <c r="CX435" s="248">
        <f>Table2821115[[#This Row],[D28 - CO/17]]/Table2821115[[#This Row],[D0 - CO/17]]</f>
        <v>1</v>
      </c>
      <c r="CY435" s="248">
        <f>LOG(Table2821115[[#This Row],[BR/18 Fold]],2)</f>
        <v>0</v>
      </c>
      <c r="CZ435" s="248">
        <f>LOG(Table2821115[[#This Row],[KS/17 Fold]],2)</f>
        <v>0</v>
      </c>
      <c r="DA435" s="248">
        <f>LOG(Table2821115[[#This Row],[Phu/13 Fold]],2)</f>
        <v>0</v>
      </c>
      <c r="DB435" s="248">
        <f>LOG(Table2821115[[#This Row],[CO/17 Fold]],2)</f>
        <v>0</v>
      </c>
      <c r="DC435" s="248">
        <f>SUM(Table2821115[[#This Row],[BR/18 Log2]:[CO/17 Log2]])</f>
        <v>0</v>
      </c>
    </row>
    <row r="436" spans="1:107" ht="24" customHeight="1">
      <c r="A436" s="314" t="s">
        <v>200</v>
      </c>
      <c r="B436" s="151">
        <v>37900</v>
      </c>
      <c r="C436" s="151">
        <v>43757</v>
      </c>
      <c r="D436" s="150">
        <v>16</v>
      </c>
      <c r="E436" s="3" t="s">
        <v>61</v>
      </c>
      <c r="F436" s="143" t="s">
        <v>116</v>
      </c>
      <c r="G436" s="142">
        <v>27.988980716253447</v>
      </c>
      <c r="H436" s="11" t="s">
        <v>59</v>
      </c>
      <c r="I436" s="281" t="s">
        <v>60</v>
      </c>
      <c r="J436" s="260">
        <v>5</v>
      </c>
      <c r="K436" s="260">
        <v>5</v>
      </c>
      <c r="L436" s="260"/>
      <c r="M436" s="260"/>
      <c r="N436" s="260"/>
      <c r="O436" s="260"/>
      <c r="P436" s="260"/>
      <c r="Q436" s="260"/>
      <c r="R436" s="260"/>
      <c r="S436" s="260"/>
      <c r="T436" s="260"/>
      <c r="U436" s="260"/>
      <c r="V436" s="260">
        <v>80</v>
      </c>
      <c r="W436" s="260">
        <v>160</v>
      </c>
      <c r="X436" s="260">
        <v>5</v>
      </c>
      <c r="Y436" s="260">
        <v>40</v>
      </c>
      <c r="Z436" s="260">
        <v>20</v>
      </c>
      <c r="AA436" s="260">
        <v>40</v>
      </c>
      <c r="AB436" s="260">
        <v>20</v>
      </c>
      <c r="AC436" s="260">
        <v>20</v>
      </c>
      <c r="AD436" s="260"/>
      <c r="AE436" s="260"/>
      <c r="AF436" s="260"/>
      <c r="AG436" s="260"/>
      <c r="AH436" s="174" t="s">
        <v>200</v>
      </c>
      <c r="AI436" s="272">
        <v>40</v>
      </c>
      <c r="AJ436" s="271">
        <v>80</v>
      </c>
      <c r="AK436" s="260"/>
      <c r="AL436" s="260"/>
      <c r="AM436" s="260"/>
      <c r="AN436" s="260"/>
      <c r="AO436" s="260"/>
      <c r="AP436" s="260"/>
      <c r="AQ436" s="260"/>
      <c r="AR436" s="260"/>
      <c r="AS436" s="260"/>
      <c r="AT436" s="260"/>
      <c r="AU436" s="260">
        <v>320</v>
      </c>
      <c r="AV436" s="271">
        <v>1280</v>
      </c>
      <c r="AW436" s="260">
        <v>320</v>
      </c>
      <c r="AX436" s="271">
        <v>640</v>
      </c>
      <c r="AY436" s="260">
        <v>320</v>
      </c>
      <c r="AZ436" s="271">
        <v>640</v>
      </c>
      <c r="BA436" s="276">
        <v>320</v>
      </c>
      <c r="BB436" s="276">
        <v>1280</v>
      </c>
      <c r="BC436" s="276"/>
      <c r="BD436" s="276"/>
      <c r="BE436" s="276">
        <v>160</v>
      </c>
      <c r="BF436" s="276">
        <v>640</v>
      </c>
      <c r="BG436" s="260">
        <v>320</v>
      </c>
      <c r="BH436" s="271">
        <v>1280</v>
      </c>
      <c r="BI436" s="276"/>
      <c r="BJ436" s="276"/>
      <c r="BK436" s="276"/>
      <c r="BL436" s="275"/>
      <c r="BM436" s="280" t="s">
        <v>200</v>
      </c>
      <c r="BN436" s="272">
        <v>40</v>
      </c>
      <c r="BO436" s="270">
        <v>80</v>
      </c>
      <c r="BP436" s="272"/>
      <c r="BQ436" s="260"/>
      <c r="BR436" s="260"/>
      <c r="BS436" s="260"/>
      <c r="BT436" s="260"/>
      <c r="BU436" s="260"/>
      <c r="BV436" s="260">
        <v>320</v>
      </c>
      <c r="BW436" s="260">
        <v>320</v>
      </c>
      <c r="BX436" s="260"/>
      <c r="BY436" s="260"/>
      <c r="BZ436" s="260"/>
      <c r="CA436" s="260"/>
      <c r="CB436" s="260"/>
      <c r="CC436" s="260"/>
      <c r="CD436" s="260">
        <v>320</v>
      </c>
      <c r="CE436" s="260">
        <v>320</v>
      </c>
      <c r="CF436" s="272"/>
      <c r="CG436" s="260"/>
      <c r="CH436" s="260"/>
      <c r="CI436" s="260"/>
      <c r="CJ436" s="260"/>
      <c r="CK436" s="260"/>
      <c r="CL436" s="260"/>
      <c r="CM436" s="260"/>
      <c r="CN436" s="260">
        <v>320</v>
      </c>
      <c r="CO436" s="260">
        <v>320</v>
      </c>
      <c r="CP436" s="260">
        <v>80</v>
      </c>
      <c r="CQ436" s="260">
        <v>160</v>
      </c>
      <c r="CR436" s="260">
        <v>160</v>
      </c>
      <c r="CS436" s="270">
        <v>320</v>
      </c>
      <c r="CT436" s="279" t="s">
        <v>200</v>
      </c>
      <c r="CU436" s="249">
        <f>Table2821115[[#This Row],[D28 - BR/18]]/Table2821115[[#This Row],[D0 - BR/18]]</f>
        <v>1</v>
      </c>
      <c r="CV436" s="248">
        <f>Table2821115[[#This Row],[D28 - KS/17]]/Table2821115[[#This Row],[D0 - KS/17]]</f>
        <v>4</v>
      </c>
      <c r="CW436" s="248">
        <f>Table2821115[[#This Row],[D28 - Phu/13]]/Table2821115[[#This Row],[D0 - Phu/13]]</f>
        <v>1</v>
      </c>
      <c r="CX436" s="248">
        <f>Table2821115[[#This Row],[D28 - CO/17]]/Table2821115[[#This Row],[D0 - CO/17]]</f>
        <v>2</v>
      </c>
      <c r="CY436" s="248">
        <f>LOG(Table2821115[[#This Row],[BR/18 Fold]],2)</f>
        <v>0</v>
      </c>
      <c r="CZ436" s="248">
        <f>LOG(Table2821115[[#This Row],[KS/17 Fold]],2)</f>
        <v>2</v>
      </c>
      <c r="DA436" s="248">
        <f>LOG(Table2821115[[#This Row],[Phu/13 Fold]],2)</f>
        <v>0</v>
      </c>
      <c r="DB436" s="248">
        <f>LOG(Table2821115[[#This Row],[CO/17 Fold]],2)</f>
        <v>1</v>
      </c>
      <c r="DC436" s="248">
        <f>SUM(Table2821115[[#This Row],[BR/18 Log2]:[CO/17 Log2]])</f>
        <v>3</v>
      </c>
    </row>
    <row r="437" spans="1:107" ht="24" customHeight="1">
      <c r="A437" s="313" t="s">
        <v>201</v>
      </c>
      <c r="B437" s="145">
        <v>38982</v>
      </c>
      <c r="C437" s="145">
        <v>43757</v>
      </c>
      <c r="D437" s="144">
        <v>13</v>
      </c>
      <c r="E437" s="3" t="s">
        <v>61</v>
      </c>
      <c r="F437" s="143" t="s">
        <v>116</v>
      </c>
      <c r="G437" s="142">
        <v>28.183154648786257</v>
      </c>
      <c r="H437" s="11" t="s">
        <v>59</v>
      </c>
      <c r="I437" s="281" t="s">
        <v>60</v>
      </c>
      <c r="J437" s="260">
        <v>5</v>
      </c>
      <c r="K437" s="260">
        <v>5</v>
      </c>
      <c r="L437" s="260"/>
      <c r="M437" s="260"/>
      <c r="N437" s="260"/>
      <c r="O437" s="260"/>
      <c r="P437" s="260"/>
      <c r="Q437" s="260"/>
      <c r="R437" s="260"/>
      <c r="S437" s="260"/>
      <c r="T437" s="260"/>
      <c r="U437" s="260"/>
      <c r="V437" s="260">
        <v>40</v>
      </c>
      <c r="W437" s="260">
        <v>40</v>
      </c>
      <c r="X437" s="260">
        <v>160</v>
      </c>
      <c r="Y437" s="260">
        <v>160</v>
      </c>
      <c r="Z437" s="260">
        <v>320</v>
      </c>
      <c r="AA437" s="260">
        <v>320</v>
      </c>
      <c r="AB437" s="260">
        <v>160</v>
      </c>
      <c r="AC437" s="260">
        <v>160</v>
      </c>
      <c r="AD437" s="260"/>
      <c r="AE437" s="260"/>
      <c r="AF437" s="260"/>
      <c r="AG437" s="260"/>
      <c r="AH437" s="176" t="s">
        <v>201</v>
      </c>
      <c r="AI437" s="272">
        <v>10</v>
      </c>
      <c r="AJ437" s="271">
        <v>20</v>
      </c>
      <c r="AK437" s="260"/>
      <c r="AL437" s="260"/>
      <c r="AM437" s="260"/>
      <c r="AN437" s="260"/>
      <c r="AO437" s="260"/>
      <c r="AP437" s="260"/>
      <c r="AQ437" s="260"/>
      <c r="AR437" s="260"/>
      <c r="AS437" s="260"/>
      <c r="AT437" s="260"/>
      <c r="AU437" s="260">
        <v>160</v>
      </c>
      <c r="AV437" s="271">
        <v>640</v>
      </c>
      <c r="AW437" s="260">
        <v>160</v>
      </c>
      <c r="AX437" s="271">
        <v>1280</v>
      </c>
      <c r="AY437" s="260">
        <v>160</v>
      </c>
      <c r="AZ437" s="271">
        <v>640</v>
      </c>
      <c r="BA437" s="276">
        <v>160</v>
      </c>
      <c r="BB437" s="276">
        <v>1280</v>
      </c>
      <c r="BC437" s="276"/>
      <c r="BD437" s="276"/>
      <c r="BE437" s="276">
        <v>320</v>
      </c>
      <c r="BF437" s="276">
        <v>1280</v>
      </c>
      <c r="BG437" s="260">
        <v>160</v>
      </c>
      <c r="BH437" s="271">
        <v>1280</v>
      </c>
      <c r="BI437" s="276"/>
      <c r="BJ437" s="276"/>
      <c r="BK437" s="276"/>
      <c r="BL437" s="275"/>
      <c r="BM437" s="274" t="s">
        <v>201</v>
      </c>
      <c r="BN437" s="272">
        <v>80</v>
      </c>
      <c r="BO437" s="270">
        <v>80</v>
      </c>
      <c r="BP437" s="272"/>
      <c r="BQ437" s="260"/>
      <c r="BR437" s="260"/>
      <c r="BS437" s="260"/>
      <c r="BT437" s="260"/>
      <c r="BU437" s="260"/>
      <c r="BV437" s="260">
        <v>640</v>
      </c>
      <c r="BW437" s="260">
        <v>640</v>
      </c>
      <c r="BX437" s="260"/>
      <c r="BY437" s="260"/>
      <c r="BZ437" s="260"/>
      <c r="CA437" s="260"/>
      <c r="CB437" s="260"/>
      <c r="CC437" s="260"/>
      <c r="CD437" s="260">
        <v>320</v>
      </c>
      <c r="CE437" s="260">
        <v>320</v>
      </c>
      <c r="CF437" s="272"/>
      <c r="CG437" s="260"/>
      <c r="CH437" s="260"/>
      <c r="CI437" s="260"/>
      <c r="CJ437" s="260"/>
      <c r="CK437" s="260"/>
      <c r="CL437" s="260"/>
      <c r="CM437" s="260"/>
      <c r="CN437" s="260">
        <v>80</v>
      </c>
      <c r="CO437" s="260">
        <v>80</v>
      </c>
      <c r="CP437" s="260">
        <v>40</v>
      </c>
      <c r="CQ437" s="260">
        <v>80</v>
      </c>
      <c r="CR437" s="260">
        <v>80</v>
      </c>
      <c r="CS437" s="270">
        <v>160</v>
      </c>
      <c r="CT437" s="269" t="s">
        <v>201</v>
      </c>
      <c r="CU437" s="249">
        <f>Table2821115[[#This Row],[D28 - BR/18]]/Table2821115[[#This Row],[D0 - BR/18]]</f>
        <v>1</v>
      </c>
      <c r="CV437" s="248">
        <f>Table2821115[[#This Row],[D28 - KS/17]]/Table2821115[[#This Row],[D0 - KS/17]]</f>
        <v>4</v>
      </c>
      <c r="CW437" s="248">
        <f>Table2821115[[#This Row],[D28 - Phu/13]]/Table2821115[[#This Row],[D0 - Phu/13]]</f>
        <v>1</v>
      </c>
      <c r="CX437" s="248">
        <f>Table2821115[[#This Row],[D28 - CO/17]]/Table2821115[[#This Row],[D0 - CO/17]]</f>
        <v>2</v>
      </c>
      <c r="CY437" s="248">
        <f>LOG(Table2821115[[#This Row],[BR/18 Fold]],2)</f>
        <v>0</v>
      </c>
      <c r="CZ437" s="248">
        <f>LOG(Table2821115[[#This Row],[KS/17 Fold]],2)</f>
        <v>2</v>
      </c>
      <c r="DA437" s="248">
        <f>LOG(Table2821115[[#This Row],[Phu/13 Fold]],2)</f>
        <v>0</v>
      </c>
      <c r="DB437" s="248">
        <f>LOG(Table2821115[[#This Row],[CO/17 Fold]],2)</f>
        <v>1</v>
      </c>
      <c r="DC437" s="248">
        <f>SUM(Table2821115[[#This Row],[BR/18 Log2]:[CO/17 Log2]])</f>
        <v>3</v>
      </c>
    </row>
    <row r="438" spans="1:107" ht="24" customHeight="1">
      <c r="A438" s="312" t="s">
        <v>202</v>
      </c>
      <c r="B438" s="168">
        <v>37504</v>
      </c>
      <c r="C438" s="168">
        <v>43790</v>
      </c>
      <c r="D438" s="167">
        <v>17</v>
      </c>
      <c r="E438" s="24" t="s">
        <v>58</v>
      </c>
      <c r="F438" s="166" t="s">
        <v>116</v>
      </c>
      <c r="G438" s="165">
        <v>27.068263531383991</v>
      </c>
      <c r="H438" s="44" t="s">
        <v>59</v>
      </c>
      <c r="I438" s="311" t="s">
        <v>60</v>
      </c>
      <c r="J438" s="260">
        <v>5</v>
      </c>
      <c r="K438" s="260">
        <v>5</v>
      </c>
      <c r="L438" s="260"/>
      <c r="M438" s="260"/>
      <c r="N438" s="260"/>
      <c r="O438" s="260"/>
      <c r="P438" s="260"/>
      <c r="Q438" s="260"/>
      <c r="R438" s="260"/>
      <c r="S438" s="260"/>
      <c r="T438" s="260"/>
      <c r="U438" s="260"/>
      <c r="V438" s="260">
        <v>20</v>
      </c>
      <c r="W438" s="260">
        <v>40</v>
      </c>
      <c r="X438" s="260">
        <v>320</v>
      </c>
      <c r="Y438" s="260">
        <v>320</v>
      </c>
      <c r="Z438" s="260">
        <v>320</v>
      </c>
      <c r="AA438" s="260">
        <v>640</v>
      </c>
      <c r="AB438" s="260">
        <v>160</v>
      </c>
      <c r="AC438" s="260">
        <v>160</v>
      </c>
      <c r="AD438" s="260"/>
      <c r="AE438" s="260"/>
      <c r="AF438" s="260"/>
      <c r="AG438" s="260"/>
      <c r="AH438" s="310" t="s">
        <v>202</v>
      </c>
      <c r="AI438" s="272">
        <v>20</v>
      </c>
      <c r="AJ438" s="271">
        <v>40</v>
      </c>
      <c r="AK438" s="260"/>
      <c r="AL438" s="260"/>
      <c r="AM438" s="260"/>
      <c r="AN438" s="260"/>
      <c r="AO438" s="260"/>
      <c r="AP438" s="260"/>
      <c r="AQ438" s="260"/>
      <c r="AR438" s="260"/>
      <c r="AS438" s="260"/>
      <c r="AT438" s="260"/>
      <c r="AU438" s="260">
        <v>160</v>
      </c>
      <c r="AV438" s="271">
        <v>640</v>
      </c>
      <c r="AW438" s="260">
        <v>320</v>
      </c>
      <c r="AX438" s="271">
        <v>320</v>
      </c>
      <c r="AY438" s="260">
        <v>320</v>
      </c>
      <c r="AZ438" s="271">
        <v>320</v>
      </c>
      <c r="BA438" s="276">
        <v>320</v>
      </c>
      <c r="BB438" s="276">
        <v>320</v>
      </c>
      <c r="BC438" s="276"/>
      <c r="BD438" s="276"/>
      <c r="BE438" s="276">
        <v>160</v>
      </c>
      <c r="BF438" s="276">
        <v>320</v>
      </c>
      <c r="BG438" s="260">
        <v>320</v>
      </c>
      <c r="BH438" s="271">
        <v>640</v>
      </c>
      <c r="BI438" s="276"/>
      <c r="BJ438" s="276"/>
      <c r="BK438" s="276"/>
      <c r="BL438" s="275"/>
      <c r="BM438" s="309" t="s">
        <v>202</v>
      </c>
      <c r="BN438" s="272">
        <v>80</v>
      </c>
      <c r="BO438" s="270">
        <v>80</v>
      </c>
      <c r="BP438" s="272"/>
      <c r="BQ438" s="260"/>
      <c r="BR438" s="260"/>
      <c r="BS438" s="260"/>
      <c r="BT438" s="260"/>
      <c r="BU438" s="260"/>
      <c r="BV438" s="260">
        <v>5</v>
      </c>
      <c r="BW438" s="260">
        <v>5</v>
      </c>
      <c r="BX438" s="260"/>
      <c r="BY438" s="260"/>
      <c r="BZ438" s="260"/>
      <c r="CA438" s="260"/>
      <c r="CB438" s="260"/>
      <c r="CC438" s="260"/>
      <c r="CD438" s="260">
        <v>80</v>
      </c>
      <c r="CE438" s="260">
        <v>80</v>
      </c>
      <c r="CF438" s="272"/>
      <c r="CG438" s="260"/>
      <c r="CH438" s="260"/>
      <c r="CI438" s="260"/>
      <c r="CJ438" s="260"/>
      <c r="CK438" s="260"/>
      <c r="CL438" s="260"/>
      <c r="CM438" s="260"/>
      <c r="CN438" s="260">
        <v>160</v>
      </c>
      <c r="CO438" s="260">
        <v>160</v>
      </c>
      <c r="CP438" s="260">
        <v>160</v>
      </c>
      <c r="CQ438" s="260">
        <v>160</v>
      </c>
      <c r="CR438" s="260">
        <v>160</v>
      </c>
      <c r="CS438" s="270">
        <v>320</v>
      </c>
      <c r="CT438" s="308" t="s">
        <v>202</v>
      </c>
      <c r="CU438" s="249">
        <f>Table2821115[[#This Row],[D28 - BR/18]]/Table2821115[[#This Row],[D0 - BR/18]]</f>
        <v>1</v>
      </c>
      <c r="CV438" s="248">
        <f>Table2821115[[#This Row],[D28 - KS/17]]/Table2821115[[#This Row],[D0 - KS/17]]</f>
        <v>2</v>
      </c>
      <c r="CW438" s="248">
        <f>Table2821115[[#This Row],[D28 - Phu/13]]/Table2821115[[#This Row],[D0 - Phu/13]]</f>
        <v>1</v>
      </c>
      <c r="CX438" s="248">
        <f>Table2821115[[#This Row],[D28 - CO/17]]/Table2821115[[#This Row],[D0 - CO/17]]</f>
        <v>1</v>
      </c>
      <c r="CY438" s="248">
        <f>LOG(Table2821115[[#This Row],[BR/18 Fold]],2)</f>
        <v>0</v>
      </c>
      <c r="CZ438" s="248">
        <f>LOG(Table2821115[[#This Row],[KS/17 Fold]],2)</f>
        <v>1</v>
      </c>
      <c r="DA438" s="248">
        <f>LOG(Table2821115[[#This Row],[Phu/13 Fold]],2)</f>
        <v>0</v>
      </c>
      <c r="DB438" s="248">
        <f>LOG(Table2821115[[#This Row],[CO/17 Fold]],2)</f>
        <v>0</v>
      </c>
      <c r="DC438" s="248">
        <f>SUM(Table2821115[[#This Row],[BR/18 Log2]:[CO/17 Log2]])</f>
        <v>1</v>
      </c>
    </row>
    <row r="439" spans="1:107" ht="24" customHeight="1">
      <c r="A439" s="307" t="s">
        <v>203</v>
      </c>
      <c r="B439" s="161">
        <v>38304</v>
      </c>
      <c r="C439" s="161">
        <v>43774</v>
      </c>
      <c r="D439" s="160">
        <v>14</v>
      </c>
      <c r="E439" s="153" t="s">
        <v>61</v>
      </c>
      <c r="F439" s="159" t="s">
        <v>204</v>
      </c>
      <c r="G439" s="158">
        <v>23.619428964663719</v>
      </c>
      <c r="H439" s="157" t="s">
        <v>59</v>
      </c>
      <c r="I439" s="306" t="s">
        <v>60</v>
      </c>
      <c r="J439" s="301">
        <v>5</v>
      </c>
      <c r="K439" s="301">
        <v>5</v>
      </c>
      <c r="L439" s="301"/>
      <c r="M439" s="301"/>
      <c r="N439" s="301"/>
      <c r="O439" s="301"/>
      <c r="P439" s="301"/>
      <c r="Q439" s="301"/>
      <c r="R439" s="301"/>
      <c r="S439" s="301"/>
      <c r="T439" s="301"/>
      <c r="U439" s="301"/>
      <c r="V439" s="301">
        <v>5</v>
      </c>
      <c r="W439" s="301">
        <v>5</v>
      </c>
      <c r="X439" s="301">
        <v>320</v>
      </c>
      <c r="Y439" s="301">
        <v>320</v>
      </c>
      <c r="Z439" s="301">
        <v>320</v>
      </c>
      <c r="AA439" s="301">
        <v>320</v>
      </c>
      <c r="AB439" s="301">
        <v>320</v>
      </c>
      <c r="AC439" s="301">
        <v>160</v>
      </c>
      <c r="AD439" s="301"/>
      <c r="AE439" s="301"/>
      <c r="AF439" s="260"/>
      <c r="AG439" s="260"/>
      <c r="AH439" s="305" t="s">
        <v>203</v>
      </c>
      <c r="AI439" s="302">
        <v>10</v>
      </c>
      <c r="AJ439" s="304">
        <v>20</v>
      </c>
      <c r="AK439" s="301"/>
      <c r="AL439" s="301"/>
      <c r="AM439" s="301"/>
      <c r="AN439" s="301"/>
      <c r="AO439" s="301"/>
      <c r="AP439" s="301"/>
      <c r="AQ439" s="301"/>
      <c r="AR439" s="301"/>
      <c r="AS439" s="301"/>
      <c r="AT439" s="301"/>
      <c r="AU439" s="301">
        <v>320</v>
      </c>
      <c r="AV439" s="304">
        <v>640</v>
      </c>
      <c r="AW439" s="301">
        <v>320</v>
      </c>
      <c r="AX439" s="304">
        <v>320</v>
      </c>
      <c r="AY439" s="301">
        <v>320</v>
      </c>
      <c r="AZ439" s="304">
        <v>320</v>
      </c>
      <c r="BA439" s="276">
        <v>320</v>
      </c>
      <c r="BB439" s="276">
        <v>640</v>
      </c>
      <c r="BC439" s="276"/>
      <c r="BD439" s="276"/>
      <c r="BE439" s="276">
        <v>160</v>
      </c>
      <c r="BF439" s="276">
        <v>320</v>
      </c>
      <c r="BG439" s="260">
        <v>640</v>
      </c>
      <c r="BH439" s="271">
        <v>320</v>
      </c>
      <c r="BI439" s="276"/>
      <c r="BJ439" s="276"/>
      <c r="BK439" s="276"/>
      <c r="BL439" s="275"/>
      <c r="BM439" s="303" t="s">
        <v>203</v>
      </c>
      <c r="BN439" s="302">
        <v>20</v>
      </c>
      <c r="BO439" s="300">
        <v>20</v>
      </c>
      <c r="BP439" s="302"/>
      <c r="BQ439" s="301"/>
      <c r="BR439" s="301"/>
      <c r="BS439" s="301"/>
      <c r="BT439" s="301"/>
      <c r="BU439" s="301"/>
      <c r="BV439" s="301">
        <v>5</v>
      </c>
      <c r="BW439" s="301">
        <v>5</v>
      </c>
      <c r="BX439" s="301"/>
      <c r="BY439" s="301"/>
      <c r="BZ439" s="301"/>
      <c r="CA439" s="301"/>
      <c r="CB439" s="301"/>
      <c r="CC439" s="301"/>
      <c r="CD439" s="301">
        <v>80</v>
      </c>
      <c r="CE439" s="301">
        <v>80</v>
      </c>
      <c r="CF439" s="302"/>
      <c r="CG439" s="301"/>
      <c r="CH439" s="301"/>
      <c r="CI439" s="301"/>
      <c r="CJ439" s="301"/>
      <c r="CK439" s="301"/>
      <c r="CL439" s="301"/>
      <c r="CM439" s="301"/>
      <c r="CN439" s="301">
        <v>80</v>
      </c>
      <c r="CO439" s="301">
        <v>80</v>
      </c>
      <c r="CP439" s="301">
        <v>5</v>
      </c>
      <c r="CQ439" s="301">
        <v>40</v>
      </c>
      <c r="CR439" s="301">
        <v>40</v>
      </c>
      <c r="CS439" s="300">
        <v>80</v>
      </c>
      <c r="CT439" s="299" t="s">
        <v>203</v>
      </c>
      <c r="CU439" s="249">
        <f>Table2821115[[#This Row],[D28 - BR/18]]/Table2821115[[#This Row],[D0 - BR/18]]</f>
        <v>0.5</v>
      </c>
      <c r="CV439" s="248">
        <f>Table2821115[[#This Row],[D28 - KS/17]]/Table2821115[[#This Row],[D0 - KS/17]]</f>
        <v>2</v>
      </c>
      <c r="CW439" s="248">
        <f>Table2821115[[#This Row],[D28 - Phu/13]]/Table2821115[[#This Row],[D0 - Phu/13]]</f>
        <v>1</v>
      </c>
      <c r="CX439" s="248">
        <f>Table2821115[[#This Row],[D28 - CO/17]]/Table2821115[[#This Row],[D0 - CO/17]]</f>
        <v>8</v>
      </c>
      <c r="CY439" s="248">
        <f>LOG(Table2821115[[#This Row],[BR/18 Fold]],2)</f>
        <v>-1</v>
      </c>
      <c r="CZ439" s="248">
        <f>LOG(Table2821115[[#This Row],[KS/17 Fold]],2)</f>
        <v>1</v>
      </c>
      <c r="DA439" s="248">
        <f>LOG(Table2821115[[#This Row],[Phu/13 Fold]],2)</f>
        <v>0</v>
      </c>
      <c r="DB439" s="248">
        <f>LOG(Table2821115[[#This Row],[CO/17 Fold]],2)</f>
        <v>3</v>
      </c>
      <c r="DC439" s="248">
        <f>SUM(Table2821115[[#This Row],[BR/18 Log2]:[CO/17 Log2]])</f>
        <v>3</v>
      </c>
    </row>
    <row r="440" spans="1:107" ht="24" customHeight="1">
      <c r="A440" s="278" t="s">
        <v>205</v>
      </c>
      <c r="B440" s="145">
        <v>38680</v>
      </c>
      <c r="C440" s="145">
        <v>43794</v>
      </c>
      <c r="D440" s="144">
        <v>14</v>
      </c>
      <c r="E440" s="3" t="s">
        <v>61</v>
      </c>
      <c r="F440" s="143" t="s">
        <v>116</v>
      </c>
      <c r="G440" s="142">
        <v>20.584723376832496</v>
      </c>
      <c r="H440" s="11" t="s">
        <v>59</v>
      </c>
      <c r="I440" s="281" t="s">
        <v>60</v>
      </c>
      <c r="J440" s="260">
        <v>5</v>
      </c>
      <c r="K440" s="260">
        <v>5</v>
      </c>
      <c r="L440" s="260"/>
      <c r="M440" s="260"/>
      <c r="N440" s="260"/>
      <c r="O440" s="260"/>
      <c r="P440" s="260"/>
      <c r="Q440" s="260"/>
      <c r="R440" s="260"/>
      <c r="S440" s="260"/>
      <c r="T440" s="260"/>
      <c r="U440" s="260"/>
      <c r="V440" s="260">
        <v>5</v>
      </c>
      <c r="W440" s="260">
        <v>5</v>
      </c>
      <c r="X440" s="260">
        <v>160</v>
      </c>
      <c r="Y440" s="260">
        <v>160</v>
      </c>
      <c r="Z440" s="260">
        <v>320</v>
      </c>
      <c r="AA440" s="260">
        <v>320</v>
      </c>
      <c r="AB440" s="260">
        <v>160</v>
      </c>
      <c r="AC440" s="260">
        <v>80</v>
      </c>
      <c r="AD440" s="260"/>
      <c r="AE440" s="260"/>
      <c r="AF440" s="260"/>
      <c r="AG440" s="260"/>
      <c r="AH440" s="176" t="s">
        <v>205</v>
      </c>
      <c r="AI440" s="272">
        <v>40</v>
      </c>
      <c r="AJ440" s="271">
        <v>80</v>
      </c>
      <c r="AK440" s="260"/>
      <c r="AL440" s="260"/>
      <c r="AM440" s="260"/>
      <c r="AN440" s="260"/>
      <c r="AO440" s="260"/>
      <c r="AP440" s="260"/>
      <c r="AQ440" s="260"/>
      <c r="AR440" s="260"/>
      <c r="AS440" s="260"/>
      <c r="AT440" s="260"/>
      <c r="AU440" s="260">
        <v>1280</v>
      </c>
      <c r="AV440" s="271">
        <v>1280</v>
      </c>
      <c r="AW440" s="260">
        <v>640</v>
      </c>
      <c r="AX440" s="271">
        <v>1280</v>
      </c>
      <c r="AY440" s="260">
        <v>1280</v>
      </c>
      <c r="AZ440" s="271">
        <v>1280</v>
      </c>
      <c r="BA440" s="276">
        <v>1280</v>
      </c>
      <c r="BB440" s="276">
        <v>1280</v>
      </c>
      <c r="BC440" s="276"/>
      <c r="BD440" s="276"/>
      <c r="BE440" s="276">
        <v>320</v>
      </c>
      <c r="BF440" s="276">
        <v>320</v>
      </c>
      <c r="BG440" s="260">
        <v>1280</v>
      </c>
      <c r="BH440" s="271">
        <v>640</v>
      </c>
      <c r="BI440" s="276"/>
      <c r="BJ440" s="276"/>
      <c r="BK440" s="276"/>
      <c r="BL440" s="275"/>
      <c r="BM440" s="274" t="s">
        <v>205</v>
      </c>
      <c r="BN440" s="272">
        <v>80</v>
      </c>
      <c r="BO440" s="270">
        <v>80</v>
      </c>
      <c r="BP440" s="272"/>
      <c r="BQ440" s="260"/>
      <c r="BR440" s="260"/>
      <c r="BS440" s="260"/>
      <c r="BT440" s="260"/>
      <c r="BU440" s="260"/>
      <c r="BV440" s="260">
        <v>80</v>
      </c>
      <c r="BW440" s="260">
        <v>80</v>
      </c>
      <c r="BX440" s="260"/>
      <c r="BY440" s="260"/>
      <c r="BZ440" s="260"/>
      <c r="CA440" s="260"/>
      <c r="CB440" s="260"/>
      <c r="CC440" s="260"/>
      <c r="CD440" s="260">
        <v>80</v>
      </c>
      <c r="CE440" s="260">
        <v>80</v>
      </c>
      <c r="CF440" s="272"/>
      <c r="CG440" s="260"/>
      <c r="CH440" s="260"/>
      <c r="CI440" s="260"/>
      <c r="CJ440" s="260"/>
      <c r="CK440" s="260"/>
      <c r="CL440" s="260"/>
      <c r="CM440" s="260"/>
      <c r="CN440" s="260">
        <v>80</v>
      </c>
      <c r="CO440" s="260">
        <v>80</v>
      </c>
      <c r="CP440" s="260">
        <v>80</v>
      </c>
      <c r="CQ440" s="260">
        <v>80</v>
      </c>
      <c r="CR440" s="260">
        <v>40</v>
      </c>
      <c r="CS440" s="270">
        <v>80</v>
      </c>
      <c r="CT440" s="269" t="s">
        <v>205</v>
      </c>
      <c r="CU440" s="249">
        <f>Table2821115[[#This Row],[D28 - BR/18]]/Table2821115[[#This Row],[D0 - BR/18]]</f>
        <v>0.5</v>
      </c>
      <c r="CV440" s="248">
        <f>Table2821115[[#This Row],[D28 - KS/17]]/Table2821115[[#This Row],[D0 - KS/17]]</f>
        <v>1</v>
      </c>
      <c r="CW440" s="248">
        <f>Table2821115[[#This Row],[D28 - Phu/13]]/Table2821115[[#This Row],[D0 - Phu/13]]</f>
        <v>1</v>
      </c>
      <c r="CX440" s="248">
        <f>Table2821115[[#This Row],[D28 - CO/17]]/Table2821115[[#This Row],[D0 - CO/17]]</f>
        <v>1</v>
      </c>
      <c r="CY440" s="248">
        <f>LOG(Table2821115[[#This Row],[BR/18 Fold]],2)</f>
        <v>-1</v>
      </c>
      <c r="CZ440" s="248">
        <f>LOG(Table2821115[[#This Row],[KS/17 Fold]],2)</f>
        <v>0</v>
      </c>
      <c r="DA440" s="248">
        <f>LOG(Table2821115[[#This Row],[Phu/13 Fold]],2)</f>
        <v>0</v>
      </c>
      <c r="DB440" s="248">
        <f>LOG(Table2821115[[#This Row],[CO/17 Fold]],2)</f>
        <v>0</v>
      </c>
      <c r="DC440" s="248">
        <f>SUM(Table2821115[[#This Row],[BR/18 Log2]:[CO/17 Log2]])</f>
        <v>-1</v>
      </c>
    </row>
    <row r="441" spans="1:107" ht="24" customHeight="1">
      <c r="A441" s="278" t="s">
        <v>206</v>
      </c>
      <c r="B441" s="145">
        <v>38570</v>
      </c>
      <c r="C441" s="145">
        <v>43789</v>
      </c>
      <c r="D441" s="144">
        <v>14</v>
      </c>
      <c r="E441" s="4" t="s">
        <v>58</v>
      </c>
      <c r="F441" s="143" t="s">
        <v>116</v>
      </c>
      <c r="G441" s="142">
        <v>18.375544347170869</v>
      </c>
      <c r="H441" s="11" t="s">
        <v>59</v>
      </c>
      <c r="I441" s="281" t="s">
        <v>60</v>
      </c>
      <c r="J441" s="260">
        <v>5</v>
      </c>
      <c r="K441" s="260">
        <v>5</v>
      </c>
      <c r="L441" s="260"/>
      <c r="M441" s="260"/>
      <c r="N441" s="260"/>
      <c r="O441" s="260"/>
      <c r="P441" s="260"/>
      <c r="Q441" s="260"/>
      <c r="R441" s="260"/>
      <c r="S441" s="260"/>
      <c r="T441" s="260"/>
      <c r="U441" s="260"/>
      <c r="V441" s="260">
        <v>5</v>
      </c>
      <c r="W441" s="260">
        <v>5</v>
      </c>
      <c r="X441" s="260">
        <v>160</v>
      </c>
      <c r="Y441" s="260">
        <v>160</v>
      </c>
      <c r="Z441" s="260">
        <v>160</v>
      </c>
      <c r="AA441" s="260">
        <v>320</v>
      </c>
      <c r="AB441" s="260">
        <v>160</v>
      </c>
      <c r="AC441" s="260">
        <v>160</v>
      </c>
      <c r="AD441" s="260"/>
      <c r="AE441" s="260"/>
      <c r="AF441" s="260"/>
      <c r="AG441" s="260"/>
      <c r="AH441" s="176" t="s">
        <v>206</v>
      </c>
      <c r="AI441" s="272">
        <v>5</v>
      </c>
      <c r="AJ441" s="271">
        <v>5</v>
      </c>
      <c r="AK441" s="260"/>
      <c r="AL441" s="260"/>
      <c r="AM441" s="260"/>
      <c r="AN441" s="260"/>
      <c r="AO441" s="260"/>
      <c r="AP441" s="260"/>
      <c r="AQ441" s="260"/>
      <c r="AR441" s="260"/>
      <c r="AS441" s="260"/>
      <c r="AT441" s="260"/>
      <c r="AU441" s="260">
        <v>160</v>
      </c>
      <c r="AV441" s="271">
        <v>640</v>
      </c>
      <c r="AW441" s="260">
        <v>320</v>
      </c>
      <c r="AX441" s="271">
        <v>1280</v>
      </c>
      <c r="AY441" s="260">
        <v>160</v>
      </c>
      <c r="AZ441" s="271">
        <v>1280</v>
      </c>
      <c r="BA441" s="276">
        <v>160</v>
      </c>
      <c r="BB441" s="276">
        <v>1280</v>
      </c>
      <c r="BC441" s="276"/>
      <c r="BD441" s="276"/>
      <c r="BE441" s="276">
        <v>20</v>
      </c>
      <c r="BF441" s="276">
        <v>320</v>
      </c>
      <c r="BG441" s="260">
        <v>320</v>
      </c>
      <c r="BH441" s="271">
        <v>1280</v>
      </c>
      <c r="BI441" s="276"/>
      <c r="BJ441" s="276"/>
      <c r="BK441" s="276"/>
      <c r="BL441" s="275"/>
      <c r="BM441" s="274" t="s">
        <v>206</v>
      </c>
      <c r="BN441" s="272">
        <v>5</v>
      </c>
      <c r="BO441" s="270">
        <v>20</v>
      </c>
      <c r="BP441" s="272"/>
      <c r="BQ441" s="260"/>
      <c r="BR441" s="260"/>
      <c r="BS441" s="260"/>
      <c r="BT441" s="260"/>
      <c r="BU441" s="260"/>
      <c r="BV441" s="260">
        <v>5</v>
      </c>
      <c r="BW441" s="260">
        <v>160</v>
      </c>
      <c r="BX441" s="260"/>
      <c r="BY441" s="260"/>
      <c r="BZ441" s="260"/>
      <c r="CA441" s="260"/>
      <c r="CB441" s="260"/>
      <c r="CC441" s="260"/>
      <c r="CD441" s="260">
        <v>20</v>
      </c>
      <c r="CE441" s="260">
        <v>160</v>
      </c>
      <c r="CF441" s="272"/>
      <c r="CG441" s="260"/>
      <c r="CH441" s="260"/>
      <c r="CI441" s="260"/>
      <c r="CJ441" s="260"/>
      <c r="CK441" s="260"/>
      <c r="CL441" s="260"/>
      <c r="CM441" s="260"/>
      <c r="CN441" s="260">
        <v>80</v>
      </c>
      <c r="CO441" s="260">
        <v>160</v>
      </c>
      <c r="CP441" s="260">
        <v>40</v>
      </c>
      <c r="CQ441" s="260">
        <v>80</v>
      </c>
      <c r="CR441" s="260">
        <v>40</v>
      </c>
      <c r="CS441" s="270">
        <v>80</v>
      </c>
      <c r="CT441" s="269" t="s">
        <v>206</v>
      </c>
      <c r="CU441" s="249">
        <f>Table2821115[[#This Row],[D28 - BR/18]]/Table2821115[[#This Row],[D0 - BR/18]]</f>
        <v>1</v>
      </c>
      <c r="CV441" s="248">
        <f>Table2821115[[#This Row],[D28 - KS/17]]/Table2821115[[#This Row],[D0 - KS/17]]</f>
        <v>16</v>
      </c>
      <c r="CW441" s="248">
        <f>Table2821115[[#This Row],[D28 - Phu/13]]/Table2821115[[#This Row],[D0 - Phu/13]]</f>
        <v>8</v>
      </c>
      <c r="CX441" s="248">
        <f>Table2821115[[#This Row],[D28 - CO/17]]/Table2821115[[#This Row],[D0 - CO/17]]</f>
        <v>2</v>
      </c>
      <c r="CY441" s="248">
        <f>LOG(Table2821115[[#This Row],[BR/18 Fold]],2)</f>
        <v>0</v>
      </c>
      <c r="CZ441" s="248">
        <f>LOG(Table2821115[[#This Row],[KS/17 Fold]],2)</f>
        <v>4</v>
      </c>
      <c r="DA441" s="248">
        <f>LOG(Table2821115[[#This Row],[Phu/13 Fold]],2)</f>
        <v>3</v>
      </c>
      <c r="DB441" s="248">
        <f>LOG(Table2821115[[#This Row],[CO/17 Fold]],2)</f>
        <v>1</v>
      </c>
      <c r="DC441" s="248">
        <f>SUM(Table2821115[[#This Row],[BR/18 Log2]:[CO/17 Log2]])</f>
        <v>8</v>
      </c>
    </row>
    <row r="442" spans="1:107" ht="24" customHeight="1">
      <c r="A442" s="298" t="s">
        <v>207</v>
      </c>
      <c r="B442" s="297">
        <v>37347</v>
      </c>
      <c r="C442" s="297">
        <v>43762</v>
      </c>
      <c r="D442" s="296">
        <v>17</v>
      </c>
      <c r="E442" s="295" t="s">
        <v>61</v>
      </c>
      <c r="F442" s="294" t="s">
        <v>116</v>
      </c>
      <c r="G442" s="293">
        <v>19.7690672116053</v>
      </c>
      <c r="H442" s="292" t="s">
        <v>59</v>
      </c>
      <c r="I442" s="291" t="s">
        <v>60</v>
      </c>
      <c r="J442" s="285">
        <v>5</v>
      </c>
      <c r="K442" s="286">
        <v>5</v>
      </c>
      <c r="L442" s="285"/>
      <c r="M442" s="286"/>
      <c r="N442" s="286"/>
      <c r="O442" s="286"/>
      <c r="P442" s="286"/>
      <c r="Q442" s="286"/>
      <c r="R442" s="286"/>
      <c r="S442" s="286"/>
      <c r="T442" s="286"/>
      <c r="U442" s="286"/>
      <c r="V442" s="285">
        <v>5</v>
      </c>
      <c r="W442" s="286">
        <v>5</v>
      </c>
      <c r="X442" s="285">
        <v>160</v>
      </c>
      <c r="Y442" s="286">
        <v>80</v>
      </c>
      <c r="Z442" s="285">
        <v>160</v>
      </c>
      <c r="AA442" s="286">
        <v>160</v>
      </c>
      <c r="AB442" s="285">
        <v>160</v>
      </c>
      <c r="AC442" s="286">
        <v>160</v>
      </c>
      <c r="AD442" s="285"/>
      <c r="AE442" s="286"/>
      <c r="AF442" s="260"/>
      <c r="AG442" s="260"/>
      <c r="AH442" s="290" t="s">
        <v>207</v>
      </c>
      <c r="AI442" s="288">
        <v>5</v>
      </c>
      <c r="AJ442" s="285">
        <v>20</v>
      </c>
      <c r="AK442" s="286"/>
      <c r="AL442" s="286"/>
      <c r="AM442" s="286"/>
      <c r="AN442" s="286"/>
      <c r="AO442" s="286"/>
      <c r="AP442" s="286"/>
      <c r="AQ442" s="286"/>
      <c r="AR442" s="286"/>
      <c r="AS442" s="286"/>
      <c r="AT442" s="286"/>
      <c r="AU442" s="285">
        <v>80</v>
      </c>
      <c r="AV442" s="285">
        <v>320</v>
      </c>
      <c r="AW442" s="285">
        <v>40</v>
      </c>
      <c r="AX442" s="285">
        <v>320</v>
      </c>
      <c r="AY442" s="285">
        <v>40</v>
      </c>
      <c r="AZ442" s="285">
        <v>160</v>
      </c>
      <c r="BA442" s="276">
        <v>40</v>
      </c>
      <c r="BB442" s="276">
        <v>160</v>
      </c>
      <c r="BC442" s="276"/>
      <c r="BD442" s="276"/>
      <c r="BE442" s="276">
        <v>10</v>
      </c>
      <c r="BF442" s="276">
        <v>320</v>
      </c>
      <c r="BG442" s="260">
        <v>80</v>
      </c>
      <c r="BH442" s="271">
        <v>160</v>
      </c>
      <c r="BI442" s="276"/>
      <c r="BJ442" s="276"/>
      <c r="BK442" s="276"/>
      <c r="BL442" s="275"/>
      <c r="BM442" s="289" t="s">
        <v>207</v>
      </c>
      <c r="BN442" s="288">
        <v>40</v>
      </c>
      <c r="BO442" s="284">
        <v>40</v>
      </c>
      <c r="BP442" s="287"/>
      <c r="BQ442" s="286"/>
      <c r="BR442" s="286"/>
      <c r="BS442" s="286"/>
      <c r="BT442" s="286"/>
      <c r="BU442" s="286"/>
      <c r="BV442" s="285">
        <v>160</v>
      </c>
      <c r="BW442" s="286">
        <v>320</v>
      </c>
      <c r="BX442" s="286"/>
      <c r="BY442" s="286"/>
      <c r="BZ442" s="286"/>
      <c r="CA442" s="286"/>
      <c r="CB442" s="285"/>
      <c r="CC442" s="286"/>
      <c r="CD442" s="285">
        <v>80</v>
      </c>
      <c r="CE442" s="286">
        <v>80</v>
      </c>
      <c r="CF442" s="287"/>
      <c r="CG442" s="286"/>
      <c r="CH442" s="286"/>
      <c r="CI442" s="286"/>
      <c r="CJ442" s="286"/>
      <c r="CK442" s="286"/>
      <c r="CL442" s="286"/>
      <c r="CM442" s="286"/>
      <c r="CN442" s="285">
        <v>80</v>
      </c>
      <c r="CO442" s="286">
        <v>80</v>
      </c>
      <c r="CP442" s="285">
        <v>80</v>
      </c>
      <c r="CQ442" s="286">
        <v>80</v>
      </c>
      <c r="CR442" s="285">
        <v>80</v>
      </c>
      <c r="CS442" s="284">
        <v>80</v>
      </c>
      <c r="CT442" s="283" t="s">
        <v>207</v>
      </c>
      <c r="CU442" s="249">
        <f>Table2821115[[#This Row],[D28 - BR/18]]/Table2821115[[#This Row],[D0 - BR/18]]</f>
        <v>1</v>
      </c>
      <c r="CV442" s="248">
        <f>Table2821115[[#This Row],[D28 - KS/17]]/Table2821115[[#This Row],[D0 - KS/17]]</f>
        <v>32</v>
      </c>
      <c r="CW442" s="248">
        <f>Table2821115[[#This Row],[D28 - Phu/13]]/Table2821115[[#This Row],[D0 - Phu/13]]</f>
        <v>1</v>
      </c>
      <c r="CX442" s="248">
        <f>Table2821115[[#This Row],[D28 - CO/17]]/Table2821115[[#This Row],[D0 - CO/17]]</f>
        <v>1</v>
      </c>
      <c r="CY442" s="248">
        <f>LOG(Table2821115[[#This Row],[BR/18 Fold]],2)</f>
        <v>0</v>
      </c>
      <c r="CZ442" s="248">
        <f>LOG(Table2821115[[#This Row],[KS/17 Fold]],2)</f>
        <v>5</v>
      </c>
      <c r="DA442" s="248">
        <f>LOG(Table2821115[[#This Row],[Phu/13 Fold]],2)</f>
        <v>0</v>
      </c>
      <c r="DB442" s="248">
        <f>LOG(Table2821115[[#This Row],[CO/17 Fold]],2)</f>
        <v>0</v>
      </c>
      <c r="DC442" s="248">
        <f>SUM(Table2821115[[#This Row],[BR/18 Log2]:[CO/17 Log2]])</f>
        <v>5</v>
      </c>
    </row>
    <row r="443" spans="1:107" ht="24" customHeight="1">
      <c r="A443" s="282" t="s">
        <v>208</v>
      </c>
      <c r="B443" s="151">
        <v>37347</v>
      </c>
      <c r="C443" s="151">
        <v>43762</v>
      </c>
      <c r="D443" s="150">
        <v>17</v>
      </c>
      <c r="E443" s="4" t="s">
        <v>58</v>
      </c>
      <c r="F443" s="143" t="s">
        <v>116</v>
      </c>
      <c r="G443" s="142">
        <v>21.068865308969876</v>
      </c>
      <c r="H443" s="11" t="s">
        <v>59</v>
      </c>
      <c r="I443" s="281" t="s">
        <v>60</v>
      </c>
      <c r="J443" s="271">
        <v>5</v>
      </c>
      <c r="K443" s="260">
        <v>5</v>
      </c>
      <c r="L443" s="271"/>
      <c r="M443" s="260"/>
      <c r="N443" s="260"/>
      <c r="O443" s="260"/>
      <c r="P443" s="260"/>
      <c r="Q443" s="260"/>
      <c r="R443" s="260"/>
      <c r="S443" s="260"/>
      <c r="T443" s="260"/>
      <c r="U443" s="260"/>
      <c r="V443" s="271">
        <v>5</v>
      </c>
      <c r="W443" s="260">
        <v>5</v>
      </c>
      <c r="X443" s="271">
        <v>40</v>
      </c>
      <c r="Y443" s="260">
        <v>40</v>
      </c>
      <c r="Z443" s="271">
        <v>80</v>
      </c>
      <c r="AA443" s="260">
        <v>80</v>
      </c>
      <c r="AB443" s="271">
        <v>40</v>
      </c>
      <c r="AC443" s="260">
        <v>80</v>
      </c>
      <c r="AD443" s="271"/>
      <c r="AE443" s="260"/>
      <c r="AF443" s="260"/>
      <c r="AG443" s="260"/>
      <c r="AH443" s="174" t="s">
        <v>208</v>
      </c>
      <c r="AI443" s="273">
        <v>10</v>
      </c>
      <c r="AJ443" s="271">
        <v>10</v>
      </c>
      <c r="AK443" s="260"/>
      <c r="AL443" s="260"/>
      <c r="AM443" s="260"/>
      <c r="AN443" s="260"/>
      <c r="AO443" s="260"/>
      <c r="AP443" s="260"/>
      <c r="AQ443" s="260"/>
      <c r="AR443" s="260"/>
      <c r="AS443" s="260"/>
      <c r="AT443" s="260"/>
      <c r="AU443" s="271">
        <v>160</v>
      </c>
      <c r="AV443" s="271">
        <v>160</v>
      </c>
      <c r="AW443" s="271">
        <v>160</v>
      </c>
      <c r="AX443" s="271">
        <v>160</v>
      </c>
      <c r="AY443" s="271">
        <v>80</v>
      </c>
      <c r="AZ443" s="271">
        <v>80</v>
      </c>
      <c r="BA443" s="276">
        <v>80</v>
      </c>
      <c r="BB443" s="276">
        <v>80</v>
      </c>
      <c r="BC443" s="276"/>
      <c r="BD443" s="276"/>
      <c r="BE443" s="276">
        <v>40</v>
      </c>
      <c r="BF443" s="276">
        <v>40</v>
      </c>
      <c r="BG443" s="260">
        <v>80</v>
      </c>
      <c r="BH443" s="271">
        <v>80</v>
      </c>
      <c r="BI443" s="276"/>
      <c r="BJ443" s="276"/>
      <c r="BK443" s="276"/>
      <c r="BL443" s="275"/>
      <c r="BM443" s="280" t="s">
        <v>208</v>
      </c>
      <c r="BN443" s="273">
        <v>320</v>
      </c>
      <c r="BO443" s="270">
        <v>320</v>
      </c>
      <c r="BP443" s="272"/>
      <c r="BQ443" s="260"/>
      <c r="BR443" s="260"/>
      <c r="BS443" s="260"/>
      <c r="BT443" s="260"/>
      <c r="BU443" s="260"/>
      <c r="BV443" s="271">
        <v>160</v>
      </c>
      <c r="BW443" s="260">
        <v>320</v>
      </c>
      <c r="BX443" s="260"/>
      <c r="BY443" s="260"/>
      <c r="BZ443" s="260"/>
      <c r="CA443" s="260"/>
      <c r="CB443" s="271"/>
      <c r="CC443" s="260"/>
      <c r="CD443" s="271">
        <v>80</v>
      </c>
      <c r="CE443" s="260">
        <v>160</v>
      </c>
      <c r="CF443" s="272"/>
      <c r="CG443" s="260"/>
      <c r="CH443" s="260"/>
      <c r="CI443" s="260"/>
      <c r="CJ443" s="260"/>
      <c r="CK443" s="260"/>
      <c r="CL443" s="260"/>
      <c r="CM443" s="260"/>
      <c r="CN443" s="271">
        <v>160</v>
      </c>
      <c r="CO443" s="260">
        <v>160</v>
      </c>
      <c r="CP443" s="271">
        <v>160</v>
      </c>
      <c r="CQ443" s="260">
        <v>160</v>
      </c>
      <c r="CR443" s="271">
        <v>160</v>
      </c>
      <c r="CS443" s="270">
        <v>160</v>
      </c>
      <c r="CT443" s="279" t="s">
        <v>208</v>
      </c>
      <c r="CU443" s="249">
        <f>Table2821115[[#This Row],[D28 - BR/18]]/Table2821115[[#This Row],[D0 - BR/18]]</f>
        <v>2</v>
      </c>
      <c r="CV443" s="248">
        <f>Table2821115[[#This Row],[D28 - KS/17]]/Table2821115[[#This Row],[D0 - KS/17]]</f>
        <v>1</v>
      </c>
      <c r="CW443" s="248">
        <f>Table2821115[[#This Row],[D28 - Phu/13]]/Table2821115[[#This Row],[D0 - Phu/13]]</f>
        <v>2</v>
      </c>
      <c r="CX443" s="248">
        <f>Table2821115[[#This Row],[D28 - CO/17]]/Table2821115[[#This Row],[D0 - CO/17]]</f>
        <v>1</v>
      </c>
      <c r="CY443" s="248">
        <f>LOG(Table2821115[[#This Row],[BR/18 Fold]],2)</f>
        <v>1</v>
      </c>
      <c r="CZ443" s="248">
        <f>LOG(Table2821115[[#This Row],[KS/17 Fold]],2)</f>
        <v>0</v>
      </c>
      <c r="DA443" s="248">
        <f>LOG(Table2821115[[#This Row],[Phu/13 Fold]],2)</f>
        <v>1</v>
      </c>
      <c r="DB443" s="248">
        <f>LOG(Table2821115[[#This Row],[CO/17 Fold]],2)</f>
        <v>0</v>
      </c>
      <c r="DC443" s="248">
        <f>SUM(Table2821115[[#This Row],[BR/18 Log2]:[CO/17 Log2]])</f>
        <v>2</v>
      </c>
    </row>
    <row r="444" spans="1:107" ht="24" customHeight="1">
      <c r="A444" s="282" t="s">
        <v>209</v>
      </c>
      <c r="B444" s="151">
        <v>37813</v>
      </c>
      <c r="C444" s="151">
        <v>43774</v>
      </c>
      <c r="D444" s="150">
        <v>16</v>
      </c>
      <c r="E444" s="3" t="s">
        <v>61</v>
      </c>
      <c r="F444" s="143" t="s">
        <v>116</v>
      </c>
      <c r="G444" s="142">
        <v>21.911552635795545</v>
      </c>
      <c r="H444" s="11" t="s">
        <v>59</v>
      </c>
      <c r="I444" s="281" t="s">
        <v>60</v>
      </c>
      <c r="J444" s="271">
        <v>5</v>
      </c>
      <c r="K444" s="260">
        <v>5</v>
      </c>
      <c r="L444" s="271"/>
      <c r="M444" s="260"/>
      <c r="N444" s="260"/>
      <c r="O444" s="260"/>
      <c r="P444" s="260"/>
      <c r="Q444" s="260"/>
      <c r="R444" s="260"/>
      <c r="S444" s="260"/>
      <c r="T444" s="260"/>
      <c r="U444" s="260"/>
      <c r="V444" s="271">
        <v>5</v>
      </c>
      <c r="W444" s="260">
        <v>5</v>
      </c>
      <c r="X444" s="271">
        <v>80</v>
      </c>
      <c r="Y444" s="260">
        <v>80</v>
      </c>
      <c r="Z444" s="271">
        <v>160</v>
      </c>
      <c r="AA444" s="260">
        <v>160</v>
      </c>
      <c r="AB444" s="271">
        <v>80</v>
      </c>
      <c r="AC444" s="260">
        <v>80</v>
      </c>
      <c r="AD444" s="271"/>
      <c r="AE444" s="260"/>
      <c r="AF444" s="260"/>
      <c r="AG444" s="260"/>
      <c r="AH444" s="174" t="s">
        <v>209</v>
      </c>
      <c r="AI444" s="273">
        <v>20</v>
      </c>
      <c r="AJ444" s="271">
        <v>20</v>
      </c>
      <c r="AK444" s="260"/>
      <c r="AL444" s="260"/>
      <c r="AM444" s="260"/>
      <c r="AN444" s="260"/>
      <c r="AO444" s="260"/>
      <c r="AP444" s="260"/>
      <c r="AQ444" s="260"/>
      <c r="AR444" s="260"/>
      <c r="AS444" s="260"/>
      <c r="AT444" s="260"/>
      <c r="AU444" s="271">
        <v>320</v>
      </c>
      <c r="AV444" s="271">
        <v>640</v>
      </c>
      <c r="AW444" s="271">
        <v>160</v>
      </c>
      <c r="AX444" s="271">
        <v>160</v>
      </c>
      <c r="AY444" s="271">
        <v>320</v>
      </c>
      <c r="AZ444" s="271">
        <v>320</v>
      </c>
      <c r="BA444" s="276">
        <v>320</v>
      </c>
      <c r="BB444" s="276">
        <v>320</v>
      </c>
      <c r="BC444" s="276"/>
      <c r="BD444" s="276"/>
      <c r="BE444" s="276">
        <v>40</v>
      </c>
      <c r="BF444" s="276">
        <v>80</v>
      </c>
      <c r="BG444" s="260">
        <v>320</v>
      </c>
      <c r="BH444" s="271">
        <v>320</v>
      </c>
      <c r="BI444" s="276"/>
      <c r="BJ444" s="276"/>
      <c r="BK444" s="276"/>
      <c r="BL444" s="275"/>
      <c r="BM444" s="280" t="s">
        <v>209</v>
      </c>
      <c r="BN444" s="273">
        <v>5</v>
      </c>
      <c r="BO444" s="270">
        <v>10</v>
      </c>
      <c r="BP444" s="272"/>
      <c r="BQ444" s="260"/>
      <c r="BR444" s="260"/>
      <c r="BS444" s="260"/>
      <c r="BT444" s="260"/>
      <c r="BU444" s="260"/>
      <c r="BV444" s="271">
        <v>5</v>
      </c>
      <c r="BW444" s="260">
        <v>5</v>
      </c>
      <c r="BX444" s="260"/>
      <c r="BY444" s="260"/>
      <c r="BZ444" s="260"/>
      <c r="CA444" s="260"/>
      <c r="CB444" s="271"/>
      <c r="CC444" s="260"/>
      <c r="CD444" s="271">
        <v>10</v>
      </c>
      <c r="CE444" s="260">
        <v>40</v>
      </c>
      <c r="CF444" s="272"/>
      <c r="CG444" s="260"/>
      <c r="CH444" s="260"/>
      <c r="CI444" s="260"/>
      <c r="CJ444" s="260"/>
      <c r="CK444" s="260"/>
      <c r="CL444" s="260"/>
      <c r="CM444" s="260"/>
      <c r="CN444" s="271">
        <v>10</v>
      </c>
      <c r="CO444" s="260">
        <v>20</v>
      </c>
      <c r="CP444" s="271">
        <v>20</v>
      </c>
      <c r="CQ444" s="260">
        <v>20</v>
      </c>
      <c r="CR444" s="271">
        <v>20</v>
      </c>
      <c r="CS444" s="270">
        <v>20</v>
      </c>
      <c r="CT444" s="279" t="s">
        <v>209</v>
      </c>
      <c r="CU444" s="249">
        <f>Table2821115[[#This Row],[D28 - BR/18]]/Table2821115[[#This Row],[D0 - BR/18]]</f>
        <v>1</v>
      </c>
      <c r="CV444" s="248">
        <f>Table2821115[[#This Row],[D28 - KS/17]]/Table2821115[[#This Row],[D0 - KS/17]]</f>
        <v>2</v>
      </c>
      <c r="CW444" s="248">
        <f>Table2821115[[#This Row],[D28 - Phu/13]]/Table2821115[[#This Row],[D0 - Phu/13]]</f>
        <v>4</v>
      </c>
      <c r="CX444" s="248">
        <f>Table2821115[[#This Row],[D28 - CO/17]]/Table2821115[[#This Row],[D0 - CO/17]]</f>
        <v>1</v>
      </c>
      <c r="CY444" s="248">
        <f>LOG(Table2821115[[#This Row],[BR/18 Fold]],2)</f>
        <v>0</v>
      </c>
      <c r="CZ444" s="248">
        <f>LOG(Table2821115[[#This Row],[KS/17 Fold]],2)</f>
        <v>1</v>
      </c>
      <c r="DA444" s="248">
        <f>LOG(Table2821115[[#This Row],[Phu/13 Fold]],2)</f>
        <v>2</v>
      </c>
      <c r="DB444" s="248">
        <f>LOG(Table2821115[[#This Row],[CO/17 Fold]],2)</f>
        <v>0</v>
      </c>
      <c r="DC444" s="248">
        <f>SUM(Table2821115[[#This Row],[BR/18 Log2]:[CO/17 Log2]])</f>
        <v>3</v>
      </c>
    </row>
    <row r="445" spans="1:107" ht="24" customHeight="1">
      <c r="A445" s="282" t="s">
        <v>210</v>
      </c>
      <c r="B445" s="151">
        <v>37538</v>
      </c>
      <c r="C445" s="151">
        <v>43773</v>
      </c>
      <c r="D445" s="150">
        <v>17</v>
      </c>
      <c r="E445" s="3" t="s">
        <v>61</v>
      </c>
      <c r="F445" s="143" t="s">
        <v>116</v>
      </c>
      <c r="G445" s="142">
        <v>21.162363710723017</v>
      </c>
      <c r="H445" s="11" t="s">
        <v>59</v>
      </c>
      <c r="I445" s="281" t="s">
        <v>60</v>
      </c>
      <c r="J445" s="271">
        <v>5</v>
      </c>
      <c r="K445" s="260">
        <v>5</v>
      </c>
      <c r="L445" s="271"/>
      <c r="M445" s="260"/>
      <c r="N445" s="260"/>
      <c r="O445" s="260"/>
      <c r="P445" s="260"/>
      <c r="Q445" s="260"/>
      <c r="R445" s="260"/>
      <c r="S445" s="260"/>
      <c r="T445" s="260"/>
      <c r="U445" s="260"/>
      <c r="V445" s="271">
        <v>5</v>
      </c>
      <c r="W445" s="260">
        <v>10</v>
      </c>
      <c r="X445" s="271">
        <v>80</v>
      </c>
      <c r="Y445" s="260">
        <v>160</v>
      </c>
      <c r="Z445" s="271">
        <v>160</v>
      </c>
      <c r="AA445" s="260">
        <v>160</v>
      </c>
      <c r="AB445" s="271">
        <v>80</v>
      </c>
      <c r="AC445" s="260">
        <v>80</v>
      </c>
      <c r="AD445" s="271"/>
      <c r="AE445" s="260"/>
      <c r="AF445" s="260"/>
      <c r="AG445" s="260"/>
      <c r="AH445" s="174" t="s">
        <v>210</v>
      </c>
      <c r="AI445" s="273">
        <v>5</v>
      </c>
      <c r="AJ445" s="271">
        <v>5</v>
      </c>
      <c r="AK445" s="260"/>
      <c r="AL445" s="260"/>
      <c r="AM445" s="260"/>
      <c r="AN445" s="260"/>
      <c r="AO445" s="260"/>
      <c r="AP445" s="260"/>
      <c r="AQ445" s="260"/>
      <c r="AR445" s="260"/>
      <c r="AS445" s="260"/>
      <c r="AT445" s="260"/>
      <c r="AU445" s="271">
        <v>160</v>
      </c>
      <c r="AV445" s="271">
        <v>320</v>
      </c>
      <c r="AW445" s="271">
        <v>160</v>
      </c>
      <c r="AX445" s="271">
        <v>160</v>
      </c>
      <c r="AY445" s="271">
        <v>80</v>
      </c>
      <c r="AZ445" s="271">
        <v>160</v>
      </c>
      <c r="BA445" s="276">
        <v>160</v>
      </c>
      <c r="BB445" s="276">
        <v>160</v>
      </c>
      <c r="BC445" s="276"/>
      <c r="BD445" s="276"/>
      <c r="BE445" s="276">
        <v>40</v>
      </c>
      <c r="BF445" s="276">
        <v>80</v>
      </c>
      <c r="BG445" s="260">
        <v>160</v>
      </c>
      <c r="BH445" s="271">
        <v>160</v>
      </c>
      <c r="BI445" s="276"/>
      <c r="BJ445" s="276"/>
      <c r="BK445" s="276"/>
      <c r="BL445" s="275"/>
      <c r="BM445" s="280" t="s">
        <v>210</v>
      </c>
      <c r="BN445" s="273">
        <v>40</v>
      </c>
      <c r="BO445" s="270">
        <v>40</v>
      </c>
      <c r="BP445" s="272"/>
      <c r="BQ445" s="260"/>
      <c r="BR445" s="260"/>
      <c r="BS445" s="260"/>
      <c r="BT445" s="260"/>
      <c r="BU445" s="260"/>
      <c r="BV445" s="271">
        <v>5</v>
      </c>
      <c r="BW445" s="260">
        <v>5</v>
      </c>
      <c r="BX445" s="260"/>
      <c r="BY445" s="260"/>
      <c r="BZ445" s="260"/>
      <c r="CA445" s="260"/>
      <c r="CB445" s="271"/>
      <c r="CC445" s="260"/>
      <c r="CD445" s="271">
        <v>40</v>
      </c>
      <c r="CE445" s="260">
        <v>80</v>
      </c>
      <c r="CF445" s="272"/>
      <c r="CG445" s="260"/>
      <c r="CH445" s="260"/>
      <c r="CI445" s="260"/>
      <c r="CJ445" s="260"/>
      <c r="CK445" s="260"/>
      <c r="CL445" s="260"/>
      <c r="CM445" s="260"/>
      <c r="CN445" s="271">
        <v>40</v>
      </c>
      <c r="CO445" s="260">
        <v>80</v>
      </c>
      <c r="CP445" s="271">
        <v>80</v>
      </c>
      <c r="CQ445" s="260">
        <v>80</v>
      </c>
      <c r="CR445" s="271">
        <v>80</v>
      </c>
      <c r="CS445" s="270">
        <v>160</v>
      </c>
      <c r="CT445" s="279" t="s">
        <v>210</v>
      </c>
      <c r="CU445" s="249">
        <f>Table2821115[[#This Row],[D28 - BR/18]]/Table2821115[[#This Row],[D0 - BR/18]]</f>
        <v>1</v>
      </c>
      <c r="CV445" s="248">
        <f>Table2821115[[#This Row],[D28 - KS/17]]/Table2821115[[#This Row],[D0 - KS/17]]</f>
        <v>2</v>
      </c>
      <c r="CW445" s="248">
        <f>Table2821115[[#This Row],[D28 - Phu/13]]/Table2821115[[#This Row],[D0 - Phu/13]]</f>
        <v>2</v>
      </c>
      <c r="CX445" s="248">
        <f>Table2821115[[#This Row],[D28 - CO/17]]/Table2821115[[#This Row],[D0 - CO/17]]</f>
        <v>1</v>
      </c>
      <c r="CY445" s="248">
        <f>LOG(Table2821115[[#This Row],[BR/18 Fold]],2)</f>
        <v>0</v>
      </c>
      <c r="CZ445" s="248">
        <f>LOG(Table2821115[[#This Row],[KS/17 Fold]],2)</f>
        <v>1</v>
      </c>
      <c r="DA445" s="248">
        <f>LOG(Table2821115[[#This Row],[Phu/13 Fold]],2)</f>
        <v>1</v>
      </c>
      <c r="DB445" s="248">
        <f>LOG(Table2821115[[#This Row],[CO/17 Fold]],2)</f>
        <v>0</v>
      </c>
      <c r="DC445" s="248">
        <f>SUM(Table2821115[[#This Row],[BR/18 Log2]:[CO/17 Log2]])</f>
        <v>2</v>
      </c>
    </row>
    <row r="446" spans="1:107" ht="24" customHeight="1">
      <c r="A446" s="278" t="s">
        <v>211</v>
      </c>
      <c r="B446" s="145">
        <v>39013</v>
      </c>
      <c r="C446" s="145">
        <v>43752</v>
      </c>
      <c r="D446" s="144">
        <v>12</v>
      </c>
      <c r="E446" s="3" t="s">
        <v>61</v>
      </c>
      <c r="F446" s="143" t="s">
        <v>116</v>
      </c>
      <c r="G446" s="142">
        <v>18.616986500581689</v>
      </c>
      <c r="H446" s="11" t="s">
        <v>59</v>
      </c>
      <c r="I446" s="281" t="s">
        <v>60</v>
      </c>
      <c r="J446" s="271">
        <v>5</v>
      </c>
      <c r="K446" s="260">
        <v>5</v>
      </c>
      <c r="L446" s="271"/>
      <c r="M446" s="260"/>
      <c r="N446" s="260"/>
      <c r="O446" s="260"/>
      <c r="P446" s="260"/>
      <c r="Q446" s="260"/>
      <c r="R446" s="260"/>
      <c r="S446" s="260"/>
      <c r="T446" s="260"/>
      <c r="U446" s="260"/>
      <c r="V446" s="271">
        <v>5</v>
      </c>
      <c r="W446" s="260">
        <v>5</v>
      </c>
      <c r="X446" s="271">
        <v>160</v>
      </c>
      <c r="Y446" s="260">
        <v>320</v>
      </c>
      <c r="Z446" s="271">
        <v>160</v>
      </c>
      <c r="AA446" s="260">
        <v>640</v>
      </c>
      <c r="AB446" s="271">
        <v>160</v>
      </c>
      <c r="AC446" s="260">
        <v>320</v>
      </c>
      <c r="AD446" s="271"/>
      <c r="AE446" s="260"/>
      <c r="AF446" s="260"/>
      <c r="AG446" s="260"/>
      <c r="AH446" s="176" t="s">
        <v>211</v>
      </c>
      <c r="AI446" s="273">
        <v>5</v>
      </c>
      <c r="AJ446" s="271">
        <v>20</v>
      </c>
      <c r="AK446" s="260"/>
      <c r="AL446" s="260"/>
      <c r="AM446" s="260"/>
      <c r="AN446" s="260"/>
      <c r="AO446" s="260"/>
      <c r="AP446" s="260"/>
      <c r="AQ446" s="260"/>
      <c r="AR446" s="260"/>
      <c r="AS446" s="260"/>
      <c r="AT446" s="260"/>
      <c r="AU446" s="271">
        <v>80</v>
      </c>
      <c r="AV446" s="271">
        <v>320</v>
      </c>
      <c r="AW446" s="271">
        <v>80</v>
      </c>
      <c r="AX446" s="271">
        <v>320</v>
      </c>
      <c r="AY446" s="271">
        <v>80</v>
      </c>
      <c r="AZ446" s="271">
        <v>160</v>
      </c>
      <c r="BA446" s="276">
        <v>160</v>
      </c>
      <c r="BB446" s="276">
        <v>160</v>
      </c>
      <c r="BC446" s="276"/>
      <c r="BD446" s="276"/>
      <c r="BE446" s="276">
        <v>20</v>
      </c>
      <c r="BF446" s="276">
        <v>320</v>
      </c>
      <c r="BG446" s="260">
        <v>160</v>
      </c>
      <c r="BH446" s="271">
        <v>320</v>
      </c>
      <c r="BI446" s="276"/>
      <c r="BJ446" s="276"/>
      <c r="BK446" s="276"/>
      <c r="BL446" s="275"/>
      <c r="BM446" s="274" t="s">
        <v>211</v>
      </c>
      <c r="BN446" s="273">
        <v>5</v>
      </c>
      <c r="BO446" s="270">
        <v>40</v>
      </c>
      <c r="BP446" s="272"/>
      <c r="BQ446" s="260"/>
      <c r="BR446" s="260"/>
      <c r="BS446" s="260"/>
      <c r="BT446" s="260"/>
      <c r="BU446" s="260"/>
      <c r="BV446" s="271">
        <v>160</v>
      </c>
      <c r="BW446" s="260">
        <v>320</v>
      </c>
      <c r="BX446" s="260"/>
      <c r="BY446" s="260"/>
      <c r="BZ446" s="260"/>
      <c r="CA446" s="260"/>
      <c r="CB446" s="271"/>
      <c r="CC446" s="260"/>
      <c r="CD446" s="271">
        <v>160</v>
      </c>
      <c r="CE446" s="260">
        <v>320</v>
      </c>
      <c r="CF446" s="272"/>
      <c r="CG446" s="260"/>
      <c r="CH446" s="260"/>
      <c r="CI446" s="260"/>
      <c r="CJ446" s="260"/>
      <c r="CK446" s="260"/>
      <c r="CL446" s="260"/>
      <c r="CM446" s="260"/>
      <c r="CN446" s="271">
        <v>5</v>
      </c>
      <c r="CO446" s="260">
        <v>80</v>
      </c>
      <c r="CP446" s="271">
        <v>5</v>
      </c>
      <c r="CQ446" s="260">
        <v>160</v>
      </c>
      <c r="CR446" s="271">
        <v>10</v>
      </c>
      <c r="CS446" s="270">
        <v>160</v>
      </c>
      <c r="CT446" s="269" t="s">
        <v>211</v>
      </c>
      <c r="CU446" s="249">
        <f>Table2821115[[#This Row],[D28 - BR/18]]/Table2821115[[#This Row],[D0 - BR/18]]</f>
        <v>2</v>
      </c>
      <c r="CV446" s="248">
        <f>Table2821115[[#This Row],[D28 - KS/17]]/Table2821115[[#This Row],[D0 - KS/17]]</f>
        <v>16</v>
      </c>
      <c r="CW446" s="248">
        <f>Table2821115[[#This Row],[D28 - Phu/13]]/Table2821115[[#This Row],[D0 - Phu/13]]</f>
        <v>2</v>
      </c>
      <c r="CX446" s="248">
        <f>Table2821115[[#This Row],[D28 - CO/17]]/Table2821115[[#This Row],[D0 - CO/17]]</f>
        <v>32</v>
      </c>
      <c r="CY446" s="248">
        <f>LOG(Table2821115[[#This Row],[BR/18 Fold]],2)</f>
        <v>1</v>
      </c>
      <c r="CZ446" s="248">
        <f>LOG(Table2821115[[#This Row],[KS/17 Fold]],2)</f>
        <v>4</v>
      </c>
      <c r="DA446" s="248">
        <f>LOG(Table2821115[[#This Row],[Phu/13 Fold]],2)</f>
        <v>1</v>
      </c>
      <c r="DB446" s="248">
        <f>LOG(Table2821115[[#This Row],[CO/17 Fold]],2)</f>
        <v>5</v>
      </c>
      <c r="DC446" s="248">
        <f>SUM(Table2821115[[#This Row],[BR/18 Log2]:[CO/17 Log2]])</f>
        <v>11</v>
      </c>
    </row>
    <row r="447" spans="1:107" ht="24" customHeight="1">
      <c r="A447" s="282" t="s">
        <v>212</v>
      </c>
      <c r="B447" s="151">
        <v>37701</v>
      </c>
      <c r="C447" s="151">
        <v>43771</v>
      </c>
      <c r="D447" s="150">
        <v>16</v>
      </c>
      <c r="E447" s="3" t="s">
        <v>61</v>
      </c>
      <c r="F447" s="143" t="s">
        <v>117</v>
      </c>
      <c r="G447" s="142">
        <v>27.785467128027683</v>
      </c>
      <c r="H447" s="11" t="s">
        <v>59</v>
      </c>
      <c r="I447" s="281" t="s">
        <v>60</v>
      </c>
      <c r="J447" s="271">
        <v>5</v>
      </c>
      <c r="K447" s="260">
        <v>5</v>
      </c>
      <c r="L447" s="271"/>
      <c r="M447" s="260"/>
      <c r="N447" s="260"/>
      <c r="O447" s="260"/>
      <c r="P447" s="260"/>
      <c r="Q447" s="260"/>
      <c r="R447" s="260"/>
      <c r="S447" s="260"/>
      <c r="T447" s="260"/>
      <c r="U447" s="260"/>
      <c r="V447" s="271">
        <v>5</v>
      </c>
      <c r="W447" s="260">
        <v>5</v>
      </c>
      <c r="X447" s="271">
        <v>160</v>
      </c>
      <c r="Y447" s="260">
        <v>160</v>
      </c>
      <c r="Z447" s="271">
        <v>320</v>
      </c>
      <c r="AA447" s="260">
        <v>320</v>
      </c>
      <c r="AB447" s="271">
        <v>160</v>
      </c>
      <c r="AC447" s="260">
        <v>160</v>
      </c>
      <c r="AD447" s="271"/>
      <c r="AE447" s="260"/>
      <c r="AF447" s="260"/>
      <c r="AG447" s="260"/>
      <c r="AH447" s="174" t="s">
        <v>212</v>
      </c>
      <c r="AI447" s="273">
        <v>40</v>
      </c>
      <c r="AJ447" s="271">
        <v>40</v>
      </c>
      <c r="AK447" s="260"/>
      <c r="AL447" s="260"/>
      <c r="AM447" s="260"/>
      <c r="AN447" s="260"/>
      <c r="AO447" s="260"/>
      <c r="AP447" s="260"/>
      <c r="AQ447" s="260"/>
      <c r="AR447" s="260"/>
      <c r="AS447" s="260"/>
      <c r="AT447" s="260"/>
      <c r="AU447" s="271">
        <v>640</v>
      </c>
      <c r="AV447" s="271">
        <v>640</v>
      </c>
      <c r="AW447" s="271">
        <v>320</v>
      </c>
      <c r="AX447" s="271">
        <v>320</v>
      </c>
      <c r="AY447" s="271">
        <v>320</v>
      </c>
      <c r="AZ447" s="271">
        <v>320</v>
      </c>
      <c r="BA447" s="276">
        <v>640</v>
      </c>
      <c r="BB447" s="276">
        <v>320</v>
      </c>
      <c r="BC447" s="276"/>
      <c r="BD447" s="276"/>
      <c r="BE447" s="276">
        <v>40</v>
      </c>
      <c r="BF447" s="276">
        <v>40</v>
      </c>
      <c r="BG447" s="260">
        <v>640</v>
      </c>
      <c r="BH447" s="271">
        <v>320</v>
      </c>
      <c r="BI447" s="276"/>
      <c r="BJ447" s="276"/>
      <c r="BK447" s="276"/>
      <c r="BL447" s="275"/>
      <c r="BM447" s="280" t="s">
        <v>212</v>
      </c>
      <c r="BN447" s="273">
        <v>160</v>
      </c>
      <c r="BO447" s="270">
        <v>160</v>
      </c>
      <c r="BP447" s="272"/>
      <c r="BQ447" s="260"/>
      <c r="BR447" s="260"/>
      <c r="BS447" s="260"/>
      <c r="BT447" s="260"/>
      <c r="BU447" s="260"/>
      <c r="BV447" s="271">
        <v>160</v>
      </c>
      <c r="BW447" s="260">
        <v>160</v>
      </c>
      <c r="BX447" s="260"/>
      <c r="BY447" s="260"/>
      <c r="BZ447" s="260"/>
      <c r="CA447" s="260"/>
      <c r="CB447" s="271"/>
      <c r="CC447" s="260"/>
      <c r="CD447" s="271">
        <v>80</v>
      </c>
      <c r="CE447" s="260">
        <v>80</v>
      </c>
      <c r="CF447" s="272"/>
      <c r="CG447" s="260"/>
      <c r="CH447" s="260"/>
      <c r="CI447" s="260"/>
      <c r="CJ447" s="260"/>
      <c r="CK447" s="260"/>
      <c r="CL447" s="260"/>
      <c r="CM447" s="260"/>
      <c r="CN447" s="271">
        <v>160</v>
      </c>
      <c r="CO447" s="260">
        <v>80</v>
      </c>
      <c r="CP447" s="271">
        <v>80</v>
      </c>
      <c r="CQ447" s="260">
        <v>80</v>
      </c>
      <c r="CR447" s="271">
        <v>160</v>
      </c>
      <c r="CS447" s="270">
        <v>80</v>
      </c>
      <c r="CT447" s="279" t="s">
        <v>212</v>
      </c>
      <c r="CU447" s="249">
        <f>Table2821115[[#This Row],[D28 - BR/18]]/Table2821115[[#This Row],[D0 - BR/18]]</f>
        <v>1</v>
      </c>
      <c r="CV447" s="248">
        <f>Table2821115[[#This Row],[D28 - KS/17]]/Table2821115[[#This Row],[D0 - KS/17]]</f>
        <v>1</v>
      </c>
      <c r="CW447" s="248">
        <f>Table2821115[[#This Row],[D28 - Phu/13]]/Table2821115[[#This Row],[D0 - Phu/13]]</f>
        <v>1</v>
      </c>
      <c r="CX447" s="248">
        <f>Table2821115[[#This Row],[D28 - CO/17]]/Table2821115[[#This Row],[D0 - CO/17]]</f>
        <v>1</v>
      </c>
      <c r="CY447" s="248">
        <f>LOG(Table2821115[[#This Row],[BR/18 Fold]],2)</f>
        <v>0</v>
      </c>
      <c r="CZ447" s="248">
        <f>LOG(Table2821115[[#This Row],[KS/17 Fold]],2)</f>
        <v>0</v>
      </c>
      <c r="DA447" s="248">
        <f>LOG(Table2821115[[#This Row],[Phu/13 Fold]],2)</f>
        <v>0</v>
      </c>
      <c r="DB447" s="248">
        <f>LOG(Table2821115[[#This Row],[CO/17 Fold]],2)</f>
        <v>0</v>
      </c>
      <c r="DC447" s="248">
        <f>SUM(Table2821115[[#This Row],[BR/18 Log2]:[CO/17 Log2]])</f>
        <v>0</v>
      </c>
    </row>
    <row r="448" spans="1:107" ht="24" customHeight="1">
      <c r="A448" s="278" t="s">
        <v>213</v>
      </c>
      <c r="B448" s="145">
        <v>38832</v>
      </c>
      <c r="C448" s="145">
        <v>43771</v>
      </c>
      <c r="D448" s="144">
        <v>13</v>
      </c>
      <c r="E448" s="4" t="s">
        <v>58</v>
      </c>
      <c r="F448" s="143" t="s">
        <v>116</v>
      </c>
      <c r="G448" s="142">
        <v>20.514000730189981</v>
      </c>
      <c r="H448" s="11" t="s">
        <v>59</v>
      </c>
      <c r="I448" s="281" t="s">
        <v>60</v>
      </c>
      <c r="J448" s="271">
        <v>5</v>
      </c>
      <c r="K448" s="260">
        <v>5</v>
      </c>
      <c r="L448" s="271"/>
      <c r="M448" s="260"/>
      <c r="N448" s="260"/>
      <c r="O448" s="260"/>
      <c r="P448" s="260"/>
      <c r="Q448" s="260"/>
      <c r="R448" s="260"/>
      <c r="S448" s="260"/>
      <c r="T448" s="260"/>
      <c r="U448" s="260"/>
      <c r="V448" s="271">
        <v>5</v>
      </c>
      <c r="W448" s="260">
        <v>5</v>
      </c>
      <c r="X448" s="271">
        <v>5</v>
      </c>
      <c r="Y448" s="260">
        <v>10</v>
      </c>
      <c r="Z448" s="271">
        <v>5</v>
      </c>
      <c r="AA448" s="260">
        <v>5</v>
      </c>
      <c r="AB448" s="271">
        <v>5</v>
      </c>
      <c r="AC448" s="260">
        <v>5</v>
      </c>
      <c r="AD448" s="271"/>
      <c r="AE448" s="260"/>
      <c r="AF448" s="260"/>
      <c r="AG448" s="260"/>
      <c r="AH448" s="176" t="s">
        <v>213</v>
      </c>
      <c r="AI448" s="273">
        <v>5</v>
      </c>
      <c r="AJ448" s="271">
        <v>5</v>
      </c>
      <c r="AK448" s="260"/>
      <c r="AL448" s="260"/>
      <c r="AM448" s="260"/>
      <c r="AN448" s="260"/>
      <c r="AO448" s="260"/>
      <c r="AP448" s="260"/>
      <c r="AQ448" s="260"/>
      <c r="AR448" s="260"/>
      <c r="AS448" s="260"/>
      <c r="AT448" s="260"/>
      <c r="AU448" s="271">
        <v>5</v>
      </c>
      <c r="AV448" s="271">
        <v>5</v>
      </c>
      <c r="AW448" s="271">
        <v>5</v>
      </c>
      <c r="AX448" s="271">
        <v>5</v>
      </c>
      <c r="AY448" s="271">
        <v>5</v>
      </c>
      <c r="AZ448" s="271">
        <v>5</v>
      </c>
      <c r="BA448" s="276">
        <v>5</v>
      </c>
      <c r="BB448" s="276">
        <v>5</v>
      </c>
      <c r="BC448" s="276"/>
      <c r="BD448" s="276"/>
      <c r="BE448" s="276">
        <v>5</v>
      </c>
      <c r="BF448" s="276">
        <v>5</v>
      </c>
      <c r="BG448" s="260">
        <v>80</v>
      </c>
      <c r="BH448" s="271">
        <v>10</v>
      </c>
      <c r="BI448" s="276"/>
      <c r="BJ448" s="276"/>
      <c r="BK448" s="276"/>
      <c r="BL448" s="275"/>
      <c r="BM448" s="274" t="s">
        <v>213</v>
      </c>
      <c r="BN448" s="273">
        <v>5</v>
      </c>
      <c r="BO448" s="270">
        <v>5</v>
      </c>
      <c r="BP448" s="272"/>
      <c r="BQ448" s="260"/>
      <c r="BR448" s="260"/>
      <c r="BS448" s="260"/>
      <c r="BT448" s="260"/>
      <c r="BU448" s="260"/>
      <c r="BV448" s="271">
        <v>5</v>
      </c>
      <c r="BW448" s="260">
        <v>40</v>
      </c>
      <c r="BX448" s="260"/>
      <c r="BY448" s="260"/>
      <c r="BZ448" s="260"/>
      <c r="CA448" s="260"/>
      <c r="CB448" s="271"/>
      <c r="CC448" s="260"/>
      <c r="CD448" s="271">
        <v>40</v>
      </c>
      <c r="CE448" s="260">
        <v>40</v>
      </c>
      <c r="CF448" s="272"/>
      <c r="CG448" s="260"/>
      <c r="CH448" s="260"/>
      <c r="CI448" s="260"/>
      <c r="CJ448" s="260"/>
      <c r="CK448" s="260"/>
      <c r="CL448" s="260"/>
      <c r="CM448" s="260"/>
      <c r="CN448" s="271">
        <v>20</v>
      </c>
      <c r="CO448" s="260">
        <v>40</v>
      </c>
      <c r="CP448" s="271">
        <v>5</v>
      </c>
      <c r="CQ448" s="260">
        <v>20</v>
      </c>
      <c r="CR448" s="271">
        <v>5</v>
      </c>
      <c r="CS448" s="270">
        <v>40</v>
      </c>
      <c r="CT448" s="269" t="s">
        <v>213</v>
      </c>
      <c r="CU448" s="249">
        <f>Table2821115[[#This Row],[D28 - BR/18]]/Table2821115[[#This Row],[D0 - BR/18]]</f>
        <v>1</v>
      </c>
      <c r="CV448" s="248">
        <f>Table2821115[[#This Row],[D28 - KS/17]]/Table2821115[[#This Row],[D0 - KS/17]]</f>
        <v>1</v>
      </c>
      <c r="CW448" s="248">
        <f>Table2821115[[#This Row],[D28 - Phu/13]]/Table2821115[[#This Row],[D0 - Phu/13]]</f>
        <v>1</v>
      </c>
      <c r="CX448" s="248">
        <f>Table2821115[[#This Row],[D28 - CO/17]]/Table2821115[[#This Row],[D0 - CO/17]]</f>
        <v>4</v>
      </c>
      <c r="CY448" s="248">
        <f>LOG(Table2821115[[#This Row],[BR/18 Fold]],2)</f>
        <v>0</v>
      </c>
      <c r="CZ448" s="248">
        <f>LOG(Table2821115[[#This Row],[KS/17 Fold]],2)</f>
        <v>0</v>
      </c>
      <c r="DA448" s="248">
        <f>LOG(Table2821115[[#This Row],[Phu/13 Fold]],2)</f>
        <v>0</v>
      </c>
      <c r="DB448" s="248">
        <f>LOG(Table2821115[[#This Row],[CO/17 Fold]],2)</f>
        <v>2</v>
      </c>
      <c r="DC448" s="248">
        <f>SUM(Table2821115[[#This Row],[BR/18 Log2]:[CO/17 Log2]])</f>
        <v>2</v>
      </c>
    </row>
    <row r="449" spans="1:107" ht="24" customHeight="1">
      <c r="A449" s="282" t="s">
        <v>214</v>
      </c>
      <c r="B449" s="151">
        <v>38011</v>
      </c>
      <c r="C449" s="151">
        <v>43803</v>
      </c>
      <c r="D449" s="150">
        <v>15</v>
      </c>
      <c r="E449" s="4" t="s">
        <v>58</v>
      </c>
      <c r="F449" s="143" t="s">
        <v>116</v>
      </c>
      <c r="G449" s="142">
        <v>25.087702156736228</v>
      </c>
      <c r="H449" s="11" t="s">
        <v>59</v>
      </c>
      <c r="I449" s="281" t="s">
        <v>60</v>
      </c>
      <c r="J449" s="271">
        <v>5</v>
      </c>
      <c r="K449" s="260">
        <v>5</v>
      </c>
      <c r="L449" s="271"/>
      <c r="M449" s="260"/>
      <c r="N449" s="260"/>
      <c r="O449" s="260"/>
      <c r="P449" s="260"/>
      <c r="Q449" s="260"/>
      <c r="R449" s="260"/>
      <c r="S449" s="260"/>
      <c r="T449" s="260"/>
      <c r="U449" s="260"/>
      <c r="V449" s="271">
        <v>5</v>
      </c>
      <c r="W449" s="260">
        <v>10</v>
      </c>
      <c r="X449" s="271">
        <v>80</v>
      </c>
      <c r="Y449" s="260">
        <v>80</v>
      </c>
      <c r="Z449" s="271">
        <v>80</v>
      </c>
      <c r="AA449" s="260">
        <v>160</v>
      </c>
      <c r="AB449" s="271">
        <v>80</v>
      </c>
      <c r="AC449" s="260">
        <v>80</v>
      </c>
      <c r="AD449" s="271"/>
      <c r="AE449" s="260"/>
      <c r="AF449" s="260"/>
      <c r="AG449" s="260"/>
      <c r="AH449" s="174" t="s">
        <v>214</v>
      </c>
      <c r="AI449" s="273">
        <v>5</v>
      </c>
      <c r="AJ449" s="271">
        <v>10</v>
      </c>
      <c r="AK449" s="260"/>
      <c r="AL449" s="260"/>
      <c r="AM449" s="260"/>
      <c r="AN449" s="260"/>
      <c r="AO449" s="260"/>
      <c r="AP449" s="260"/>
      <c r="AQ449" s="260"/>
      <c r="AR449" s="260"/>
      <c r="AS449" s="260"/>
      <c r="AT449" s="260"/>
      <c r="AU449" s="271">
        <v>80</v>
      </c>
      <c r="AV449" s="271">
        <v>320</v>
      </c>
      <c r="AW449" s="271">
        <v>40</v>
      </c>
      <c r="AX449" s="271">
        <v>320</v>
      </c>
      <c r="AY449" s="271">
        <v>40</v>
      </c>
      <c r="AZ449" s="271">
        <v>160</v>
      </c>
      <c r="BA449" s="276">
        <v>80</v>
      </c>
      <c r="BB449" s="276">
        <v>160</v>
      </c>
      <c r="BC449" s="276"/>
      <c r="BD449" s="276"/>
      <c r="BE449" s="276">
        <v>10</v>
      </c>
      <c r="BF449" s="276">
        <v>160</v>
      </c>
      <c r="BG449" s="260">
        <v>80</v>
      </c>
      <c r="BH449" s="271">
        <v>80</v>
      </c>
      <c r="BI449" s="276"/>
      <c r="BJ449" s="276"/>
      <c r="BK449" s="276"/>
      <c r="BL449" s="275"/>
      <c r="BM449" s="280" t="s">
        <v>214</v>
      </c>
      <c r="BN449" s="273">
        <v>5</v>
      </c>
      <c r="BO449" s="270">
        <v>20</v>
      </c>
      <c r="BP449" s="272"/>
      <c r="BQ449" s="260"/>
      <c r="BR449" s="260"/>
      <c r="BS449" s="260"/>
      <c r="BT449" s="260"/>
      <c r="BU449" s="260"/>
      <c r="BV449" s="271">
        <v>5</v>
      </c>
      <c r="BW449" s="260">
        <v>80</v>
      </c>
      <c r="BX449" s="260"/>
      <c r="BY449" s="260"/>
      <c r="BZ449" s="260"/>
      <c r="CA449" s="260"/>
      <c r="CB449" s="271"/>
      <c r="CC449" s="260"/>
      <c r="CD449" s="271">
        <v>40</v>
      </c>
      <c r="CE449" s="260">
        <v>80</v>
      </c>
      <c r="CF449" s="272"/>
      <c r="CG449" s="260"/>
      <c r="CH449" s="260"/>
      <c r="CI449" s="260"/>
      <c r="CJ449" s="260"/>
      <c r="CK449" s="260"/>
      <c r="CL449" s="260"/>
      <c r="CM449" s="260"/>
      <c r="CN449" s="271">
        <v>5</v>
      </c>
      <c r="CO449" s="260">
        <v>80</v>
      </c>
      <c r="CP449" s="271">
        <v>5</v>
      </c>
      <c r="CQ449" s="260">
        <v>80</v>
      </c>
      <c r="CR449" s="271">
        <v>5</v>
      </c>
      <c r="CS449" s="270">
        <v>80</v>
      </c>
      <c r="CT449" s="279" t="s">
        <v>214</v>
      </c>
      <c r="CU449" s="249">
        <f>Table2821115[[#This Row],[D28 - BR/18]]/Table2821115[[#This Row],[D0 - BR/18]]</f>
        <v>1</v>
      </c>
      <c r="CV449" s="248">
        <f>Table2821115[[#This Row],[D28 - KS/17]]/Table2821115[[#This Row],[D0 - KS/17]]</f>
        <v>16</v>
      </c>
      <c r="CW449" s="248">
        <f>Table2821115[[#This Row],[D28 - Phu/13]]/Table2821115[[#This Row],[D0 - Phu/13]]</f>
        <v>2</v>
      </c>
      <c r="CX449" s="248">
        <f>Table2821115[[#This Row],[D28 - CO/17]]/Table2821115[[#This Row],[D0 - CO/17]]</f>
        <v>16</v>
      </c>
      <c r="CY449" s="248">
        <f>LOG(Table2821115[[#This Row],[BR/18 Fold]],2)</f>
        <v>0</v>
      </c>
      <c r="CZ449" s="248">
        <f>LOG(Table2821115[[#This Row],[KS/17 Fold]],2)</f>
        <v>4</v>
      </c>
      <c r="DA449" s="248">
        <f>LOG(Table2821115[[#This Row],[Phu/13 Fold]],2)</f>
        <v>1</v>
      </c>
      <c r="DB449" s="248">
        <f>LOG(Table2821115[[#This Row],[CO/17 Fold]],2)</f>
        <v>4</v>
      </c>
      <c r="DC449" s="248">
        <f>SUM(Table2821115[[#This Row],[BR/18 Log2]:[CO/17 Log2]])</f>
        <v>9</v>
      </c>
    </row>
    <row r="450" spans="1:107" ht="24" customHeight="1">
      <c r="A450" s="278" t="s">
        <v>215</v>
      </c>
      <c r="B450" s="145">
        <v>38729</v>
      </c>
      <c r="C450" s="145">
        <v>43759</v>
      </c>
      <c r="D450" s="144">
        <v>13</v>
      </c>
      <c r="E450" s="4" t="s">
        <v>58</v>
      </c>
      <c r="F450" s="143" t="s">
        <v>116</v>
      </c>
      <c r="G450" s="142">
        <v>20.256045985665008</v>
      </c>
      <c r="H450" s="11" t="s">
        <v>59</v>
      </c>
      <c r="I450" s="281" t="s">
        <v>60</v>
      </c>
      <c r="J450" s="271">
        <v>5</v>
      </c>
      <c r="K450" s="260">
        <v>5</v>
      </c>
      <c r="L450" s="271"/>
      <c r="M450" s="260"/>
      <c r="N450" s="260"/>
      <c r="O450" s="260"/>
      <c r="P450" s="260"/>
      <c r="Q450" s="260"/>
      <c r="R450" s="260"/>
      <c r="S450" s="260"/>
      <c r="T450" s="260"/>
      <c r="U450" s="260"/>
      <c r="V450" s="271">
        <v>5</v>
      </c>
      <c r="W450" s="260">
        <v>5</v>
      </c>
      <c r="X450" s="271">
        <v>320</v>
      </c>
      <c r="Y450" s="260">
        <v>320</v>
      </c>
      <c r="Z450" s="271">
        <v>640</v>
      </c>
      <c r="AA450" s="260">
        <v>320</v>
      </c>
      <c r="AB450" s="271">
        <v>320</v>
      </c>
      <c r="AC450" s="260">
        <v>160</v>
      </c>
      <c r="AD450" s="271"/>
      <c r="AE450" s="260"/>
      <c r="AF450" s="260"/>
      <c r="AG450" s="260"/>
      <c r="AH450" s="176" t="s">
        <v>215</v>
      </c>
      <c r="AI450" s="273">
        <v>20</v>
      </c>
      <c r="AJ450" s="271">
        <v>20</v>
      </c>
      <c r="AK450" s="260"/>
      <c r="AL450" s="260"/>
      <c r="AM450" s="260"/>
      <c r="AN450" s="260"/>
      <c r="AO450" s="260"/>
      <c r="AP450" s="260"/>
      <c r="AQ450" s="260"/>
      <c r="AR450" s="260"/>
      <c r="AS450" s="260"/>
      <c r="AT450" s="260"/>
      <c r="AU450" s="271">
        <v>640</v>
      </c>
      <c r="AV450" s="271">
        <v>320</v>
      </c>
      <c r="AW450" s="271">
        <v>320</v>
      </c>
      <c r="AX450" s="271">
        <v>320</v>
      </c>
      <c r="AY450" s="271">
        <v>320</v>
      </c>
      <c r="AZ450" s="271">
        <v>320</v>
      </c>
      <c r="BA450" s="276">
        <v>320</v>
      </c>
      <c r="BB450" s="276">
        <v>320</v>
      </c>
      <c r="BC450" s="276"/>
      <c r="BD450" s="276"/>
      <c r="BE450" s="276">
        <v>160</v>
      </c>
      <c r="BF450" s="276">
        <v>320</v>
      </c>
      <c r="BG450" s="260">
        <v>640</v>
      </c>
      <c r="BH450" s="271">
        <v>320</v>
      </c>
      <c r="BI450" s="276"/>
      <c r="BJ450" s="276"/>
      <c r="BK450" s="276"/>
      <c r="BL450" s="275"/>
      <c r="BM450" s="274" t="s">
        <v>215</v>
      </c>
      <c r="BN450" s="273">
        <v>10</v>
      </c>
      <c r="BO450" s="270">
        <v>20</v>
      </c>
      <c r="BP450" s="272"/>
      <c r="BQ450" s="260"/>
      <c r="BR450" s="260"/>
      <c r="BS450" s="260"/>
      <c r="BT450" s="260"/>
      <c r="BU450" s="260"/>
      <c r="BV450" s="271">
        <v>160</v>
      </c>
      <c r="BW450" s="260">
        <v>160</v>
      </c>
      <c r="BX450" s="260"/>
      <c r="BY450" s="260"/>
      <c r="BZ450" s="260"/>
      <c r="CA450" s="260"/>
      <c r="CB450" s="271"/>
      <c r="CC450" s="260"/>
      <c r="CD450" s="271">
        <v>80</v>
      </c>
      <c r="CE450" s="260">
        <v>40</v>
      </c>
      <c r="CF450" s="272"/>
      <c r="CG450" s="260"/>
      <c r="CH450" s="260"/>
      <c r="CI450" s="260"/>
      <c r="CJ450" s="260"/>
      <c r="CK450" s="260"/>
      <c r="CL450" s="260"/>
      <c r="CM450" s="260"/>
      <c r="CN450" s="271">
        <v>80</v>
      </c>
      <c r="CO450" s="260">
        <v>80</v>
      </c>
      <c r="CP450" s="271">
        <v>80</v>
      </c>
      <c r="CQ450" s="260">
        <v>80</v>
      </c>
      <c r="CR450" s="271">
        <v>160</v>
      </c>
      <c r="CS450" s="270">
        <v>80</v>
      </c>
      <c r="CT450" s="269" t="s">
        <v>215</v>
      </c>
      <c r="CU450" s="249">
        <f>Table2821115[[#This Row],[D28 - BR/18]]/Table2821115[[#This Row],[D0 - BR/18]]</f>
        <v>0.5</v>
      </c>
      <c r="CV450" s="248">
        <f>Table2821115[[#This Row],[D28 - KS/17]]/Table2821115[[#This Row],[D0 - KS/17]]</f>
        <v>2</v>
      </c>
      <c r="CW450" s="248">
        <f>Table2821115[[#This Row],[D28 - Phu/13]]/Table2821115[[#This Row],[D0 - Phu/13]]</f>
        <v>0.5</v>
      </c>
      <c r="CX450" s="248">
        <f>Table2821115[[#This Row],[D28 - CO/17]]/Table2821115[[#This Row],[D0 - CO/17]]</f>
        <v>1</v>
      </c>
      <c r="CY450" s="248">
        <f>LOG(Table2821115[[#This Row],[BR/18 Fold]],2)</f>
        <v>-1</v>
      </c>
      <c r="CZ450" s="248">
        <f>LOG(Table2821115[[#This Row],[KS/17 Fold]],2)</f>
        <v>1</v>
      </c>
      <c r="DA450" s="248">
        <f>LOG(Table2821115[[#This Row],[Phu/13 Fold]],2)</f>
        <v>-1</v>
      </c>
      <c r="DB450" s="248">
        <f>LOG(Table2821115[[#This Row],[CO/17 Fold]],2)</f>
        <v>0</v>
      </c>
      <c r="DC450" s="248">
        <f>SUM(Table2821115[[#This Row],[BR/18 Log2]:[CO/17 Log2]])</f>
        <v>-1</v>
      </c>
    </row>
    <row r="451" spans="1:107" ht="24" customHeight="1">
      <c r="A451" s="282" t="s">
        <v>216</v>
      </c>
      <c r="B451" s="151">
        <v>38091</v>
      </c>
      <c r="C451" s="151">
        <v>43759</v>
      </c>
      <c r="D451" s="150">
        <v>15</v>
      </c>
      <c r="E451" s="4" t="s">
        <v>58</v>
      </c>
      <c r="F451" s="143" t="s">
        <v>116</v>
      </c>
      <c r="G451" s="142">
        <v>29.286681792166345</v>
      </c>
      <c r="H451" s="11" t="s">
        <v>59</v>
      </c>
      <c r="I451" s="281" t="s">
        <v>60</v>
      </c>
      <c r="J451" s="271">
        <v>5</v>
      </c>
      <c r="K451" s="260">
        <v>5</v>
      </c>
      <c r="L451" s="271"/>
      <c r="M451" s="260"/>
      <c r="N451" s="260"/>
      <c r="O451" s="260"/>
      <c r="P451" s="260"/>
      <c r="Q451" s="260"/>
      <c r="R451" s="260"/>
      <c r="S451" s="260"/>
      <c r="T451" s="260"/>
      <c r="U451" s="260"/>
      <c r="V451" s="271">
        <v>10</v>
      </c>
      <c r="W451" s="260">
        <v>20</v>
      </c>
      <c r="X451" s="271">
        <v>160</v>
      </c>
      <c r="Y451" s="260">
        <v>160</v>
      </c>
      <c r="Z451" s="271">
        <v>160</v>
      </c>
      <c r="AA451" s="260">
        <v>160</v>
      </c>
      <c r="AB451" s="271">
        <v>80</v>
      </c>
      <c r="AC451" s="260">
        <v>80</v>
      </c>
      <c r="AD451" s="271"/>
      <c r="AE451" s="260"/>
      <c r="AF451" s="260"/>
      <c r="AG451" s="260"/>
      <c r="AH451" s="174" t="s">
        <v>216</v>
      </c>
      <c r="AI451" s="273">
        <v>5</v>
      </c>
      <c r="AJ451" s="271">
        <v>10</v>
      </c>
      <c r="AK451" s="260"/>
      <c r="AL451" s="260"/>
      <c r="AM451" s="260"/>
      <c r="AN451" s="260"/>
      <c r="AO451" s="260"/>
      <c r="AP451" s="260"/>
      <c r="AQ451" s="260"/>
      <c r="AR451" s="260"/>
      <c r="AS451" s="260"/>
      <c r="AT451" s="260"/>
      <c r="AU451" s="271">
        <v>160</v>
      </c>
      <c r="AV451" s="271">
        <v>320</v>
      </c>
      <c r="AW451" s="271">
        <v>160</v>
      </c>
      <c r="AX451" s="271">
        <v>320</v>
      </c>
      <c r="AY451" s="271">
        <v>160</v>
      </c>
      <c r="AZ451" s="271">
        <v>160</v>
      </c>
      <c r="BA451" s="276">
        <v>160</v>
      </c>
      <c r="BB451" s="276">
        <v>320</v>
      </c>
      <c r="BC451" s="276"/>
      <c r="BD451" s="276"/>
      <c r="BE451" s="276">
        <v>40</v>
      </c>
      <c r="BF451" s="276">
        <v>160</v>
      </c>
      <c r="BG451" s="260">
        <v>160</v>
      </c>
      <c r="BH451" s="271">
        <v>320</v>
      </c>
      <c r="BI451" s="276"/>
      <c r="BJ451" s="276"/>
      <c r="BK451" s="276"/>
      <c r="BL451" s="275"/>
      <c r="BM451" s="280" t="s">
        <v>216</v>
      </c>
      <c r="BN451" s="273">
        <v>20</v>
      </c>
      <c r="BO451" s="270">
        <v>40</v>
      </c>
      <c r="BP451" s="272"/>
      <c r="BQ451" s="260"/>
      <c r="BR451" s="260"/>
      <c r="BS451" s="260"/>
      <c r="BT451" s="260"/>
      <c r="BU451" s="260"/>
      <c r="BV451" s="271">
        <v>5</v>
      </c>
      <c r="BW451" s="260">
        <v>5</v>
      </c>
      <c r="BX451" s="260"/>
      <c r="BY451" s="260"/>
      <c r="BZ451" s="260"/>
      <c r="CA451" s="260"/>
      <c r="CB451" s="271"/>
      <c r="CC451" s="260"/>
      <c r="CD451" s="271">
        <v>40</v>
      </c>
      <c r="CE451" s="260">
        <v>40</v>
      </c>
      <c r="CF451" s="272"/>
      <c r="CG451" s="260"/>
      <c r="CH451" s="260"/>
      <c r="CI451" s="260"/>
      <c r="CJ451" s="260"/>
      <c r="CK451" s="260"/>
      <c r="CL451" s="260"/>
      <c r="CM451" s="260"/>
      <c r="CN451" s="271">
        <v>80</v>
      </c>
      <c r="CO451" s="260">
        <v>80</v>
      </c>
      <c r="CP451" s="271">
        <v>80</v>
      </c>
      <c r="CQ451" s="260">
        <v>160</v>
      </c>
      <c r="CR451" s="271">
        <v>80</v>
      </c>
      <c r="CS451" s="270">
        <v>160</v>
      </c>
      <c r="CT451" s="279" t="s">
        <v>216</v>
      </c>
      <c r="CU451" s="249">
        <f>Table2821115[[#This Row],[D28 - BR/18]]/Table2821115[[#This Row],[D0 - BR/18]]</f>
        <v>1</v>
      </c>
      <c r="CV451" s="248">
        <f>Table2821115[[#This Row],[D28 - KS/17]]/Table2821115[[#This Row],[D0 - KS/17]]</f>
        <v>4</v>
      </c>
      <c r="CW451" s="248">
        <f>Table2821115[[#This Row],[D28 - Phu/13]]/Table2821115[[#This Row],[D0 - Phu/13]]</f>
        <v>1</v>
      </c>
      <c r="CX451" s="248">
        <f>Table2821115[[#This Row],[D28 - CO/17]]/Table2821115[[#This Row],[D0 - CO/17]]</f>
        <v>2</v>
      </c>
      <c r="CY451" s="248">
        <f>LOG(Table2821115[[#This Row],[BR/18 Fold]],2)</f>
        <v>0</v>
      </c>
      <c r="CZ451" s="248">
        <f>LOG(Table2821115[[#This Row],[KS/17 Fold]],2)</f>
        <v>2</v>
      </c>
      <c r="DA451" s="248">
        <f>LOG(Table2821115[[#This Row],[Phu/13 Fold]],2)</f>
        <v>0</v>
      </c>
      <c r="DB451" s="248">
        <f>LOG(Table2821115[[#This Row],[CO/17 Fold]],2)</f>
        <v>1</v>
      </c>
      <c r="DC451" s="248">
        <f>SUM(Table2821115[[#This Row],[BR/18 Log2]:[CO/17 Log2]])</f>
        <v>3</v>
      </c>
    </row>
    <row r="452" spans="1:107" ht="24" customHeight="1">
      <c r="A452" s="278" t="s">
        <v>217</v>
      </c>
      <c r="B452" s="145">
        <v>38861</v>
      </c>
      <c r="C452" s="145">
        <v>43792</v>
      </c>
      <c r="D452" s="144">
        <v>13</v>
      </c>
      <c r="E452" s="4" t="s">
        <v>58</v>
      </c>
      <c r="F452" s="143" t="s">
        <v>116</v>
      </c>
      <c r="G452" s="142">
        <v>17.437598858068746</v>
      </c>
      <c r="H452" s="11" t="s">
        <v>59</v>
      </c>
      <c r="I452" s="281" t="s">
        <v>60</v>
      </c>
      <c r="J452" s="271">
        <v>5</v>
      </c>
      <c r="K452" s="260">
        <v>5</v>
      </c>
      <c r="L452" s="271"/>
      <c r="M452" s="260"/>
      <c r="N452" s="260"/>
      <c r="O452" s="260"/>
      <c r="P452" s="260"/>
      <c r="Q452" s="260"/>
      <c r="R452" s="260"/>
      <c r="S452" s="260"/>
      <c r="T452" s="260"/>
      <c r="U452" s="260"/>
      <c r="V452" s="271">
        <v>5</v>
      </c>
      <c r="W452" s="260">
        <v>5</v>
      </c>
      <c r="X452" s="271">
        <v>160</v>
      </c>
      <c r="Y452" s="260">
        <v>320</v>
      </c>
      <c r="Z452" s="271">
        <v>160</v>
      </c>
      <c r="AA452" s="260">
        <v>320</v>
      </c>
      <c r="AB452" s="271">
        <v>80</v>
      </c>
      <c r="AC452" s="260">
        <v>160</v>
      </c>
      <c r="AD452" s="271"/>
      <c r="AE452" s="260"/>
      <c r="AF452" s="260"/>
      <c r="AG452" s="260"/>
      <c r="AH452" s="176" t="s">
        <v>217</v>
      </c>
      <c r="AI452" s="273">
        <v>5</v>
      </c>
      <c r="AJ452" s="271">
        <v>10</v>
      </c>
      <c r="AK452" s="260"/>
      <c r="AL452" s="260"/>
      <c r="AM452" s="260"/>
      <c r="AN452" s="260"/>
      <c r="AO452" s="260"/>
      <c r="AP452" s="260"/>
      <c r="AQ452" s="260"/>
      <c r="AR452" s="260"/>
      <c r="AS452" s="260"/>
      <c r="AT452" s="260"/>
      <c r="AU452" s="271">
        <v>320</v>
      </c>
      <c r="AV452" s="271">
        <v>640</v>
      </c>
      <c r="AW452" s="271">
        <v>320</v>
      </c>
      <c r="AX452" s="271">
        <v>640</v>
      </c>
      <c r="AY452" s="271">
        <v>320</v>
      </c>
      <c r="AZ452" s="271">
        <v>640</v>
      </c>
      <c r="BA452" s="276">
        <v>320</v>
      </c>
      <c r="BB452" s="276">
        <v>640</v>
      </c>
      <c r="BC452" s="276"/>
      <c r="BD452" s="276"/>
      <c r="BE452" s="276">
        <v>80</v>
      </c>
      <c r="BF452" s="276">
        <v>160</v>
      </c>
      <c r="BG452" s="260">
        <v>640</v>
      </c>
      <c r="BH452" s="271">
        <v>640</v>
      </c>
      <c r="BI452" s="276"/>
      <c r="BJ452" s="276"/>
      <c r="BK452" s="276"/>
      <c r="BL452" s="275"/>
      <c r="BM452" s="274" t="s">
        <v>217</v>
      </c>
      <c r="BN452" s="273">
        <v>10</v>
      </c>
      <c r="BO452" s="270">
        <v>20</v>
      </c>
      <c r="BP452" s="272"/>
      <c r="BQ452" s="260"/>
      <c r="BR452" s="260"/>
      <c r="BS452" s="260"/>
      <c r="BT452" s="260"/>
      <c r="BU452" s="260"/>
      <c r="BV452" s="271">
        <v>160</v>
      </c>
      <c r="BW452" s="260">
        <v>160</v>
      </c>
      <c r="BX452" s="260"/>
      <c r="BY452" s="260"/>
      <c r="BZ452" s="260"/>
      <c r="CA452" s="260"/>
      <c r="CB452" s="271"/>
      <c r="CC452" s="260"/>
      <c r="CD452" s="271">
        <v>160</v>
      </c>
      <c r="CE452" s="260">
        <v>160</v>
      </c>
      <c r="CF452" s="272"/>
      <c r="CG452" s="260"/>
      <c r="CH452" s="260"/>
      <c r="CI452" s="260"/>
      <c r="CJ452" s="260"/>
      <c r="CK452" s="260"/>
      <c r="CL452" s="260"/>
      <c r="CM452" s="260"/>
      <c r="CN452" s="271">
        <v>20</v>
      </c>
      <c r="CO452" s="260">
        <v>40</v>
      </c>
      <c r="CP452" s="271">
        <v>20</v>
      </c>
      <c r="CQ452" s="260">
        <v>40</v>
      </c>
      <c r="CR452" s="271">
        <v>40</v>
      </c>
      <c r="CS452" s="270">
        <v>80</v>
      </c>
      <c r="CT452" s="269" t="s">
        <v>217</v>
      </c>
      <c r="CU452" s="249">
        <f>Table2821115[[#This Row],[D28 - BR/18]]/Table2821115[[#This Row],[D0 - BR/18]]</f>
        <v>2</v>
      </c>
      <c r="CV452" s="248">
        <f>Table2821115[[#This Row],[D28 - KS/17]]/Table2821115[[#This Row],[D0 - KS/17]]</f>
        <v>2</v>
      </c>
      <c r="CW452" s="248">
        <f>Table2821115[[#This Row],[D28 - Phu/13]]/Table2821115[[#This Row],[D0 - Phu/13]]</f>
        <v>1</v>
      </c>
      <c r="CX452" s="248">
        <f>Table2821115[[#This Row],[D28 - CO/17]]/Table2821115[[#This Row],[D0 - CO/17]]</f>
        <v>2</v>
      </c>
      <c r="CY452" s="248">
        <f>LOG(Table2821115[[#This Row],[BR/18 Fold]],2)</f>
        <v>1</v>
      </c>
      <c r="CZ452" s="248">
        <f>LOG(Table2821115[[#This Row],[KS/17 Fold]],2)</f>
        <v>1</v>
      </c>
      <c r="DA452" s="248">
        <f>LOG(Table2821115[[#This Row],[Phu/13 Fold]],2)</f>
        <v>0</v>
      </c>
      <c r="DB452" s="248">
        <f>LOG(Table2821115[[#This Row],[CO/17 Fold]],2)</f>
        <v>1</v>
      </c>
      <c r="DC452" s="248">
        <f>SUM(Table2821115[[#This Row],[BR/18 Log2]:[CO/17 Log2]])</f>
        <v>3</v>
      </c>
    </row>
    <row r="453" spans="1:107" ht="24" customHeight="1">
      <c r="A453" s="282" t="s">
        <v>218</v>
      </c>
      <c r="B453" s="151">
        <v>37951</v>
      </c>
      <c r="C453" s="151">
        <v>43787</v>
      </c>
      <c r="D453" s="150">
        <v>15</v>
      </c>
      <c r="E453" s="4" t="s">
        <v>58</v>
      </c>
      <c r="F453" s="143" t="s">
        <v>116</v>
      </c>
      <c r="G453" s="142">
        <v>25.072407678715205</v>
      </c>
      <c r="H453" s="11" t="s">
        <v>59</v>
      </c>
      <c r="I453" s="281" t="s">
        <v>60</v>
      </c>
      <c r="J453" s="271">
        <v>5</v>
      </c>
      <c r="K453" s="260">
        <v>5</v>
      </c>
      <c r="L453" s="271"/>
      <c r="M453" s="260"/>
      <c r="N453" s="260"/>
      <c r="O453" s="260"/>
      <c r="P453" s="260"/>
      <c r="Q453" s="260"/>
      <c r="R453" s="260"/>
      <c r="S453" s="260"/>
      <c r="T453" s="260"/>
      <c r="U453" s="260"/>
      <c r="V453" s="271">
        <v>5</v>
      </c>
      <c r="W453" s="260">
        <v>5</v>
      </c>
      <c r="X453" s="271">
        <v>160</v>
      </c>
      <c r="Y453" s="260">
        <v>160</v>
      </c>
      <c r="Z453" s="271">
        <v>320</v>
      </c>
      <c r="AA453" s="260">
        <v>160</v>
      </c>
      <c r="AB453" s="271">
        <v>160</v>
      </c>
      <c r="AC453" s="260">
        <v>160</v>
      </c>
      <c r="AD453" s="271"/>
      <c r="AE453" s="260"/>
      <c r="AF453" s="260"/>
      <c r="AG453" s="260"/>
      <c r="AH453" s="174" t="s">
        <v>218</v>
      </c>
      <c r="AI453" s="273">
        <v>10</v>
      </c>
      <c r="AJ453" s="271">
        <v>10</v>
      </c>
      <c r="AK453" s="260"/>
      <c r="AL453" s="260"/>
      <c r="AM453" s="260"/>
      <c r="AN453" s="260"/>
      <c r="AO453" s="260"/>
      <c r="AP453" s="260"/>
      <c r="AQ453" s="260"/>
      <c r="AR453" s="260"/>
      <c r="AS453" s="260"/>
      <c r="AT453" s="260"/>
      <c r="AU453" s="271">
        <v>320</v>
      </c>
      <c r="AV453" s="271">
        <v>320</v>
      </c>
      <c r="AW453" s="271">
        <v>320</v>
      </c>
      <c r="AX453" s="271">
        <v>320</v>
      </c>
      <c r="AY453" s="271">
        <v>320</v>
      </c>
      <c r="AZ453" s="271">
        <v>320</v>
      </c>
      <c r="BA453" s="276">
        <v>320</v>
      </c>
      <c r="BB453" s="276">
        <v>320</v>
      </c>
      <c r="BC453" s="276"/>
      <c r="BD453" s="276"/>
      <c r="BE453" s="276">
        <v>320</v>
      </c>
      <c r="BF453" s="276">
        <v>320</v>
      </c>
      <c r="BG453" s="260">
        <v>640</v>
      </c>
      <c r="BH453" s="271">
        <v>320</v>
      </c>
      <c r="BI453" s="276"/>
      <c r="BJ453" s="276"/>
      <c r="BK453" s="276"/>
      <c r="BL453" s="275"/>
      <c r="BM453" s="280" t="s">
        <v>218</v>
      </c>
      <c r="BN453" s="273">
        <v>10</v>
      </c>
      <c r="BO453" s="270">
        <v>10</v>
      </c>
      <c r="BP453" s="272"/>
      <c r="BQ453" s="260"/>
      <c r="BR453" s="260"/>
      <c r="BS453" s="260"/>
      <c r="BT453" s="260"/>
      <c r="BU453" s="260"/>
      <c r="BV453" s="271">
        <v>5</v>
      </c>
      <c r="BW453" s="260">
        <v>5</v>
      </c>
      <c r="BX453" s="260"/>
      <c r="BY453" s="260"/>
      <c r="BZ453" s="260"/>
      <c r="CA453" s="260"/>
      <c r="CB453" s="271"/>
      <c r="CC453" s="260"/>
      <c r="CD453" s="271">
        <v>80</v>
      </c>
      <c r="CE453" s="260">
        <v>80</v>
      </c>
      <c r="CF453" s="272"/>
      <c r="CG453" s="260"/>
      <c r="CH453" s="260"/>
      <c r="CI453" s="260"/>
      <c r="CJ453" s="260"/>
      <c r="CK453" s="260"/>
      <c r="CL453" s="260"/>
      <c r="CM453" s="260"/>
      <c r="CN453" s="271">
        <v>40</v>
      </c>
      <c r="CO453" s="260">
        <v>20</v>
      </c>
      <c r="CP453" s="271">
        <v>40</v>
      </c>
      <c r="CQ453" s="260">
        <v>20</v>
      </c>
      <c r="CR453" s="271">
        <v>40</v>
      </c>
      <c r="CS453" s="270">
        <v>20</v>
      </c>
      <c r="CT453" s="279" t="s">
        <v>218</v>
      </c>
      <c r="CU453" s="249">
        <f>Table2821115[[#This Row],[D28 - BR/18]]/Table2821115[[#This Row],[D0 - BR/18]]</f>
        <v>1</v>
      </c>
      <c r="CV453" s="248">
        <f>Table2821115[[#This Row],[D28 - KS/17]]/Table2821115[[#This Row],[D0 - KS/17]]</f>
        <v>1</v>
      </c>
      <c r="CW453" s="248">
        <f>Table2821115[[#This Row],[D28 - Phu/13]]/Table2821115[[#This Row],[D0 - Phu/13]]</f>
        <v>1</v>
      </c>
      <c r="CX453" s="248">
        <f>Table2821115[[#This Row],[D28 - CO/17]]/Table2821115[[#This Row],[D0 - CO/17]]</f>
        <v>0.5</v>
      </c>
      <c r="CY453" s="248">
        <f>LOG(Table2821115[[#This Row],[BR/18 Fold]],2)</f>
        <v>0</v>
      </c>
      <c r="CZ453" s="248">
        <f>LOG(Table2821115[[#This Row],[KS/17 Fold]],2)</f>
        <v>0</v>
      </c>
      <c r="DA453" s="248">
        <f>LOG(Table2821115[[#This Row],[Phu/13 Fold]],2)</f>
        <v>0</v>
      </c>
      <c r="DB453" s="248">
        <f>LOG(Table2821115[[#This Row],[CO/17 Fold]],2)</f>
        <v>-1</v>
      </c>
      <c r="DC453" s="248">
        <f>SUM(Table2821115[[#This Row],[BR/18 Log2]:[CO/17 Log2]])</f>
        <v>-1</v>
      </c>
    </row>
    <row r="454" spans="1:107" ht="24" customHeight="1">
      <c r="A454" s="278" t="s">
        <v>219</v>
      </c>
      <c r="B454" s="145">
        <v>39056</v>
      </c>
      <c r="C454" s="145">
        <v>43788</v>
      </c>
      <c r="D454" s="144">
        <v>12</v>
      </c>
      <c r="E454" s="3" t="s">
        <v>61</v>
      </c>
      <c r="F454" s="143" t="s">
        <v>116</v>
      </c>
      <c r="G454" s="142">
        <v>19.024431356599333</v>
      </c>
      <c r="H454" s="11" t="s">
        <v>59</v>
      </c>
      <c r="I454" s="281" t="s">
        <v>60</v>
      </c>
      <c r="J454" s="271">
        <v>5</v>
      </c>
      <c r="K454" s="260">
        <v>5</v>
      </c>
      <c r="L454" s="271"/>
      <c r="M454" s="260"/>
      <c r="N454" s="260"/>
      <c r="O454" s="260"/>
      <c r="P454" s="260"/>
      <c r="Q454" s="260"/>
      <c r="R454" s="260"/>
      <c r="S454" s="260"/>
      <c r="T454" s="260"/>
      <c r="U454" s="260"/>
      <c r="V454" s="271">
        <v>5</v>
      </c>
      <c r="W454" s="260">
        <v>5</v>
      </c>
      <c r="X454" s="271">
        <v>160</v>
      </c>
      <c r="Y454" s="260">
        <v>320</v>
      </c>
      <c r="Z454" s="271">
        <v>320</v>
      </c>
      <c r="AA454" s="260">
        <v>640</v>
      </c>
      <c r="AB454" s="271">
        <v>160</v>
      </c>
      <c r="AC454" s="260">
        <v>320</v>
      </c>
      <c r="AD454" s="271"/>
      <c r="AE454" s="260"/>
      <c r="AF454" s="260"/>
      <c r="AG454" s="260"/>
      <c r="AH454" s="176" t="s">
        <v>219</v>
      </c>
      <c r="AI454" s="273">
        <v>5</v>
      </c>
      <c r="AJ454" s="271">
        <v>10</v>
      </c>
      <c r="AK454" s="260"/>
      <c r="AL454" s="260"/>
      <c r="AM454" s="260"/>
      <c r="AN454" s="260"/>
      <c r="AO454" s="260"/>
      <c r="AP454" s="260"/>
      <c r="AQ454" s="260"/>
      <c r="AR454" s="260"/>
      <c r="AS454" s="260"/>
      <c r="AT454" s="260"/>
      <c r="AU454" s="271">
        <v>160</v>
      </c>
      <c r="AV454" s="271">
        <v>320</v>
      </c>
      <c r="AW454" s="271">
        <v>160</v>
      </c>
      <c r="AX454" s="271">
        <v>320</v>
      </c>
      <c r="AY454" s="271">
        <v>80</v>
      </c>
      <c r="AZ454" s="271">
        <v>160</v>
      </c>
      <c r="BA454" s="276">
        <v>160</v>
      </c>
      <c r="BB454" s="276">
        <v>160</v>
      </c>
      <c r="BC454" s="276"/>
      <c r="BD454" s="276"/>
      <c r="BE454" s="276">
        <v>40</v>
      </c>
      <c r="BF454" s="276">
        <v>160</v>
      </c>
      <c r="BG454" s="260">
        <v>160</v>
      </c>
      <c r="BH454" s="271">
        <v>320</v>
      </c>
      <c r="BI454" s="276"/>
      <c r="BJ454" s="276"/>
      <c r="BK454" s="276"/>
      <c r="BL454" s="275"/>
      <c r="BM454" s="274" t="s">
        <v>219</v>
      </c>
      <c r="BN454" s="273">
        <v>20</v>
      </c>
      <c r="BO454" s="270">
        <v>40</v>
      </c>
      <c r="BP454" s="272"/>
      <c r="BQ454" s="260"/>
      <c r="BR454" s="260"/>
      <c r="BS454" s="260"/>
      <c r="BT454" s="260"/>
      <c r="BU454" s="260"/>
      <c r="BV454" s="271">
        <v>5</v>
      </c>
      <c r="BW454" s="260">
        <v>320</v>
      </c>
      <c r="BX454" s="260"/>
      <c r="BY454" s="260"/>
      <c r="BZ454" s="260"/>
      <c r="CA454" s="260"/>
      <c r="CB454" s="271"/>
      <c r="CC454" s="260"/>
      <c r="CD454" s="271">
        <v>40</v>
      </c>
      <c r="CE454" s="260">
        <v>160</v>
      </c>
      <c r="CF454" s="272"/>
      <c r="CG454" s="260"/>
      <c r="CH454" s="260"/>
      <c r="CI454" s="260"/>
      <c r="CJ454" s="260"/>
      <c r="CK454" s="260"/>
      <c r="CL454" s="260"/>
      <c r="CM454" s="260"/>
      <c r="CN454" s="271">
        <v>80</v>
      </c>
      <c r="CO454" s="260">
        <v>320</v>
      </c>
      <c r="CP454" s="271">
        <v>80</v>
      </c>
      <c r="CQ454" s="260">
        <v>160</v>
      </c>
      <c r="CR454" s="271">
        <v>80</v>
      </c>
      <c r="CS454" s="270">
        <v>160</v>
      </c>
      <c r="CT454" s="269" t="s">
        <v>219</v>
      </c>
      <c r="CU454" s="249">
        <f>Table2821115[[#This Row],[D28 - BR/18]]/Table2821115[[#This Row],[D0 - BR/18]]</f>
        <v>2</v>
      </c>
      <c r="CV454" s="248">
        <f>Table2821115[[#This Row],[D28 - KS/17]]/Table2821115[[#This Row],[D0 - KS/17]]</f>
        <v>4</v>
      </c>
      <c r="CW454" s="248">
        <f>Table2821115[[#This Row],[D28 - Phu/13]]/Table2821115[[#This Row],[D0 - Phu/13]]</f>
        <v>4</v>
      </c>
      <c r="CX454" s="248">
        <f>Table2821115[[#This Row],[D28 - CO/17]]/Table2821115[[#This Row],[D0 - CO/17]]</f>
        <v>2</v>
      </c>
      <c r="CY454" s="248">
        <f>LOG(Table2821115[[#This Row],[BR/18 Fold]],2)</f>
        <v>1</v>
      </c>
      <c r="CZ454" s="248">
        <f>LOG(Table2821115[[#This Row],[KS/17 Fold]],2)</f>
        <v>2</v>
      </c>
      <c r="DA454" s="248">
        <f>LOG(Table2821115[[#This Row],[Phu/13 Fold]],2)</f>
        <v>2</v>
      </c>
      <c r="DB454" s="248">
        <f>LOG(Table2821115[[#This Row],[CO/17 Fold]],2)</f>
        <v>1</v>
      </c>
      <c r="DC454" s="248">
        <f>SUM(Table2821115[[#This Row],[BR/18 Log2]:[CO/17 Log2]])</f>
        <v>6</v>
      </c>
    </row>
    <row r="455" spans="1:107" ht="24" customHeight="1">
      <c r="A455" s="282" t="s">
        <v>220</v>
      </c>
      <c r="B455" s="151">
        <v>37850</v>
      </c>
      <c r="C455" s="151">
        <v>43794</v>
      </c>
      <c r="D455" s="150">
        <v>16</v>
      </c>
      <c r="E455" s="3" t="s">
        <v>61</v>
      </c>
      <c r="F455" s="143" t="s">
        <v>116</v>
      </c>
      <c r="G455" s="142">
        <v>24.911123783639496</v>
      </c>
      <c r="H455" s="11" t="s">
        <v>59</v>
      </c>
      <c r="I455" s="281" t="s">
        <v>60</v>
      </c>
      <c r="J455" s="271">
        <v>5</v>
      </c>
      <c r="K455" s="260">
        <v>5</v>
      </c>
      <c r="L455" s="271"/>
      <c r="M455" s="260"/>
      <c r="N455" s="260"/>
      <c r="O455" s="260"/>
      <c r="P455" s="260"/>
      <c r="Q455" s="260"/>
      <c r="R455" s="260"/>
      <c r="S455" s="260"/>
      <c r="T455" s="260"/>
      <c r="U455" s="260"/>
      <c r="V455" s="271">
        <v>5</v>
      </c>
      <c r="W455" s="260">
        <v>5</v>
      </c>
      <c r="X455" s="271">
        <v>320</v>
      </c>
      <c r="Y455" s="260">
        <v>320</v>
      </c>
      <c r="Z455" s="271">
        <v>640</v>
      </c>
      <c r="AA455" s="260">
        <v>640</v>
      </c>
      <c r="AB455" s="271">
        <v>320</v>
      </c>
      <c r="AC455" s="260">
        <v>320</v>
      </c>
      <c r="AD455" s="271"/>
      <c r="AE455" s="260"/>
      <c r="AF455" s="260"/>
      <c r="AG455" s="260"/>
      <c r="AH455" s="174" t="s">
        <v>220</v>
      </c>
      <c r="AI455" s="273">
        <v>5</v>
      </c>
      <c r="AJ455" s="271">
        <v>40</v>
      </c>
      <c r="AK455" s="260"/>
      <c r="AL455" s="260"/>
      <c r="AM455" s="260"/>
      <c r="AN455" s="260"/>
      <c r="AO455" s="260"/>
      <c r="AP455" s="260"/>
      <c r="AQ455" s="260"/>
      <c r="AR455" s="260"/>
      <c r="AS455" s="260"/>
      <c r="AT455" s="260"/>
      <c r="AU455" s="271">
        <v>320</v>
      </c>
      <c r="AV455" s="271">
        <v>640</v>
      </c>
      <c r="AW455" s="271">
        <v>160</v>
      </c>
      <c r="AX455" s="271">
        <v>640</v>
      </c>
      <c r="AY455" s="271">
        <v>160</v>
      </c>
      <c r="AZ455" s="271">
        <v>320</v>
      </c>
      <c r="BA455" s="276">
        <v>320</v>
      </c>
      <c r="BB455" s="276">
        <v>640</v>
      </c>
      <c r="BC455" s="276"/>
      <c r="BD455" s="276"/>
      <c r="BE455" s="276">
        <v>80</v>
      </c>
      <c r="BF455" s="276">
        <v>320</v>
      </c>
      <c r="BG455" s="260">
        <v>320</v>
      </c>
      <c r="BH455" s="271">
        <v>320</v>
      </c>
      <c r="BI455" s="276"/>
      <c r="BJ455" s="276"/>
      <c r="BK455" s="276"/>
      <c r="BL455" s="275"/>
      <c r="BM455" s="280" t="s">
        <v>220</v>
      </c>
      <c r="BN455" s="273">
        <v>10</v>
      </c>
      <c r="BO455" s="270">
        <v>20</v>
      </c>
      <c r="BP455" s="272"/>
      <c r="BQ455" s="260"/>
      <c r="BR455" s="260"/>
      <c r="BS455" s="260"/>
      <c r="BT455" s="260"/>
      <c r="BU455" s="260"/>
      <c r="BV455" s="271">
        <v>320</v>
      </c>
      <c r="BW455" s="260">
        <v>640</v>
      </c>
      <c r="BX455" s="260"/>
      <c r="BY455" s="260"/>
      <c r="BZ455" s="260"/>
      <c r="CA455" s="260"/>
      <c r="CB455" s="271"/>
      <c r="CC455" s="260"/>
      <c r="CD455" s="271">
        <v>320</v>
      </c>
      <c r="CE455" s="260">
        <v>160</v>
      </c>
      <c r="CF455" s="272"/>
      <c r="CG455" s="260"/>
      <c r="CH455" s="260"/>
      <c r="CI455" s="260"/>
      <c r="CJ455" s="260"/>
      <c r="CK455" s="260"/>
      <c r="CL455" s="260"/>
      <c r="CM455" s="260"/>
      <c r="CN455" s="271">
        <v>80</v>
      </c>
      <c r="CO455" s="260">
        <v>40</v>
      </c>
      <c r="CP455" s="271">
        <v>80</v>
      </c>
      <c r="CQ455" s="260">
        <v>40</v>
      </c>
      <c r="CR455" s="271">
        <v>80</v>
      </c>
      <c r="CS455" s="270">
        <v>40</v>
      </c>
      <c r="CT455" s="279" t="s">
        <v>220</v>
      </c>
      <c r="CU455" s="249">
        <f>Table2821115[[#This Row],[D28 - BR/18]]/Table2821115[[#This Row],[D0 - BR/18]]</f>
        <v>1</v>
      </c>
      <c r="CV455" s="248">
        <f>Table2821115[[#This Row],[D28 - KS/17]]/Table2821115[[#This Row],[D0 - KS/17]]</f>
        <v>4</v>
      </c>
      <c r="CW455" s="248">
        <f>Table2821115[[#This Row],[D28 - Phu/13]]/Table2821115[[#This Row],[D0 - Phu/13]]</f>
        <v>0.5</v>
      </c>
      <c r="CX455" s="248">
        <f>Table2821115[[#This Row],[D28 - CO/17]]/Table2821115[[#This Row],[D0 - CO/17]]</f>
        <v>0.5</v>
      </c>
      <c r="CY455" s="248">
        <f>LOG(Table2821115[[#This Row],[BR/18 Fold]],2)</f>
        <v>0</v>
      </c>
      <c r="CZ455" s="248">
        <f>LOG(Table2821115[[#This Row],[KS/17 Fold]],2)</f>
        <v>2</v>
      </c>
      <c r="DA455" s="248">
        <f>LOG(Table2821115[[#This Row],[Phu/13 Fold]],2)</f>
        <v>-1</v>
      </c>
      <c r="DB455" s="248">
        <f>LOG(Table2821115[[#This Row],[CO/17 Fold]],2)</f>
        <v>-1</v>
      </c>
      <c r="DC455" s="248">
        <f>SUM(Table2821115[[#This Row],[BR/18 Log2]:[CO/17 Log2]])</f>
        <v>0</v>
      </c>
    </row>
    <row r="456" spans="1:107" ht="24" customHeight="1">
      <c r="A456" s="278" t="s">
        <v>221</v>
      </c>
      <c r="B456" s="145">
        <v>38718</v>
      </c>
      <c r="C456" s="145">
        <v>43810</v>
      </c>
      <c r="D456" s="144">
        <v>13</v>
      </c>
      <c r="E456" s="4" t="s">
        <v>58</v>
      </c>
      <c r="F456" s="143" t="s">
        <v>116</v>
      </c>
      <c r="G456" s="142">
        <v>19.064249893257632</v>
      </c>
      <c r="H456" s="11" t="s">
        <v>59</v>
      </c>
      <c r="I456" s="281" t="s">
        <v>60</v>
      </c>
      <c r="J456" s="271">
        <v>5</v>
      </c>
      <c r="K456" s="260">
        <v>5</v>
      </c>
      <c r="L456" s="271"/>
      <c r="M456" s="260"/>
      <c r="N456" s="260"/>
      <c r="O456" s="260"/>
      <c r="P456" s="260"/>
      <c r="Q456" s="260"/>
      <c r="R456" s="260"/>
      <c r="S456" s="260"/>
      <c r="T456" s="260"/>
      <c r="U456" s="260"/>
      <c r="V456" s="271">
        <v>20</v>
      </c>
      <c r="W456" s="260">
        <v>20</v>
      </c>
      <c r="X456" s="271">
        <v>160</v>
      </c>
      <c r="Y456" s="260">
        <v>160</v>
      </c>
      <c r="Z456" s="271">
        <v>320</v>
      </c>
      <c r="AA456" s="260">
        <v>320</v>
      </c>
      <c r="AB456" s="271">
        <v>160</v>
      </c>
      <c r="AC456" s="260">
        <v>160</v>
      </c>
      <c r="AD456" s="271"/>
      <c r="AE456" s="260"/>
      <c r="AF456" s="260"/>
      <c r="AG456" s="260"/>
      <c r="AH456" s="176" t="s">
        <v>221</v>
      </c>
      <c r="AI456" s="273">
        <v>40</v>
      </c>
      <c r="AJ456" s="271">
        <v>40</v>
      </c>
      <c r="AK456" s="260"/>
      <c r="AL456" s="260"/>
      <c r="AM456" s="260"/>
      <c r="AN456" s="260"/>
      <c r="AO456" s="260"/>
      <c r="AP456" s="260"/>
      <c r="AQ456" s="260"/>
      <c r="AR456" s="260"/>
      <c r="AS456" s="260"/>
      <c r="AT456" s="260"/>
      <c r="AU456" s="271">
        <v>320</v>
      </c>
      <c r="AV456" s="271">
        <v>320</v>
      </c>
      <c r="AW456" s="271">
        <v>320</v>
      </c>
      <c r="AX456" s="271">
        <v>640</v>
      </c>
      <c r="AY456" s="271">
        <v>320</v>
      </c>
      <c r="AZ456" s="271">
        <v>320</v>
      </c>
      <c r="BA456" s="276">
        <v>640</v>
      </c>
      <c r="BB456" s="276">
        <v>320</v>
      </c>
      <c r="BC456" s="276"/>
      <c r="BD456" s="276"/>
      <c r="BE456" s="276">
        <v>10</v>
      </c>
      <c r="BF456" s="276">
        <v>160</v>
      </c>
      <c r="BG456" s="260">
        <v>640</v>
      </c>
      <c r="BH456" s="271">
        <v>640</v>
      </c>
      <c r="BI456" s="276"/>
      <c r="BJ456" s="276"/>
      <c r="BK456" s="276"/>
      <c r="BL456" s="275"/>
      <c r="BM456" s="274" t="s">
        <v>221</v>
      </c>
      <c r="BN456" s="273">
        <v>20</v>
      </c>
      <c r="BO456" s="270">
        <v>20</v>
      </c>
      <c r="BP456" s="272"/>
      <c r="BQ456" s="260"/>
      <c r="BR456" s="260"/>
      <c r="BS456" s="260"/>
      <c r="BT456" s="260"/>
      <c r="BU456" s="260"/>
      <c r="BV456" s="271">
        <v>5</v>
      </c>
      <c r="BW456" s="260">
        <v>5</v>
      </c>
      <c r="BX456" s="260"/>
      <c r="BY456" s="260"/>
      <c r="BZ456" s="260"/>
      <c r="CA456" s="260"/>
      <c r="CB456" s="271"/>
      <c r="CC456" s="260"/>
      <c r="CD456" s="271">
        <v>20</v>
      </c>
      <c r="CE456" s="260">
        <v>20</v>
      </c>
      <c r="CF456" s="272"/>
      <c r="CG456" s="260"/>
      <c r="CH456" s="260"/>
      <c r="CI456" s="260"/>
      <c r="CJ456" s="260"/>
      <c r="CK456" s="260"/>
      <c r="CL456" s="260"/>
      <c r="CM456" s="260"/>
      <c r="CN456" s="271">
        <v>20</v>
      </c>
      <c r="CO456" s="260">
        <v>20</v>
      </c>
      <c r="CP456" s="271">
        <v>40</v>
      </c>
      <c r="CQ456" s="260">
        <v>40</v>
      </c>
      <c r="CR456" s="271">
        <v>40</v>
      </c>
      <c r="CS456" s="270">
        <v>40</v>
      </c>
      <c r="CT456" s="269" t="s">
        <v>221</v>
      </c>
      <c r="CU456" s="249">
        <f>Table2821115[[#This Row],[D28 - BR/18]]/Table2821115[[#This Row],[D0 - BR/18]]</f>
        <v>1</v>
      </c>
      <c r="CV456" s="248">
        <f>Table2821115[[#This Row],[D28 - KS/17]]/Table2821115[[#This Row],[D0 - KS/17]]</f>
        <v>16</v>
      </c>
      <c r="CW456" s="248">
        <f>Table2821115[[#This Row],[D28 - Phu/13]]/Table2821115[[#This Row],[D0 - Phu/13]]</f>
        <v>1</v>
      </c>
      <c r="CX456" s="248">
        <f>Table2821115[[#This Row],[D28 - CO/17]]/Table2821115[[#This Row],[D0 - CO/17]]</f>
        <v>1</v>
      </c>
      <c r="CY456" s="248">
        <f>LOG(Table2821115[[#This Row],[BR/18 Fold]],2)</f>
        <v>0</v>
      </c>
      <c r="CZ456" s="248">
        <f>LOG(Table2821115[[#This Row],[KS/17 Fold]],2)</f>
        <v>4</v>
      </c>
      <c r="DA456" s="248">
        <f>LOG(Table2821115[[#This Row],[Phu/13 Fold]],2)</f>
        <v>0</v>
      </c>
      <c r="DB456" s="248">
        <f>LOG(Table2821115[[#This Row],[CO/17 Fold]],2)</f>
        <v>0</v>
      </c>
      <c r="DC456" s="248">
        <f>SUM(Table2821115[[#This Row],[BR/18 Log2]:[CO/17 Log2]])</f>
        <v>4</v>
      </c>
    </row>
    <row r="457" spans="1:107" ht="24" customHeight="1">
      <c r="A457" s="282" t="s">
        <v>222</v>
      </c>
      <c r="B457" s="151">
        <v>37694</v>
      </c>
      <c r="C457" s="151">
        <v>43806</v>
      </c>
      <c r="D457" s="150">
        <v>16</v>
      </c>
      <c r="E457" s="4" t="s">
        <v>58</v>
      </c>
      <c r="F457" s="143" t="s">
        <v>223</v>
      </c>
      <c r="G457" s="142">
        <v>25.983379501385041</v>
      </c>
      <c r="H457" s="11" t="s">
        <v>59</v>
      </c>
      <c r="I457" s="281" t="s">
        <v>60</v>
      </c>
      <c r="J457" s="271">
        <v>5</v>
      </c>
      <c r="K457" s="260">
        <v>5</v>
      </c>
      <c r="L457" s="271"/>
      <c r="M457" s="260"/>
      <c r="N457" s="260"/>
      <c r="O457" s="260"/>
      <c r="P457" s="260"/>
      <c r="Q457" s="260"/>
      <c r="R457" s="260"/>
      <c r="S457" s="260"/>
      <c r="T457" s="260"/>
      <c r="U457" s="260"/>
      <c r="V457" s="271">
        <v>40</v>
      </c>
      <c r="W457" s="260">
        <v>40</v>
      </c>
      <c r="X457" s="271">
        <v>160</v>
      </c>
      <c r="Y457" s="260">
        <v>160</v>
      </c>
      <c r="Z457" s="271">
        <v>160</v>
      </c>
      <c r="AA457" s="260">
        <v>160</v>
      </c>
      <c r="AB457" s="271">
        <v>80</v>
      </c>
      <c r="AC457" s="260">
        <v>80</v>
      </c>
      <c r="AD457" s="271"/>
      <c r="AE457" s="260"/>
      <c r="AF457" s="260"/>
      <c r="AG457" s="260"/>
      <c r="AH457" s="174" t="s">
        <v>222</v>
      </c>
      <c r="AI457" s="273">
        <v>10</v>
      </c>
      <c r="AJ457" s="271">
        <v>10</v>
      </c>
      <c r="AK457" s="260"/>
      <c r="AL457" s="260"/>
      <c r="AM457" s="260"/>
      <c r="AN457" s="260"/>
      <c r="AO457" s="260"/>
      <c r="AP457" s="260"/>
      <c r="AQ457" s="260"/>
      <c r="AR457" s="260"/>
      <c r="AS457" s="260"/>
      <c r="AT457" s="260"/>
      <c r="AU457" s="271">
        <v>80</v>
      </c>
      <c r="AV457" s="271">
        <v>320</v>
      </c>
      <c r="AW457" s="271">
        <v>80</v>
      </c>
      <c r="AX457" s="271">
        <v>320</v>
      </c>
      <c r="AY457" s="271">
        <v>40</v>
      </c>
      <c r="AZ457" s="271">
        <v>80</v>
      </c>
      <c r="BA457" s="276">
        <v>40</v>
      </c>
      <c r="BB457" s="276">
        <v>80</v>
      </c>
      <c r="BC457" s="276"/>
      <c r="BD457" s="276"/>
      <c r="BE457" s="276">
        <v>20</v>
      </c>
      <c r="BF457" s="276">
        <v>40</v>
      </c>
      <c r="BG457" s="260">
        <v>20</v>
      </c>
      <c r="BH457" s="271">
        <v>40</v>
      </c>
      <c r="BI457" s="276"/>
      <c r="BJ457" s="276"/>
      <c r="BK457" s="276"/>
      <c r="BL457" s="275"/>
      <c r="BM457" s="280" t="s">
        <v>222</v>
      </c>
      <c r="BN457" s="273">
        <v>10</v>
      </c>
      <c r="BO457" s="270">
        <v>80</v>
      </c>
      <c r="BP457" s="272"/>
      <c r="BQ457" s="260"/>
      <c r="BR457" s="260"/>
      <c r="BS457" s="260"/>
      <c r="BT457" s="260"/>
      <c r="BU457" s="260"/>
      <c r="BV457" s="271">
        <v>80</v>
      </c>
      <c r="BW457" s="260">
        <v>160</v>
      </c>
      <c r="BX457" s="260"/>
      <c r="BY457" s="260"/>
      <c r="BZ457" s="260"/>
      <c r="CA457" s="260"/>
      <c r="CB457" s="271"/>
      <c r="CC457" s="260"/>
      <c r="CD457" s="271">
        <v>80</v>
      </c>
      <c r="CE457" s="260">
        <v>160</v>
      </c>
      <c r="CF457" s="272"/>
      <c r="CG457" s="260"/>
      <c r="CH457" s="260"/>
      <c r="CI457" s="260"/>
      <c r="CJ457" s="260"/>
      <c r="CK457" s="260"/>
      <c r="CL457" s="260"/>
      <c r="CM457" s="260"/>
      <c r="CN457" s="271">
        <v>20</v>
      </c>
      <c r="CO457" s="260">
        <v>40</v>
      </c>
      <c r="CP457" s="271">
        <v>20</v>
      </c>
      <c r="CQ457" s="260">
        <v>80</v>
      </c>
      <c r="CR457" s="271">
        <v>20</v>
      </c>
      <c r="CS457" s="270">
        <v>80</v>
      </c>
      <c r="CT457" s="279" t="s">
        <v>222</v>
      </c>
      <c r="CU457" s="249">
        <f>Table2821115[[#This Row],[D28 - BR/18]]/Table2821115[[#This Row],[D0 - BR/18]]</f>
        <v>1</v>
      </c>
      <c r="CV457" s="248">
        <f>Table2821115[[#This Row],[D28 - KS/17]]/Table2821115[[#This Row],[D0 - KS/17]]</f>
        <v>2</v>
      </c>
      <c r="CW457" s="248">
        <f>Table2821115[[#This Row],[D28 - Phu/13]]/Table2821115[[#This Row],[D0 - Phu/13]]</f>
        <v>2</v>
      </c>
      <c r="CX457" s="248">
        <f>Table2821115[[#This Row],[D28 - CO/17]]/Table2821115[[#This Row],[D0 - CO/17]]</f>
        <v>4</v>
      </c>
      <c r="CY457" s="248">
        <f>LOG(Table2821115[[#This Row],[BR/18 Fold]],2)</f>
        <v>0</v>
      </c>
      <c r="CZ457" s="248">
        <f>LOG(Table2821115[[#This Row],[KS/17 Fold]],2)</f>
        <v>1</v>
      </c>
      <c r="DA457" s="248">
        <f>LOG(Table2821115[[#This Row],[Phu/13 Fold]],2)</f>
        <v>1</v>
      </c>
      <c r="DB457" s="248">
        <f>LOG(Table2821115[[#This Row],[CO/17 Fold]],2)</f>
        <v>2</v>
      </c>
      <c r="DC457" s="248">
        <f>SUM(Table2821115[[#This Row],[BR/18 Log2]:[CO/17 Log2]])</f>
        <v>4</v>
      </c>
    </row>
    <row r="458" spans="1:107" ht="24" customHeight="1">
      <c r="A458" s="282" t="s">
        <v>224</v>
      </c>
      <c r="B458" s="151">
        <v>37892</v>
      </c>
      <c r="C458" s="151">
        <v>43794</v>
      </c>
      <c r="D458" s="150">
        <v>16</v>
      </c>
      <c r="E458" s="3" t="s">
        <v>61</v>
      </c>
      <c r="F458" s="143" t="s">
        <v>117</v>
      </c>
      <c r="G458" s="142">
        <v>34.77130012248535</v>
      </c>
      <c r="H458" s="11" t="s">
        <v>59</v>
      </c>
      <c r="I458" s="281" t="s">
        <v>60</v>
      </c>
      <c r="J458" s="271">
        <v>5</v>
      </c>
      <c r="K458" s="260">
        <v>10</v>
      </c>
      <c r="L458" s="271"/>
      <c r="M458" s="260"/>
      <c r="N458" s="260"/>
      <c r="O458" s="260"/>
      <c r="P458" s="260"/>
      <c r="Q458" s="260"/>
      <c r="R458" s="260"/>
      <c r="S458" s="260"/>
      <c r="T458" s="260"/>
      <c r="U458" s="260"/>
      <c r="V458" s="271">
        <v>40</v>
      </c>
      <c r="W458" s="260">
        <v>40</v>
      </c>
      <c r="X458" s="271">
        <v>320</v>
      </c>
      <c r="Y458" s="260">
        <v>320</v>
      </c>
      <c r="Z458" s="271">
        <v>320</v>
      </c>
      <c r="AA458" s="260">
        <v>640</v>
      </c>
      <c r="AB458" s="271">
        <v>320</v>
      </c>
      <c r="AC458" s="260">
        <v>320</v>
      </c>
      <c r="AD458" s="271"/>
      <c r="AE458" s="260"/>
      <c r="AF458" s="260"/>
      <c r="AG458" s="260"/>
      <c r="AH458" s="174" t="s">
        <v>224</v>
      </c>
      <c r="AI458" s="273">
        <v>10</v>
      </c>
      <c r="AJ458" s="271">
        <v>40</v>
      </c>
      <c r="AK458" s="260"/>
      <c r="AL458" s="260"/>
      <c r="AM458" s="260"/>
      <c r="AN458" s="260"/>
      <c r="AO458" s="260"/>
      <c r="AP458" s="260"/>
      <c r="AQ458" s="260"/>
      <c r="AR458" s="260"/>
      <c r="AS458" s="260"/>
      <c r="AT458" s="260"/>
      <c r="AU458" s="271">
        <v>320</v>
      </c>
      <c r="AV458" s="271">
        <v>640</v>
      </c>
      <c r="AW458" s="271">
        <v>160</v>
      </c>
      <c r="AX458" s="271">
        <v>320</v>
      </c>
      <c r="AY458" s="271">
        <v>160</v>
      </c>
      <c r="AZ458" s="271">
        <v>320</v>
      </c>
      <c r="BA458" s="276">
        <v>320</v>
      </c>
      <c r="BB458" s="276">
        <v>640</v>
      </c>
      <c r="BC458" s="276"/>
      <c r="BD458" s="276"/>
      <c r="BE458" s="276">
        <v>5</v>
      </c>
      <c r="BF458" s="276">
        <v>80</v>
      </c>
      <c r="BG458" s="260">
        <v>640</v>
      </c>
      <c r="BH458" s="271">
        <v>640</v>
      </c>
      <c r="BI458" s="276"/>
      <c r="BJ458" s="276"/>
      <c r="BK458" s="276"/>
      <c r="BL458" s="275"/>
      <c r="BM458" s="280" t="s">
        <v>224</v>
      </c>
      <c r="BN458" s="273">
        <v>20</v>
      </c>
      <c r="BO458" s="270">
        <v>80</v>
      </c>
      <c r="BP458" s="272"/>
      <c r="BQ458" s="260"/>
      <c r="BR458" s="260"/>
      <c r="BS458" s="260"/>
      <c r="BT458" s="260"/>
      <c r="BU458" s="260"/>
      <c r="BV458" s="271">
        <v>160</v>
      </c>
      <c r="BW458" s="260">
        <v>320</v>
      </c>
      <c r="BX458" s="260"/>
      <c r="BY458" s="260"/>
      <c r="BZ458" s="260"/>
      <c r="CA458" s="260"/>
      <c r="CB458" s="271"/>
      <c r="CC458" s="260"/>
      <c r="CD458" s="271">
        <v>160</v>
      </c>
      <c r="CE458" s="260">
        <v>320</v>
      </c>
      <c r="CF458" s="272"/>
      <c r="CG458" s="260"/>
      <c r="CH458" s="260"/>
      <c r="CI458" s="260"/>
      <c r="CJ458" s="260"/>
      <c r="CK458" s="260"/>
      <c r="CL458" s="260"/>
      <c r="CM458" s="260"/>
      <c r="CN458" s="271">
        <v>20</v>
      </c>
      <c r="CO458" s="260">
        <v>40</v>
      </c>
      <c r="CP458" s="271">
        <v>10</v>
      </c>
      <c r="CQ458" s="260">
        <v>80</v>
      </c>
      <c r="CR458" s="271">
        <v>20</v>
      </c>
      <c r="CS458" s="270">
        <v>80</v>
      </c>
      <c r="CT458" s="279" t="s">
        <v>224</v>
      </c>
      <c r="CU458" s="249">
        <f>Table2821115[[#This Row],[D28 - BR/18]]/Table2821115[[#This Row],[D0 - BR/18]]</f>
        <v>1</v>
      </c>
      <c r="CV458" s="248">
        <f>Table2821115[[#This Row],[D28 - KS/17]]/Table2821115[[#This Row],[D0 - KS/17]]</f>
        <v>16</v>
      </c>
      <c r="CW458" s="248">
        <f>Table2821115[[#This Row],[D28 - Phu/13]]/Table2821115[[#This Row],[D0 - Phu/13]]</f>
        <v>2</v>
      </c>
      <c r="CX458" s="248">
        <f>Table2821115[[#This Row],[D28 - CO/17]]/Table2821115[[#This Row],[D0 - CO/17]]</f>
        <v>8</v>
      </c>
      <c r="CY458" s="248">
        <f>LOG(Table2821115[[#This Row],[BR/18 Fold]],2)</f>
        <v>0</v>
      </c>
      <c r="CZ458" s="248">
        <f>LOG(Table2821115[[#This Row],[KS/17 Fold]],2)</f>
        <v>4</v>
      </c>
      <c r="DA458" s="248">
        <f>LOG(Table2821115[[#This Row],[Phu/13 Fold]],2)</f>
        <v>1</v>
      </c>
      <c r="DB458" s="248">
        <f>LOG(Table2821115[[#This Row],[CO/17 Fold]],2)</f>
        <v>3</v>
      </c>
      <c r="DC458" s="248">
        <f>SUM(Table2821115[[#This Row],[BR/18 Log2]:[CO/17 Log2]])</f>
        <v>8</v>
      </c>
    </row>
    <row r="459" spans="1:107" ht="24" customHeight="1">
      <c r="A459" s="282" t="s">
        <v>225</v>
      </c>
      <c r="B459" s="151">
        <v>37491</v>
      </c>
      <c r="C459" s="151">
        <v>43795</v>
      </c>
      <c r="D459" s="150">
        <v>17</v>
      </c>
      <c r="E459" s="4" t="s">
        <v>58</v>
      </c>
      <c r="F459" s="143" t="s">
        <v>116</v>
      </c>
      <c r="G459" s="142">
        <v>23.283169789555966</v>
      </c>
      <c r="H459" s="11" t="s">
        <v>59</v>
      </c>
      <c r="I459" s="281" t="s">
        <v>60</v>
      </c>
      <c r="J459" s="271">
        <v>5</v>
      </c>
      <c r="K459" s="260">
        <v>5</v>
      </c>
      <c r="L459" s="271"/>
      <c r="M459" s="260"/>
      <c r="N459" s="260"/>
      <c r="O459" s="260"/>
      <c r="P459" s="260"/>
      <c r="Q459" s="260"/>
      <c r="R459" s="260"/>
      <c r="S459" s="260"/>
      <c r="T459" s="260"/>
      <c r="U459" s="260"/>
      <c r="V459" s="271">
        <v>5</v>
      </c>
      <c r="W459" s="260">
        <v>5</v>
      </c>
      <c r="X459" s="271">
        <v>40</v>
      </c>
      <c r="Y459" s="260">
        <v>40</v>
      </c>
      <c r="Z459" s="271">
        <v>40</v>
      </c>
      <c r="AA459" s="260">
        <v>80</v>
      </c>
      <c r="AB459" s="271">
        <v>40</v>
      </c>
      <c r="AC459" s="260">
        <v>40</v>
      </c>
      <c r="AD459" s="271"/>
      <c r="AE459" s="260"/>
      <c r="AF459" s="260"/>
      <c r="AG459" s="260"/>
      <c r="AH459" s="174" t="s">
        <v>225</v>
      </c>
      <c r="AI459" s="273">
        <v>20</v>
      </c>
      <c r="AJ459" s="271">
        <v>20</v>
      </c>
      <c r="AK459" s="260"/>
      <c r="AL459" s="260"/>
      <c r="AM459" s="260"/>
      <c r="AN459" s="260"/>
      <c r="AO459" s="260"/>
      <c r="AP459" s="260"/>
      <c r="AQ459" s="260"/>
      <c r="AR459" s="260"/>
      <c r="AS459" s="260"/>
      <c r="AT459" s="260"/>
      <c r="AU459" s="271">
        <v>40</v>
      </c>
      <c r="AV459" s="271">
        <v>80</v>
      </c>
      <c r="AW459" s="271">
        <v>40</v>
      </c>
      <c r="AX459" s="271">
        <v>160</v>
      </c>
      <c r="AY459" s="271">
        <v>40</v>
      </c>
      <c r="AZ459" s="271">
        <v>80</v>
      </c>
      <c r="BA459" s="276">
        <v>80</v>
      </c>
      <c r="BB459" s="276">
        <v>80</v>
      </c>
      <c r="BC459" s="276"/>
      <c r="BD459" s="276"/>
      <c r="BE459" s="276">
        <v>20</v>
      </c>
      <c r="BF459" s="276">
        <v>80</v>
      </c>
      <c r="BG459" s="260">
        <v>80</v>
      </c>
      <c r="BH459" s="271">
        <v>80</v>
      </c>
      <c r="BI459" s="276"/>
      <c r="BJ459" s="276"/>
      <c r="BK459" s="276"/>
      <c r="BL459" s="275"/>
      <c r="BM459" s="280" t="s">
        <v>225</v>
      </c>
      <c r="BN459" s="273">
        <v>20</v>
      </c>
      <c r="BO459" s="270">
        <v>20</v>
      </c>
      <c r="BP459" s="272"/>
      <c r="BQ459" s="260"/>
      <c r="BR459" s="260"/>
      <c r="BS459" s="260"/>
      <c r="BT459" s="260"/>
      <c r="BU459" s="260"/>
      <c r="BV459" s="271">
        <v>160</v>
      </c>
      <c r="BW459" s="260">
        <v>160</v>
      </c>
      <c r="BX459" s="260"/>
      <c r="BY459" s="260"/>
      <c r="BZ459" s="260"/>
      <c r="CA459" s="260"/>
      <c r="CB459" s="271"/>
      <c r="CC459" s="260"/>
      <c r="CD459" s="271">
        <v>80</v>
      </c>
      <c r="CE459" s="260">
        <v>80</v>
      </c>
      <c r="CF459" s="272"/>
      <c r="CG459" s="260"/>
      <c r="CH459" s="260"/>
      <c r="CI459" s="260"/>
      <c r="CJ459" s="260"/>
      <c r="CK459" s="260"/>
      <c r="CL459" s="260"/>
      <c r="CM459" s="260"/>
      <c r="CN459" s="271">
        <v>80</v>
      </c>
      <c r="CO459" s="260">
        <v>80</v>
      </c>
      <c r="CP459" s="271">
        <v>160</v>
      </c>
      <c r="CQ459" s="260">
        <v>80</v>
      </c>
      <c r="CR459" s="271">
        <v>160</v>
      </c>
      <c r="CS459" s="270">
        <v>80</v>
      </c>
      <c r="CT459" s="279" t="s">
        <v>225</v>
      </c>
      <c r="CU459" s="249">
        <f>Table2821115[[#This Row],[D28 - BR/18]]/Table2821115[[#This Row],[D0 - BR/18]]</f>
        <v>1</v>
      </c>
      <c r="CV459" s="248">
        <f>Table2821115[[#This Row],[D28 - KS/17]]/Table2821115[[#This Row],[D0 - KS/17]]</f>
        <v>4</v>
      </c>
      <c r="CW459" s="248">
        <f>Table2821115[[#This Row],[D28 - Phu/13]]/Table2821115[[#This Row],[D0 - Phu/13]]</f>
        <v>1</v>
      </c>
      <c r="CX459" s="248">
        <f>Table2821115[[#This Row],[D28 - CO/17]]/Table2821115[[#This Row],[D0 - CO/17]]</f>
        <v>0.5</v>
      </c>
      <c r="CY459" s="248">
        <f>LOG(Table2821115[[#This Row],[BR/18 Fold]],2)</f>
        <v>0</v>
      </c>
      <c r="CZ459" s="248">
        <f>LOG(Table2821115[[#This Row],[KS/17 Fold]],2)</f>
        <v>2</v>
      </c>
      <c r="DA459" s="248">
        <f>LOG(Table2821115[[#This Row],[Phu/13 Fold]],2)</f>
        <v>0</v>
      </c>
      <c r="DB459" s="248">
        <f>LOG(Table2821115[[#This Row],[CO/17 Fold]],2)</f>
        <v>-1</v>
      </c>
      <c r="DC459" s="248">
        <f>SUM(Table2821115[[#This Row],[BR/18 Log2]:[CO/17 Log2]])</f>
        <v>1</v>
      </c>
    </row>
    <row r="460" spans="1:107" ht="24" customHeight="1">
      <c r="A460" s="278" t="s">
        <v>226</v>
      </c>
      <c r="B460" s="145">
        <v>39160</v>
      </c>
      <c r="C460" s="145">
        <v>43794</v>
      </c>
      <c r="D460" s="144">
        <v>12</v>
      </c>
      <c r="E460" s="4" t="s">
        <v>58</v>
      </c>
      <c r="F460" s="143" t="s">
        <v>116</v>
      </c>
      <c r="G460" s="142">
        <v>23.137996219281657</v>
      </c>
      <c r="H460" s="11" t="s">
        <v>59</v>
      </c>
      <c r="I460" s="277" t="s">
        <v>60</v>
      </c>
      <c r="J460" s="271">
        <v>5</v>
      </c>
      <c r="K460" s="260">
        <v>5</v>
      </c>
      <c r="L460" s="271"/>
      <c r="M460" s="260"/>
      <c r="N460" s="260"/>
      <c r="O460" s="260"/>
      <c r="P460" s="260"/>
      <c r="Q460" s="260"/>
      <c r="R460" s="260"/>
      <c r="S460" s="260"/>
      <c r="T460" s="260"/>
      <c r="U460" s="260"/>
      <c r="V460" s="271">
        <v>5</v>
      </c>
      <c r="W460" s="260">
        <v>5</v>
      </c>
      <c r="X460" s="271">
        <v>160</v>
      </c>
      <c r="Y460" s="260">
        <v>160</v>
      </c>
      <c r="Z460" s="271">
        <v>160</v>
      </c>
      <c r="AA460" s="260">
        <v>320</v>
      </c>
      <c r="AB460" s="271">
        <v>160</v>
      </c>
      <c r="AC460" s="260">
        <v>160</v>
      </c>
      <c r="AD460" s="271"/>
      <c r="AE460" s="260"/>
      <c r="AF460" s="260"/>
      <c r="AG460" s="260"/>
      <c r="AH460" s="176" t="s">
        <v>226</v>
      </c>
      <c r="AI460" s="273">
        <v>5</v>
      </c>
      <c r="AJ460" s="271">
        <v>20</v>
      </c>
      <c r="AK460" s="260"/>
      <c r="AL460" s="260"/>
      <c r="AM460" s="260"/>
      <c r="AN460" s="260"/>
      <c r="AO460" s="260"/>
      <c r="AP460" s="260"/>
      <c r="AQ460" s="260"/>
      <c r="AR460" s="260"/>
      <c r="AS460" s="260"/>
      <c r="AT460" s="260"/>
      <c r="AU460" s="271">
        <v>160</v>
      </c>
      <c r="AV460" s="271">
        <v>640</v>
      </c>
      <c r="AW460" s="271">
        <v>80</v>
      </c>
      <c r="AX460" s="271">
        <v>640</v>
      </c>
      <c r="AY460" s="271">
        <v>80</v>
      </c>
      <c r="AZ460" s="271">
        <v>320</v>
      </c>
      <c r="BA460" s="276">
        <v>160</v>
      </c>
      <c r="BB460" s="276">
        <v>320</v>
      </c>
      <c r="BC460" s="276"/>
      <c r="BD460" s="276"/>
      <c r="BE460" s="276">
        <v>20</v>
      </c>
      <c r="BF460" s="276">
        <v>640</v>
      </c>
      <c r="BG460" s="260">
        <v>320</v>
      </c>
      <c r="BH460" s="271">
        <v>320</v>
      </c>
      <c r="BI460" s="276"/>
      <c r="BJ460" s="276"/>
      <c r="BK460" s="276"/>
      <c r="BL460" s="275"/>
      <c r="BM460" s="274" t="s">
        <v>226</v>
      </c>
      <c r="BN460" s="273">
        <v>10</v>
      </c>
      <c r="BO460" s="270">
        <v>20</v>
      </c>
      <c r="BP460" s="272"/>
      <c r="BQ460" s="260"/>
      <c r="BR460" s="260"/>
      <c r="BS460" s="260"/>
      <c r="BT460" s="260"/>
      <c r="BU460" s="260"/>
      <c r="BV460" s="271">
        <v>5</v>
      </c>
      <c r="BW460" s="260">
        <v>320</v>
      </c>
      <c r="BX460" s="260"/>
      <c r="BY460" s="260"/>
      <c r="BZ460" s="260"/>
      <c r="CA460" s="260"/>
      <c r="CB460" s="271"/>
      <c r="CC460" s="260"/>
      <c r="CD460" s="271">
        <v>80</v>
      </c>
      <c r="CE460" s="260">
        <v>160</v>
      </c>
      <c r="CF460" s="272"/>
      <c r="CG460" s="260"/>
      <c r="CH460" s="260"/>
      <c r="CI460" s="260"/>
      <c r="CJ460" s="260"/>
      <c r="CK460" s="260"/>
      <c r="CL460" s="260"/>
      <c r="CM460" s="260"/>
      <c r="CN460" s="271">
        <v>40</v>
      </c>
      <c r="CO460" s="260">
        <v>80</v>
      </c>
      <c r="CP460" s="271">
        <v>40</v>
      </c>
      <c r="CQ460" s="260">
        <v>80</v>
      </c>
      <c r="CR460" s="271">
        <v>40</v>
      </c>
      <c r="CS460" s="270">
        <v>40</v>
      </c>
      <c r="CT460" s="269" t="s">
        <v>226</v>
      </c>
      <c r="CU460" s="249">
        <f>Table2821115[[#This Row],[D28 - BR/18]]/Table2821115[[#This Row],[D0 - BR/18]]</f>
        <v>1</v>
      </c>
      <c r="CV460" s="248">
        <f>Table2821115[[#This Row],[D28 - KS/17]]/Table2821115[[#This Row],[D0 - KS/17]]</f>
        <v>32</v>
      </c>
      <c r="CW460" s="248">
        <f>Table2821115[[#This Row],[D28 - Phu/13]]/Table2821115[[#This Row],[D0 - Phu/13]]</f>
        <v>2</v>
      </c>
      <c r="CX460" s="248">
        <f>Table2821115[[#This Row],[D28 - CO/17]]/Table2821115[[#This Row],[D0 - CO/17]]</f>
        <v>2</v>
      </c>
      <c r="CY460" s="248">
        <f>LOG(Table2821115[[#This Row],[BR/18 Fold]],2)</f>
        <v>0</v>
      </c>
      <c r="CZ460" s="248">
        <f>LOG(Table2821115[[#This Row],[KS/17 Fold]],2)</f>
        <v>5</v>
      </c>
      <c r="DA460" s="248">
        <f>LOG(Table2821115[[#This Row],[Phu/13 Fold]],2)</f>
        <v>1</v>
      </c>
      <c r="DB460" s="248">
        <f>LOG(Table2821115[[#This Row],[CO/17 Fold]],2)</f>
        <v>1</v>
      </c>
      <c r="DC460" s="248">
        <f>SUM(Table2821115[[#This Row],[BR/18 Log2]:[CO/17 Log2]])</f>
        <v>7</v>
      </c>
    </row>
    <row r="461" spans="1:107" ht="24" customHeight="1">
      <c r="A461" s="278" t="s">
        <v>227</v>
      </c>
      <c r="B461" s="145">
        <v>39019</v>
      </c>
      <c r="C461" s="145">
        <v>43773</v>
      </c>
      <c r="D461" s="144">
        <v>13</v>
      </c>
      <c r="E461" s="3" t="s">
        <v>61</v>
      </c>
      <c r="F461" s="143" t="s">
        <v>116</v>
      </c>
      <c r="G461" s="142">
        <v>19.183531953416743</v>
      </c>
      <c r="H461" s="11" t="s">
        <v>59</v>
      </c>
      <c r="I461" s="277" t="s">
        <v>60</v>
      </c>
      <c r="J461" s="271">
        <v>5</v>
      </c>
      <c r="K461" s="260">
        <v>5</v>
      </c>
      <c r="L461" s="271"/>
      <c r="M461" s="260"/>
      <c r="N461" s="260"/>
      <c r="O461" s="260"/>
      <c r="P461" s="260"/>
      <c r="Q461" s="260"/>
      <c r="R461" s="260"/>
      <c r="S461" s="260"/>
      <c r="T461" s="260"/>
      <c r="U461" s="260"/>
      <c r="V461" s="271">
        <v>5</v>
      </c>
      <c r="W461" s="260">
        <v>5</v>
      </c>
      <c r="X461" s="271">
        <v>160</v>
      </c>
      <c r="Y461" s="260">
        <v>160</v>
      </c>
      <c r="Z461" s="271">
        <v>320</v>
      </c>
      <c r="AA461" s="260">
        <v>320</v>
      </c>
      <c r="AB461" s="271">
        <v>160</v>
      </c>
      <c r="AC461" s="260">
        <v>160</v>
      </c>
      <c r="AD461" s="271"/>
      <c r="AE461" s="260"/>
      <c r="AF461" s="260"/>
      <c r="AG461" s="260"/>
      <c r="AH461" s="176" t="s">
        <v>227</v>
      </c>
      <c r="AI461" s="273">
        <v>5</v>
      </c>
      <c r="AJ461" s="271">
        <v>5</v>
      </c>
      <c r="AK461" s="260"/>
      <c r="AL461" s="260"/>
      <c r="AM461" s="260"/>
      <c r="AN461" s="260"/>
      <c r="AO461" s="260"/>
      <c r="AP461" s="260"/>
      <c r="AQ461" s="260"/>
      <c r="AR461" s="260"/>
      <c r="AS461" s="260"/>
      <c r="AT461" s="260"/>
      <c r="AU461" s="271">
        <v>160</v>
      </c>
      <c r="AV461" s="271">
        <v>640</v>
      </c>
      <c r="AW461" s="271">
        <v>160</v>
      </c>
      <c r="AX461" s="271">
        <v>640</v>
      </c>
      <c r="AY461" s="271">
        <v>80</v>
      </c>
      <c r="AZ461" s="271">
        <v>80</v>
      </c>
      <c r="BA461" s="276">
        <v>160</v>
      </c>
      <c r="BB461" s="276">
        <v>160</v>
      </c>
      <c r="BC461" s="276"/>
      <c r="BD461" s="276"/>
      <c r="BE461" s="276">
        <v>10</v>
      </c>
      <c r="BF461" s="276">
        <v>40</v>
      </c>
      <c r="BG461" s="260">
        <v>160</v>
      </c>
      <c r="BH461" s="271">
        <v>160</v>
      </c>
      <c r="BI461" s="276"/>
      <c r="BJ461" s="276"/>
      <c r="BK461" s="276"/>
      <c r="BL461" s="275"/>
      <c r="BM461" s="274" t="s">
        <v>227</v>
      </c>
      <c r="BN461" s="273">
        <v>160</v>
      </c>
      <c r="BO461" s="270">
        <v>160</v>
      </c>
      <c r="BP461" s="272"/>
      <c r="BQ461" s="260"/>
      <c r="BR461" s="260"/>
      <c r="BS461" s="260"/>
      <c r="BT461" s="260"/>
      <c r="BU461" s="260"/>
      <c r="BV461" s="271">
        <v>80</v>
      </c>
      <c r="BW461" s="260">
        <v>160</v>
      </c>
      <c r="BX461" s="260"/>
      <c r="BY461" s="260"/>
      <c r="BZ461" s="260"/>
      <c r="CA461" s="260"/>
      <c r="CB461" s="271"/>
      <c r="CC461" s="260"/>
      <c r="CD461" s="271">
        <v>40</v>
      </c>
      <c r="CE461" s="260">
        <v>80</v>
      </c>
      <c r="CF461" s="272"/>
      <c r="CG461" s="260"/>
      <c r="CH461" s="260"/>
      <c r="CI461" s="260"/>
      <c r="CJ461" s="260"/>
      <c r="CK461" s="260"/>
      <c r="CL461" s="260"/>
      <c r="CM461" s="260"/>
      <c r="CN461" s="271">
        <v>160</v>
      </c>
      <c r="CO461" s="260">
        <v>160</v>
      </c>
      <c r="CP461" s="271">
        <v>160</v>
      </c>
      <c r="CQ461" s="260">
        <v>160</v>
      </c>
      <c r="CR461" s="271">
        <v>160</v>
      </c>
      <c r="CS461" s="270">
        <v>160</v>
      </c>
      <c r="CT461" s="269" t="s">
        <v>227</v>
      </c>
      <c r="CU461" s="249">
        <f>Table2821115[[#This Row],[D28 - BR/18]]/Table2821115[[#This Row],[D0 - BR/18]]</f>
        <v>1</v>
      </c>
      <c r="CV461" s="248">
        <f>Table2821115[[#This Row],[D28 - KS/17]]/Table2821115[[#This Row],[D0 - KS/17]]</f>
        <v>4</v>
      </c>
      <c r="CW461" s="248">
        <f>Table2821115[[#This Row],[D28 - Phu/13]]/Table2821115[[#This Row],[D0 - Phu/13]]</f>
        <v>2</v>
      </c>
      <c r="CX461" s="248">
        <f>Table2821115[[#This Row],[D28 - CO/17]]/Table2821115[[#This Row],[D0 - CO/17]]</f>
        <v>1</v>
      </c>
      <c r="CY461" s="248">
        <f>LOG(Table2821115[[#This Row],[BR/18 Fold]],2)</f>
        <v>0</v>
      </c>
      <c r="CZ461" s="248">
        <f>LOG(Table2821115[[#This Row],[KS/17 Fold]],2)</f>
        <v>2</v>
      </c>
      <c r="DA461" s="248">
        <f>LOG(Table2821115[[#This Row],[Phu/13 Fold]],2)</f>
        <v>1</v>
      </c>
      <c r="DB461" s="248">
        <f>LOG(Table2821115[[#This Row],[CO/17 Fold]],2)</f>
        <v>0</v>
      </c>
      <c r="DC461" s="248">
        <f>SUM(Table2821115[[#This Row],[BR/18 Log2]:[CO/17 Log2]])</f>
        <v>3</v>
      </c>
    </row>
    <row r="462" spans="1:107" ht="24" customHeight="1">
      <c r="A462" s="278" t="s">
        <v>228</v>
      </c>
      <c r="B462" s="145">
        <v>39135</v>
      </c>
      <c r="C462" s="145">
        <v>43794</v>
      </c>
      <c r="D462" s="144">
        <v>12</v>
      </c>
      <c r="E462" s="3" t="s">
        <v>61</v>
      </c>
      <c r="F462" s="143" t="s">
        <v>116</v>
      </c>
      <c r="G462" s="142">
        <v>21.282253867794218</v>
      </c>
      <c r="H462" s="11" t="s">
        <v>59</v>
      </c>
      <c r="I462" s="277" t="s">
        <v>60</v>
      </c>
      <c r="J462" s="271">
        <v>5</v>
      </c>
      <c r="K462" s="260">
        <v>5</v>
      </c>
      <c r="L462" s="271"/>
      <c r="M462" s="260"/>
      <c r="N462" s="260"/>
      <c r="O462" s="260"/>
      <c r="P462" s="260"/>
      <c r="Q462" s="260"/>
      <c r="R462" s="260"/>
      <c r="S462" s="260"/>
      <c r="T462" s="260"/>
      <c r="U462" s="260"/>
      <c r="V462" s="271">
        <v>5</v>
      </c>
      <c r="W462" s="260">
        <v>5</v>
      </c>
      <c r="X462" s="271">
        <v>80</v>
      </c>
      <c r="Y462" s="260">
        <v>80</v>
      </c>
      <c r="Z462" s="271">
        <v>80</v>
      </c>
      <c r="AA462" s="260">
        <v>160</v>
      </c>
      <c r="AB462" s="271">
        <v>40</v>
      </c>
      <c r="AC462" s="260">
        <v>40</v>
      </c>
      <c r="AD462" s="271"/>
      <c r="AE462" s="260"/>
      <c r="AF462" s="260"/>
      <c r="AG462" s="260"/>
      <c r="AH462" s="176" t="s">
        <v>228</v>
      </c>
      <c r="AI462" s="273">
        <v>5</v>
      </c>
      <c r="AJ462" s="271">
        <v>5</v>
      </c>
      <c r="AK462" s="260"/>
      <c r="AL462" s="260"/>
      <c r="AM462" s="260"/>
      <c r="AN462" s="260"/>
      <c r="AO462" s="260"/>
      <c r="AP462" s="260"/>
      <c r="AQ462" s="260"/>
      <c r="AR462" s="260"/>
      <c r="AS462" s="260"/>
      <c r="AT462" s="260"/>
      <c r="AU462" s="271">
        <v>10</v>
      </c>
      <c r="AV462" s="271">
        <v>40</v>
      </c>
      <c r="AW462" s="271">
        <v>5</v>
      </c>
      <c r="AX462" s="271">
        <v>40</v>
      </c>
      <c r="AY462" s="271">
        <v>5</v>
      </c>
      <c r="AZ462" s="271">
        <v>5</v>
      </c>
      <c r="BA462" s="276">
        <v>5</v>
      </c>
      <c r="BB462" s="276">
        <v>5</v>
      </c>
      <c r="BC462" s="276"/>
      <c r="BD462" s="276"/>
      <c r="BE462" s="276">
        <v>5</v>
      </c>
      <c r="BF462" s="276">
        <v>5</v>
      </c>
      <c r="BG462" s="260">
        <v>5</v>
      </c>
      <c r="BH462" s="271">
        <v>20</v>
      </c>
      <c r="BI462" s="276"/>
      <c r="BJ462" s="276"/>
      <c r="BK462" s="276"/>
      <c r="BL462" s="275"/>
      <c r="BM462" s="274" t="s">
        <v>228</v>
      </c>
      <c r="BN462" s="273">
        <v>5</v>
      </c>
      <c r="BO462" s="270">
        <v>40</v>
      </c>
      <c r="BP462" s="272"/>
      <c r="BQ462" s="260"/>
      <c r="BR462" s="260"/>
      <c r="BS462" s="260"/>
      <c r="BT462" s="260"/>
      <c r="BU462" s="260"/>
      <c r="BV462" s="271">
        <v>5</v>
      </c>
      <c r="BW462" s="260">
        <v>5</v>
      </c>
      <c r="BX462" s="260"/>
      <c r="BY462" s="260"/>
      <c r="BZ462" s="260"/>
      <c r="CA462" s="260"/>
      <c r="CB462" s="271"/>
      <c r="CC462" s="260"/>
      <c r="CD462" s="271">
        <v>5</v>
      </c>
      <c r="CE462" s="260">
        <v>40</v>
      </c>
      <c r="CF462" s="272"/>
      <c r="CG462" s="260"/>
      <c r="CH462" s="260"/>
      <c r="CI462" s="260"/>
      <c r="CJ462" s="260"/>
      <c r="CK462" s="260"/>
      <c r="CL462" s="260"/>
      <c r="CM462" s="260"/>
      <c r="CN462" s="271">
        <v>10</v>
      </c>
      <c r="CO462" s="260">
        <v>40</v>
      </c>
      <c r="CP462" s="271">
        <v>5</v>
      </c>
      <c r="CQ462" s="260">
        <v>40</v>
      </c>
      <c r="CR462" s="271">
        <v>5</v>
      </c>
      <c r="CS462" s="270">
        <v>40</v>
      </c>
      <c r="CT462" s="269" t="s">
        <v>228</v>
      </c>
      <c r="CU462" s="249">
        <f>Table2821115[[#This Row],[D28 - BR/18]]/Table2821115[[#This Row],[D0 - BR/18]]</f>
        <v>1</v>
      </c>
      <c r="CV462" s="248">
        <f>Table2821115[[#This Row],[D28 - KS/17]]/Table2821115[[#This Row],[D0 - KS/17]]</f>
        <v>1</v>
      </c>
      <c r="CW462" s="248">
        <f>Table2821115[[#This Row],[D28 - Phu/13]]/Table2821115[[#This Row],[D0 - Phu/13]]</f>
        <v>8</v>
      </c>
      <c r="CX462" s="248">
        <f>Table2821115[[#This Row],[D28 - CO/17]]/Table2821115[[#This Row],[D0 - CO/17]]</f>
        <v>8</v>
      </c>
      <c r="CY462" s="248">
        <f>LOG(Table2821115[[#This Row],[BR/18 Fold]],2)</f>
        <v>0</v>
      </c>
      <c r="CZ462" s="248">
        <f>LOG(Table2821115[[#This Row],[KS/17 Fold]],2)</f>
        <v>0</v>
      </c>
      <c r="DA462" s="248">
        <f>LOG(Table2821115[[#This Row],[Phu/13 Fold]],2)</f>
        <v>3</v>
      </c>
      <c r="DB462" s="248">
        <f>LOG(Table2821115[[#This Row],[CO/17 Fold]],2)</f>
        <v>3</v>
      </c>
      <c r="DC462" s="248">
        <f>SUM(Table2821115[[#This Row],[BR/18 Log2]:[CO/17 Log2]])</f>
        <v>6</v>
      </c>
    </row>
    <row r="463" spans="1:107" ht="24" customHeight="1">
      <c r="A463" s="278" t="s">
        <v>229</v>
      </c>
      <c r="B463" s="145">
        <v>39022</v>
      </c>
      <c r="C463" s="145">
        <v>43771</v>
      </c>
      <c r="D463" s="144">
        <v>13</v>
      </c>
      <c r="E463" s="3" t="s">
        <v>61</v>
      </c>
      <c r="F463" s="143" t="s">
        <v>117</v>
      </c>
      <c r="G463" s="142">
        <v>31.863474122546108</v>
      </c>
      <c r="H463" s="11" t="s">
        <v>59</v>
      </c>
      <c r="I463" s="277" t="s">
        <v>60</v>
      </c>
      <c r="J463" s="271">
        <v>5</v>
      </c>
      <c r="K463" s="260">
        <v>5</v>
      </c>
      <c r="L463" s="271"/>
      <c r="M463" s="260"/>
      <c r="N463" s="260"/>
      <c r="O463" s="260"/>
      <c r="P463" s="260"/>
      <c r="Q463" s="260"/>
      <c r="R463" s="260"/>
      <c r="S463" s="260"/>
      <c r="T463" s="260"/>
      <c r="U463" s="260"/>
      <c r="V463" s="271">
        <v>5</v>
      </c>
      <c r="W463" s="260">
        <v>5</v>
      </c>
      <c r="X463" s="271">
        <v>80</v>
      </c>
      <c r="Y463" s="260">
        <v>160</v>
      </c>
      <c r="Z463" s="271">
        <v>160</v>
      </c>
      <c r="AA463" s="260">
        <v>320</v>
      </c>
      <c r="AB463" s="271">
        <v>80</v>
      </c>
      <c r="AC463" s="260">
        <v>160</v>
      </c>
      <c r="AD463" s="271"/>
      <c r="AE463" s="260"/>
      <c r="AF463" s="260"/>
      <c r="AG463" s="260"/>
      <c r="AH463" s="176" t="s">
        <v>229</v>
      </c>
      <c r="AI463" s="273">
        <v>40</v>
      </c>
      <c r="AJ463" s="271">
        <v>40</v>
      </c>
      <c r="AK463" s="260"/>
      <c r="AL463" s="260"/>
      <c r="AM463" s="260"/>
      <c r="AN463" s="260"/>
      <c r="AO463" s="260"/>
      <c r="AP463" s="260"/>
      <c r="AQ463" s="260"/>
      <c r="AR463" s="260"/>
      <c r="AS463" s="260"/>
      <c r="AT463" s="260"/>
      <c r="AU463" s="271">
        <v>320</v>
      </c>
      <c r="AV463" s="271">
        <v>320</v>
      </c>
      <c r="AW463" s="271">
        <v>160</v>
      </c>
      <c r="AX463" s="271">
        <v>320</v>
      </c>
      <c r="AY463" s="271">
        <v>80</v>
      </c>
      <c r="AZ463" s="271">
        <v>160</v>
      </c>
      <c r="BA463" s="276">
        <v>80</v>
      </c>
      <c r="BB463" s="276">
        <v>160</v>
      </c>
      <c r="BC463" s="276"/>
      <c r="BD463" s="276"/>
      <c r="BE463" s="276">
        <v>40</v>
      </c>
      <c r="BF463" s="276">
        <v>80</v>
      </c>
      <c r="BG463" s="260">
        <v>320</v>
      </c>
      <c r="BH463" s="271">
        <v>320</v>
      </c>
      <c r="BI463" s="276"/>
      <c r="BJ463" s="276"/>
      <c r="BK463" s="276"/>
      <c r="BL463" s="275"/>
      <c r="BM463" s="274" t="s">
        <v>229</v>
      </c>
      <c r="BN463" s="273">
        <v>160</v>
      </c>
      <c r="BO463" s="270">
        <v>320</v>
      </c>
      <c r="BP463" s="272"/>
      <c r="BQ463" s="260"/>
      <c r="BR463" s="260"/>
      <c r="BS463" s="260"/>
      <c r="BT463" s="260"/>
      <c r="BU463" s="260"/>
      <c r="BV463" s="271">
        <v>160</v>
      </c>
      <c r="BW463" s="260">
        <v>320</v>
      </c>
      <c r="BX463" s="260"/>
      <c r="BY463" s="260"/>
      <c r="BZ463" s="260"/>
      <c r="CA463" s="260"/>
      <c r="CB463" s="271"/>
      <c r="CC463" s="260"/>
      <c r="CD463" s="271">
        <v>80</v>
      </c>
      <c r="CE463" s="260">
        <v>160</v>
      </c>
      <c r="CF463" s="272"/>
      <c r="CG463" s="260"/>
      <c r="CH463" s="260"/>
      <c r="CI463" s="260"/>
      <c r="CJ463" s="260"/>
      <c r="CK463" s="260"/>
      <c r="CL463" s="260"/>
      <c r="CM463" s="260"/>
      <c r="CN463" s="271">
        <v>160</v>
      </c>
      <c r="CO463" s="260">
        <v>160</v>
      </c>
      <c r="CP463" s="271">
        <v>160</v>
      </c>
      <c r="CQ463" s="260">
        <v>320</v>
      </c>
      <c r="CR463" s="271">
        <v>160</v>
      </c>
      <c r="CS463" s="270">
        <v>160</v>
      </c>
      <c r="CT463" s="269" t="s">
        <v>229</v>
      </c>
      <c r="CU463" s="249">
        <f>Table2821115[[#This Row],[D28 - BR/18]]/Table2821115[[#This Row],[D0 - BR/18]]</f>
        <v>2</v>
      </c>
      <c r="CV463" s="248">
        <f>Table2821115[[#This Row],[D28 - KS/17]]/Table2821115[[#This Row],[D0 - KS/17]]</f>
        <v>2</v>
      </c>
      <c r="CW463" s="248">
        <f>Table2821115[[#This Row],[D28 - Phu/13]]/Table2821115[[#This Row],[D0 - Phu/13]]</f>
        <v>2</v>
      </c>
      <c r="CX463" s="248">
        <f>Table2821115[[#This Row],[D28 - CO/17]]/Table2821115[[#This Row],[D0 - CO/17]]</f>
        <v>2</v>
      </c>
      <c r="CY463" s="248">
        <f>LOG(Table2821115[[#This Row],[BR/18 Fold]],2)</f>
        <v>1</v>
      </c>
      <c r="CZ463" s="248">
        <f>LOG(Table2821115[[#This Row],[KS/17 Fold]],2)</f>
        <v>1</v>
      </c>
      <c r="DA463" s="248">
        <f>LOG(Table2821115[[#This Row],[Phu/13 Fold]],2)</f>
        <v>1</v>
      </c>
      <c r="DB463" s="248">
        <f>LOG(Table2821115[[#This Row],[CO/17 Fold]],2)</f>
        <v>1</v>
      </c>
      <c r="DC463" s="248">
        <f>SUM(Table2821115[[#This Row],[BR/18 Log2]:[CO/17 Log2]])</f>
        <v>4</v>
      </c>
    </row>
    <row r="464" spans="1:107" ht="24" customHeight="1">
      <c r="A464" s="278" t="s">
        <v>230</v>
      </c>
      <c r="B464" s="145">
        <v>39416</v>
      </c>
      <c r="C464" s="145">
        <v>43809</v>
      </c>
      <c r="D464" s="144">
        <v>12</v>
      </c>
      <c r="E464" s="4" t="s">
        <v>58</v>
      </c>
      <c r="F464" s="143" t="s">
        <v>116</v>
      </c>
      <c r="G464" s="142">
        <v>25.838909598014961</v>
      </c>
      <c r="H464" s="11" t="s">
        <v>59</v>
      </c>
      <c r="I464" s="277" t="s">
        <v>60</v>
      </c>
      <c r="J464" s="271">
        <v>5</v>
      </c>
      <c r="K464" s="260">
        <v>5</v>
      </c>
      <c r="L464" s="271"/>
      <c r="M464" s="260"/>
      <c r="N464" s="260"/>
      <c r="O464" s="260"/>
      <c r="P464" s="260"/>
      <c r="Q464" s="260"/>
      <c r="R464" s="260"/>
      <c r="S464" s="260"/>
      <c r="T464" s="260"/>
      <c r="U464" s="260"/>
      <c r="V464" s="271">
        <v>5</v>
      </c>
      <c r="W464" s="260">
        <v>20</v>
      </c>
      <c r="X464" s="271">
        <v>40</v>
      </c>
      <c r="Y464" s="260">
        <v>160</v>
      </c>
      <c r="Z464" s="271">
        <v>80</v>
      </c>
      <c r="AA464" s="260">
        <v>320</v>
      </c>
      <c r="AB464" s="271">
        <v>40</v>
      </c>
      <c r="AC464" s="260">
        <v>160</v>
      </c>
      <c r="AD464" s="271"/>
      <c r="AE464" s="260"/>
      <c r="AF464" s="260"/>
      <c r="AG464" s="260"/>
      <c r="AH464" s="176" t="s">
        <v>230</v>
      </c>
      <c r="AI464" s="273">
        <v>20</v>
      </c>
      <c r="AJ464" s="271">
        <v>80</v>
      </c>
      <c r="AK464" s="260"/>
      <c r="AL464" s="260"/>
      <c r="AM464" s="260"/>
      <c r="AN464" s="260"/>
      <c r="AO464" s="260"/>
      <c r="AP464" s="260"/>
      <c r="AQ464" s="260"/>
      <c r="AR464" s="260"/>
      <c r="AS464" s="260"/>
      <c r="AT464" s="260"/>
      <c r="AU464" s="271">
        <v>640</v>
      </c>
      <c r="AV464" s="271">
        <v>1280</v>
      </c>
      <c r="AW464" s="271">
        <v>320</v>
      </c>
      <c r="AX464" s="271">
        <v>1280</v>
      </c>
      <c r="AY464" s="271">
        <v>640</v>
      </c>
      <c r="AZ464" s="271">
        <v>1280</v>
      </c>
      <c r="BA464" s="276">
        <v>640</v>
      </c>
      <c r="BB464" s="276">
        <v>640</v>
      </c>
      <c r="BC464" s="276"/>
      <c r="BD464" s="276"/>
      <c r="BE464" s="276">
        <v>20</v>
      </c>
      <c r="BF464" s="276">
        <v>1280</v>
      </c>
      <c r="BG464" s="260">
        <v>640</v>
      </c>
      <c r="BH464" s="271">
        <v>1280</v>
      </c>
      <c r="BI464" s="276"/>
      <c r="BJ464" s="276"/>
      <c r="BK464" s="276"/>
      <c r="BL464" s="275"/>
      <c r="BM464" s="274" t="s">
        <v>230</v>
      </c>
      <c r="BN464" s="273">
        <v>80</v>
      </c>
      <c r="BO464" s="270">
        <v>320</v>
      </c>
      <c r="BP464" s="272"/>
      <c r="BQ464" s="260"/>
      <c r="BR464" s="260"/>
      <c r="BS464" s="260"/>
      <c r="BT464" s="260"/>
      <c r="BU464" s="260"/>
      <c r="BV464" s="271">
        <v>5</v>
      </c>
      <c r="BW464" s="260">
        <v>5</v>
      </c>
      <c r="BX464" s="260"/>
      <c r="BY464" s="260"/>
      <c r="BZ464" s="260"/>
      <c r="CA464" s="260"/>
      <c r="CB464" s="271"/>
      <c r="CC464" s="260"/>
      <c r="CD464" s="271">
        <v>160</v>
      </c>
      <c r="CE464" s="260">
        <v>160</v>
      </c>
      <c r="CF464" s="272"/>
      <c r="CG464" s="260"/>
      <c r="CH464" s="260"/>
      <c r="CI464" s="260"/>
      <c r="CJ464" s="260"/>
      <c r="CK464" s="260"/>
      <c r="CL464" s="260"/>
      <c r="CM464" s="260"/>
      <c r="CN464" s="271">
        <v>80</v>
      </c>
      <c r="CO464" s="260">
        <v>160</v>
      </c>
      <c r="CP464" s="271">
        <v>80</v>
      </c>
      <c r="CQ464" s="260">
        <v>320</v>
      </c>
      <c r="CR464" s="271">
        <v>160</v>
      </c>
      <c r="CS464" s="270">
        <v>320</v>
      </c>
      <c r="CT464" s="269" t="s">
        <v>230</v>
      </c>
      <c r="CU464" s="249">
        <f>Table2821115[[#This Row],[D28 - BR/18]]/Table2821115[[#This Row],[D0 - BR/18]]</f>
        <v>4</v>
      </c>
      <c r="CV464" s="248">
        <f>Table2821115[[#This Row],[D28 - KS/17]]/Table2821115[[#This Row],[D0 - KS/17]]</f>
        <v>64</v>
      </c>
      <c r="CW464" s="248">
        <f>Table2821115[[#This Row],[D28 - Phu/13]]/Table2821115[[#This Row],[D0 - Phu/13]]</f>
        <v>1</v>
      </c>
      <c r="CX464" s="248">
        <f>Table2821115[[#This Row],[D28 - CO/17]]/Table2821115[[#This Row],[D0 - CO/17]]</f>
        <v>4</v>
      </c>
      <c r="CY464" s="248">
        <f>LOG(Table2821115[[#This Row],[BR/18 Fold]],2)</f>
        <v>2</v>
      </c>
      <c r="CZ464" s="248">
        <f>LOG(Table2821115[[#This Row],[KS/17 Fold]],2)</f>
        <v>6</v>
      </c>
      <c r="DA464" s="248">
        <f>LOG(Table2821115[[#This Row],[Phu/13 Fold]],2)</f>
        <v>0</v>
      </c>
      <c r="DB464" s="248">
        <f>LOG(Table2821115[[#This Row],[CO/17 Fold]],2)</f>
        <v>2</v>
      </c>
      <c r="DC464" s="248">
        <f>SUM(Table2821115[[#This Row],[BR/18 Log2]:[CO/17 Log2]])</f>
        <v>10</v>
      </c>
    </row>
    <row r="465" spans="1:108" ht="24" customHeight="1">
      <c r="A465" s="278" t="s">
        <v>231</v>
      </c>
      <c r="B465" s="145">
        <v>39143</v>
      </c>
      <c r="C465" s="145">
        <v>43790</v>
      </c>
      <c r="D465" s="144">
        <v>12</v>
      </c>
      <c r="E465" s="4" t="s">
        <v>58</v>
      </c>
      <c r="F465" s="143" t="s">
        <v>116</v>
      </c>
      <c r="G465" s="142">
        <v>17.927615987940523</v>
      </c>
      <c r="H465" s="11" t="s">
        <v>59</v>
      </c>
      <c r="I465" s="277" t="s">
        <v>60</v>
      </c>
      <c r="J465" s="271">
        <v>5</v>
      </c>
      <c r="K465" s="260">
        <v>5</v>
      </c>
      <c r="L465" s="271"/>
      <c r="M465" s="260"/>
      <c r="N465" s="260"/>
      <c r="O465" s="260"/>
      <c r="P465" s="260"/>
      <c r="Q465" s="260"/>
      <c r="R465" s="260"/>
      <c r="S465" s="260"/>
      <c r="T465" s="260"/>
      <c r="U465" s="260"/>
      <c r="V465" s="271">
        <v>5</v>
      </c>
      <c r="W465" s="260">
        <v>5</v>
      </c>
      <c r="X465" s="271">
        <v>320</v>
      </c>
      <c r="Y465" s="260">
        <v>320</v>
      </c>
      <c r="Z465" s="271">
        <v>320</v>
      </c>
      <c r="AA465" s="260">
        <v>640</v>
      </c>
      <c r="AB465" s="271">
        <v>320</v>
      </c>
      <c r="AC465" s="260">
        <v>320</v>
      </c>
      <c r="AD465" s="271"/>
      <c r="AE465" s="260"/>
      <c r="AF465" s="260"/>
      <c r="AG465" s="260"/>
      <c r="AH465" s="176" t="s">
        <v>231</v>
      </c>
      <c r="AI465" s="273">
        <v>5</v>
      </c>
      <c r="AJ465" s="271">
        <v>5</v>
      </c>
      <c r="AK465" s="260"/>
      <c r="AL465" s="260"/>
      <c r="AM465" s="260"/>
      <c r="AN465" s="260"/>
      <c r="AO465" s="260"/>
      <c r="AP465" s="260"/>
      <c r="AQ465" s="260"/>
      <c r="AR465" s="260"/>
      <c r="AS465" s="260"/>
      <c r="AT465" s="260"/>
      <c r="AU465" s="271">
        <v>40</v>
      </c>
      <c r="AV465" s="271">
        <v>80</v>
      </c>
      <c r="AW465" s="271">
        <v>20</v>
      </c>
      <c r="AX465" s="271">
        <v>80</v>
      </c>
      <c r="AY465" s="271">
        <v>20</v>
      </c>
      <c r="AZ465" s="271">
        <v>40</v>
      </c>
      <c r="BA465" s="276">
        <v>40</v>
      </c>
      <c r="BB465" s="276">
        <v>80</v>
      </c>
      <c r="BC465" s="276"/>
      <c r="BD465" s="276"/>
      <c r="BE465" s="276">
        <v>5</v>
      </c>
      <c r="BF465" s="276">
        <v>80</v>
      </c>
      <c r="BG465" s="260">
        <v>40</v>
      </c>
      <c r="BH465" s="271">
        <v>40</v>
      </c>
      <c r="BI465" s="276"/>
      <c r="BJ465" s="276"/>
      <c r="BK465" s="276"/>
      <c r="BL465" s="275"/>
      <c r="BM465" s="274" t="s">
        <v>231</v>
      </c>
      <c r="BN465" s="273">
        <v>5</v>
      </c>
      <c r="BO465" s="270">
        <v>10</v>
      </c>
      <c r="BP465" s="272"/>
      <c r="BQ465" s="260"/>
      <c r="BR465" s="260"/>
      <c r="BS465" s="260"/>
      <c r="BT465" s="260"/>
      <c r="BU465" s="260"/>
      <c r="BV465" s="271">
        <v>160</v>
      </c>
      <c r="BW465" s="260">
        <v>160</v>
      </c>
      <c r="BX465" s="260"/>
      <c r="BY465" s="260"/>
      <c r="BZ465" s="260"/>
      <c r="CA465" s="260"/>
      <c r="CB465" s="271"/>
      <c r="CC465" s="260"/>
      <c r="CD465" s="271">
        <v>80</v>
      </c>
      <c r="CE465" s="260">
        <v>160</v>
      </c>
      <c r="CF465" s="272"/>
      <c r="CG465" s="260"/>
      <c r="CH465" s="260"/>
      <c r="CI465" s="260"/>
      <c r="CJ465" s="260"/>
      <c r="CK465" s="260"/>
      <c r="CL465" s="260"/>
      <c r="CM465" s="260"/>
      <c r="CN465" s="271">
        <v>10</v>
      </c>
      <c r="CO465" s="260">
        <v>10</v>
      </c>
      <c r="CP465" s="271">
        <v>5</v>
      </c>
      <c r="CQ465" s="260">
        <v>10</v>
      </c>
      <c r="CR465" s="271">
        <v>5</v>
      </c>
      <c r="CS465" s="270">
        <v>10</v>
      </c>
      <c r="CT465" s="269" t="s">
        <v>231</v>
      </c>
      <c r="CU465" s="249">
        <f>Table2821115[[#This Row],[D28 - BR/18]]/Table2821115[[#This Row],[D0 - BR/18]]</f>
        <v>1</v>
      </c>
      <c r="CV465" s="248">
        <f>Table2821115[[#This Row],[D28 - KS/17]]/Table2821115[[#This Row],[D0 - KS/17]]</f>
        <v>16</v>
      </c>
      <c r="CW465" s="248">
        <f>Table2821115[[#This Row],[D28 - Phu/13]]/Table2821115[[#This Row],[D0 - Phu/13]]</f>
        <v>2</v>
      </c>
      <c r="CX465" s="248">
        <f>Table2821115[[#This Row],[D28 - CO/17]]/Table2821115[[#This Row],[D0 - CO/17]]</f>
        <v>2</v>
      </c>
      <c r="CY465" s="248">
        <f>LOG(Table2821115[[#This Row],[BR/18 Fold]],2)</f>
        <v>0</v>
      </c>
      <c r="CZ465" s="248">
        <f>LOG(Table2821115[[#This Row],[KS/17 Fold]],2)</f>
        <v>4</v>
      </c>
      <c r="DA465" s="248">
        <f>LOG(Table2821115[[#This Row],[Phu/13 Fold]],2)</f>
        <v>1</v>
      </c>
      <c r="DB465" s="248">
        <f>LOG(Table2821115[[#This Row],[CO/17 Fold]],2)</f>
        <v>1</v>
      </c>
      <c r="DC465" s="248">
        <f>SUM(Table2821115[[#This Row],[BR/18 Log2]:[CO/17 Log2]])</f>
        <v>6</v>
      </c>
    </row>
    <row r="466" spans="1:108" ht="24" customHeight="1">
      <c r="A466" s="278" t="s">
        <v>232</v>
      </c>
      <c r="B466" s="145">
        <v>39331</v>
      </c>
      <c r="C466" s="145">
        <v>43810</v>
      </c>
      <c r="D466" s="144">
        <v>12</v>
      </c>
      <c r="E466" s="4" t="s">
        <v>58</v>
      </c>
      <c r="F466" s="143" t="s">
        <v>116</v>
      </c>
      <c r="G466" s="142">
        <v>14.858670673657739</v>
      </c>
      <c r="H466" s="11" t="s">
        <v>59</v>
      </c>
      <c r="I466" s="277" t="s">
        <v>60</v>
      </c>
      <c r="J466" s="271">
        <v>5</v>
      </c>
      <c r="K466" s="260">
        <v>5</v>
      </c>
      <c r="L466" s="271"/>
      <c r="M466" s="260"/>
      <c r="N466" s="260"/>
      <c r="O466" s="260"/>
      <c r="P466" s="260"/>
      <c r="Q466" s="260"/>
      <c r="R466" s="260"/>
      <c r="S466" s="260"/>
      <c r="T466" s="260"/>
      <c r="U466" s="260"/>
      <c r="V466" s="271">
        <v>5</v>
      </c>
      <c r="W466" s="260">
        <v>5</v>
      </c>
      <c r="X466" s="271">
        <v>320</v>
      </c>
      <c r="Y466" s="260">
        <v>320</v>
      </c>
      <c r="Z466" s="271">
        <v>640</v>
      </c>
      <c r="AA466" s="260">
        <v>640</v>
      </c>
      <c r="AB466" s="271">
        <v>320</v>
      </c>
      <c r="AC466" s="260">
        <v>320</v>
      </c>
      <c r="AD466" s="271"/>
      <c r="AE466" s="260"/>
      <c r="AF466" s="260"/>
      <c r="AG466" s="260"/>
      <c r="AH466" s="176" t="s">
        <v>232</v>
      </c>
      <c r="AI466" s="273">
        <v>5</v>
      </c>
      <c r="AJ466" s="271">
        <v>5</v>
      </c>
      <c r="AK466" s="260"/>
      <c r="AL466" s="260"/>
      <c r="AM466" s="260"/>
      <c r="AN466" s="260"/>
      <c r="AO466" s="260"/>
      <c r="AP466" s="260"/>
      <c r="AQ466" s="260"/>
      <c r="AR466" s="260"/>
      <c r="AS466" s="260"/>
      <c r="AT466" s="260"/>
      <c r="AU466" s="271">
        <v>80</v>
      </c>
      <c r="AV466" s="271">
        <v>320</v>
      </c>
      <c r="AW466" s="271">
        <v>160</v>
      </c>
      <c r="AX466" s="271">
        <v>640</v>
      </c>
      <c r="AY466" s="271">
        <v>160</v>
      </c>
      <c r="AZ466" s="271">
        <v>320</v>
      </c>
      <c r="BA466" s="276">
        <v>160</v>
      </c>
      <c r="BB466" s="276">
        <v>640</v>
      </c>
      <c r="BC466" s="276"/>
      <c r="BD466" s="276"/>
      <c r="BE466" s="276">
        <v>640</v>
      </c>
      <c r="BF466" s="276">
        <v>640</v>
      </c>
      <c r="BG466" s="260">
        <v>160</v>
      </c>
      <c r="BH466" s="271">
        <v>640</v>
      </c>
      <c r="BI466" s="276"/>
      <c r="BJ466" s="276"/>
      <c r="BK466" s="276"/>
      <c r="BL466" s="275"/>
      <c r="BM466" s="274" t="s">
        <v>232</v>
      </c>
      <c r="BN466" s="273">
        <v>20</v>
      </c>
      <c r="BO466" s="270">
        <v>40</v>
      </c>
      <c r="BP466" s="272"/>
      <c r="BQ466" s="260"/>
      <c r="BR466" s="260"/>
      <c r="BS466" s="260"/>
      <c r="BT466" s="260"/>
      <c r="BU466" s="260"/>
      <c r="BV466" s="271">
        <v>5</v>
      </c>
      <c r="BW466" s="260">
        <v>5</v>
      </c>
      <c r="BX466" s="260"/>
      <c r="BY466" s="260"/>
      <c r="BZ466" s="260"/>
      <c r="CA466" s="260"/>
      <c r="CB466" s="271"/>
      <c r="CC466" s="260"/>
      <c r="CD466" s="271">
        <v>80</v>
      </c>
      <c r="CE466" s="260">
        <v>640</v>
      </c>
      <c r="CF466" s="272"/>
      <c r="CG466" s="260"/>
      <c r="CH466" s="260"/>
      <c r="CI466" s="260"/>
      <c r="CJ466" s="260"/>
      <c r="CK466" s="260"/>
      <c r="CL466" s="260"/>
      <c r="CM466" s="260"/>
      <c r="CN466" s="271">
        <v>160</v>
      </c>
      <c r="CO466" s="260">
        <v>320</v>
      </c>
      <c r="CP466" s="271">
        <v>320</v>
      </c>
      <c r="CQ466" s="260">
        <v>320</v>
      </c>
      <c r="CR466" s="271">
        <v>320</v>
      </c>
      <c r="CS466" s="270">
        <v>320</v>
      </c>
      <c r="CT466" s="269" t="s">
        <v>232</v>
      </c>
      <c r="CU466" s="249">
        <f>Table2821115[[#This Row],[D28 - BR/18]]/Table2821115[[#This Row],[D0 - BR/18]]</f>
        <v>1</v>
      </c>
      <c r="CV466" s="248">
        <f>Table2821115[[#This Row],[D28 - KS/17]]/Table2821115[[#This Row],[D0 - KS/17]]</f>
        <v>1</v>
      </c>
      <c r="CW466" s="248">
        <f>Table2821115[[#This Row],[D28 - Phu/13]]/Table2821115[[#This Row],[D0 - Phu/13]]</f>
        <v>8</v>
      </c>
      <c r="CX466" s="248">
        <f>Table2821115[[#This Row],[D28 - CO/17]]/Table2821115[[#This Row],[D0 - CO/17]]</f>
        <v>1</v>
      </c>
      <c r="CY466" s="248">
        <f>LOG(Table2821115[[#This Row],[BR/18 Fold]],2)</f>
        <v>0</v>
      </c>
      <c r="CZ466" s="248">
        <f>LOG(Table2821115[[#This Row],[KS/17 Fold]],2)</f>
        <v>0</v>
      </c>
      <c r="DA466" s="248">
        <f>LOG(Table2821115[[#This Row],[Phu/13 Fold]],2)</f>
        <v>3</v>
      </c>
      <c r="DB466" s="248">
        <f>LOG(Table2821115[[#This Row],[CO/17 Fold]],2)</f>
        <v>0</v>
      </c>
      <c r="DC466" s="248">
        <f>SUM(Table2821115[[#This Row],[BR/18 Log2]:[CO/17 Log2]])</f>
        <v>3</v>
      </c>
    </row>
    <row r="467" spans="1:108" ht="24" customHeight="1" thickBot="1">
      <c r="A467" s="268" t="s">
        <v>233</v>
      </c>
      <c r="B467" s="267">
        <v>39626</v>
      </c>
      <c r="C467" s="267">
        <v>43855</v>
      </c>
      <c r="D467" s="266">
        <v>11</v>
      </c>
      <c r="E467" s="265" t="s">
        <v>61</v>
      </c>
      <c r="F467" s="264" t="s">
        <v>116</v>
      </c>
      <c r="G467" s="263">
        <v>30.615425960763243</v>
      </c>
      <c r="H467" s="262" t="s">
        <v>59</v>
      </c>
      <c r="I467" s="261" t="s">
        <v>1216</v>
      </c>
      <c r="J467" s="252">
        <v>5</v>
      </c>
      <c r="K467" s="253">
        <v>5</v>
      </c>
      <c r="L467" s="252"/>
      <c r="M467" s="253"/>
      <c r="N467" s="253"/>
      <c r="O467" s="253"/>
      <c r="P467" s="253"/>
      <c r="Q467" s="253"/>
      <c r="R467" s="253"/>
      <c r="S467" s="253"/>
      <c r="T467" s="253"/>
      <c r="U467" s="253"/>
      <c r="V467" s="252">
        <v>5</v>
      </c>
      <c r="W467" s="253">
        <v>10</v>
      </c>
      <c r="X467" s="252">
        <v>320</v>
      </c>
      <c r="Y467" s="253">
        <v>320</v>
      </c>
      <c r="Z467" s="252">
        <v>320</v>
      </c>
      <c r="AA467" s="253">
        <v>640</v>
      </c>
      <c r="AB467" s="252">
        <v>160</v>
      </c>
      <c r="AC467" s="253">
        <v>320</v>
      </c>
      <c r="AD467" s="252"/>
      <c r="AE467" s="253"/>
      <c r="AF467" s="260"/>
      <c r="AG467" s="260"/>
      <c r="AH467" s="259" t="s">
        <v>233</v>
      </c>
      <c r="AI467" s="255">
        <v>5</v>
      </c>
      <c r="AJ467" s="252">
        <v>5</v>
      </c>
      <c r="AK467" s="253"/>
      <c r="AL467" s="253"/>
      <c r="AM467" s="253"/>
      <c r="AN467" s="253"/>
      <c r="AO467" s="253"/>
      <c r="AP467" s="253"/>
      <c r="AQ467" s="253"/>
      <c r="AR467" s="253"/>
      <c r="AS467" s="253"/>
      <c r="AT467" s="253"/>
      <c r="AU467" s="252">
        <v>40</v>
      </c>
      <c r="AV467" s="252">
        <v>1280</v>
      </c>
      <c r="AW467" s="252">
        <v>40</v>
      </c>
      <c r="AX467" s="252">
        <v>5120</v>
      </c>
      <c r="AY467" s="252">
        <v>5</v>
      </c>
      <c r="AZ467" s="252">
        <v>5120</v>
      </c>
      <c r="BA467" s="258">
        <v>80</v>
      </c>
      <c r="BB467" s="258">
        <v>2560</v>
      </c>
      <c r="BC467" s="258"/>
      <c r="BD467" s="258"/>
      <c r="BE467" s="258">
        <v>10</v>
      </c>
      <c r="BF467" s="258">
        <v>2560</v>
      </c>
      <c r="BG467" s="253">
        <v>80</v>
      </c>
      <c r="BH467" s="252">
        <v>2560</v>
      </c>
      <c r="BI467" s="258"/>
      <c r="BJ467" s="258"/>
      <c r="BK467" s="258"/>
      <c r="BL467" s="257"/>
      <c r="BM467" s="256" t="s">
        <v>233</v>
      </c>
      <c r="BN467" s="255">
        <v>5</v>
      </c>
      <c r="BO467" s="251">
        <v>40</v>
      </c>
      <c r="BP467" s="254"/>
      <c r="BQ467" s="253"/>
      <c r="BR467" s="253"/>
      <c r="BS467" s="253"/>
      <c r="BT467" s="253"/>
      <c r="BU467" s="253"/>
      <c r="BV467" s="252">
        <v>5</v>
      </c>
      <c r="BW467" s="253">
        <v>5</v>
      </c>
      <c r="BX467" s="253"/>
      <c r="BY467" s="253"/>
      <c r="BZ467" s="253"/>
      <c r="CA467" s="253"/>
      <c r="CB467" s="252"/>
      <c r="CC467" s="253"/>
      <c r="CD467" s="252">
        <v>160</v>
      </c>
      <c r="CE467" s="253">
        <v>1280</v>
      </c>
      <c r="CF467" s="254"/>
      <c r="CG467" s="253"/>
      <c r="CH467" s="253"/>
      <c r="CI467" s="253"/>
      <c r="CJ467" s="253"/>
      <c r="CK467" s="253"/>
      <c r="CL467" s="253"/>
      <c r="CM467" s="253"/>
      <c r="CN467" s="252">
        <v>80</v>
      </c>
      <c r="CO467" s="253">
        <v>640</v>
      </c>
      <c r="CP467" s="252">
        <v>40</v>
      </c>
      <c r="CQ467" s="253">
        <v>640</v>
      </c>
      <c r="CR467" s="252">
        <v>40</v>
      </c>
      <c r="CS467" s="251">
        <v>640</v>
      </c>
      <c r="CT467" s="250" t="s">
        <v>233</v>
      </c>
      <c r="CU467" s="249">
        <f>Table2821115[[#This Row],[D28 - BR/18]]/Table2821115[[#This Row],[D0 - BR/18]]</f>
        <v>2</v>
      </c>
      <c r="CV467" s="248">
        <f>Table2821115[[#This Row],[D28 - KS/17]]/Table2821115[[#This Row],[D0 - KS/17]]</f>
        <v>256</v>
      </c>
      <c r="CW467" s="248">
        <f>Table2821115[[#This Row],[D28 - Phu/13]]/Table2821115[[#This Row],[D0 - Phu/13]]</f>
        <v>8</v>
      </c>
      <c r="CX467" s="248">
        <f>Table2821115[[#This Row],[D28 - CO/17]]/Table2821115[[#This Row],[D0 - CO/17]]</f>
        <v>16</v>
      </c>
      <c r="CY467" s="248">
        <f>LOG(Table2821115[[#This Row],[BR/18 Fold]],2)</f>
        <v>1</v>
      </c>
      <c r="CZ467" s="248">
        <f>LOG(Table2821115[[#This Row],[KS/17 Fold]],2)</f>
        <v>8</v>
      </c>
      <c r="DA467" s="248">
        <f>LOG(Table2821115[[#This Row],[Phu/13 Fold]],2)</f>
        <v>3</v>
      </c>
      <c r="DB467" s="248">
        <f>LOG(Table2821115[[#This Row],[CO/17 Fold]],2)</f>
        <v>4</v>
      </c>
      <c r="DC467" s="248">
        <f>SUM(Table2821115[[#This Row],[BR/18 Log2]:[CO/17 Log2]])</f>
        <v>16</v>
      </c>
    </row>
    <row r="468" spans="1:108" ht="12.75" customHeight="1"/>
    <row r="469" spans="1:108" ht="24" customHeight="1">
      <c r="A469" s="507" t="s">
        <v>1215</v>
      </c>
      <c r="B469" s="507"/>
      <c r="C469" s="507"/>
      <c r="D469" s="507"/>
      <c r="E469" s="507"/>
      <c r="F469" s="507"/>
      <c r="G469" s="507"/>
      <c r="H469" s="507"/>
      <c r="I469" s="507"/>
      <c r="J469" s="500">
        <v>5</v>
      </c>
      <c r="K469" s="501"/>
      <c r="L469" s="500"/>
      <c r="M469" s="501"/>
      <c r="N469" s="500"/>
      <c r="O469" s="501"/>
      <c r="P469" s="500"/>
      <c r="Q469" s="501"/>
      <c r="R469" s="500"/>
      <c r="S469" s="501"/>
      <c r="T469" s="500"/>
      <c r="U469" s="501"/>
      <c r="V469" s="500">
        <v>5</v>
      </c>
      <c r="W469" s="501"/>
      <c r="X469" s="500">
        <v>640</v>
      </c>
      <c r="Y469" s="501"/>
      <c r="Z469" s="500">
        <v>640</v>
      </c>
      <c r="AA469" s="501"/>
      <c r="AB469" s="500">
        <v>640</v>
      </c>
      <c r="AC469" s="501"/>
      <c r="AD469" s="500"/>
      <c r="AE469" s="501"/>
      <c r="AF469" s="500"/>
      <c r="AG469" s="501"/>
      <c r="AH469" s="247" t="s">
        <v>1214</v>
      </c>
      <c r="AI469" s="500">
        <v>5</v>
      </c>
      <c r="AJ469" s="501"/>
      <c r="AK469" s="500"/>
      <c r="AL469" s="501"/>
      <c r="AM469" s="500"/>
      <c r="AN469" s="501"/>
      <c r="AO469" s="500"/>
      <c r="AP469" s="501"/>
      <c r="AQ469" s="500"/>
      <c r="AR469" s="501"/>
      <c r="AS469" s="500"/>
      <c r="AT469" s="501"/>
      <c r="AU469" s="500">
        <v>5</v>
      </c>
      <c r="AV469" s="501"/>
      <c r="AW469" s="500">
        <v>5</v>
      </c>
      <c r="AX469" s="501"/>
      <c r="AY469" s="500">
        <v>5</v>
      </c>
      <c r="AZ469" s="501"/>
      <c r="BA469" s="500">
        <v>5</v>
      </c>
      <c r="BB469" s="501"/>
      <c r="BC469" s="500"/>
      <c r="BD469" s="501"/>
      <c r="BE469" s="500">
        <v>5</v>
      </c>
      <c r="BF469" s="501"/>
      <c r="BG469" s="500">
        <v>5</v>
      </c>
      <c r="BH469" s="501"/>
      <c r="BI469" s="500"/>
      <c r="BJ469" s="501"/>
      <c r="BK469" s="500"/>
      <c r="BL469" s="501"/>
      <c r="BM469" s="247" t="s">
        <v>1214</v>
      </c>
      <c r="BN469" s="500">
        <v>5</v>
      </c>
      <c r="BO469" s="501"/>
      <c r="BP469" s="500"/>
      <c r="BQ469" s="501"/>
      <c r="BR469" s="500"/>
      <c r="BS469" s="501"/>
      <c r="BT469" s="500"/>
      <c r="BU469" s="501"/>
      <c r="BV469" s="500">
        <v>5</v>
      </c>
      <c r="BW469" s="501"/>
      <c r="BX469" s="500"/>
      <c r="BY469" s="501"/>
      <c r="BZ469" s="500"/>
      <c r="CA469" s="501"/>
      <c r="CB469" s="500"/>
      <c r="CC469" s="501"/>
      <c r="CD469" s="500">
        <v>5</v>
      </c>
      <c r="CE469" s="501"/>
      <c r="CF469" s="500"/>
      <c r="CG469" s="501"/>
      <c r="CH469" s="500"/>
      <c r="CI469" s="501"/>
      <c r="CJ469" s="500"/>
      <c r="CK469" s="501"/>
      <c r="CL469" s="500"/>
      <c r="CM469" s="501"/>
      <c r="CN469" s="500">
        <v>5</v>
      </c>
      <c r="CO469" s="501"/>
      <c r="CP469" s="500">
        <v>5</v>
      </c>
      <c r="CQ469" s="501"/>
      <c r="CR469" s="500">
        <v>5</v>
      </c>
      <c r="CS469" s="501"/>
      <c r="CT469" s="247" t="s">
        <v>1214</v>
      </c>
    </row>
    <row r="470" spans="1:108" ht="24" customHeight="1">
      <c r="A470" s="507" t="s">
        <v>1213</v>
      </c>
      <c r="B470" s="507"/>
      <c r="C470" s="507"/>
      <c r="D470" s="507"/>
      <c r="E470" s="507"/>
      <c r="F470" s="507"/>
      <c r="G470" s="507"/>
      <c r="H470" s="507"/>
      <c r="I470" s="507"/>
      <c r="J470" s="500">
        <v>5</v>
      </c>
      <c r="K470" s="501"/>
      <c r="L470" s="500"/>
      <c r="M470" s="501"/>
      <c r="N470" s="500"/>
      <c r="O470" s="501"/>
      <c r="P470" s="500"/>
      <c r="Q470" s="501"/>
      <c r="R470" s="500"/>
      <c r="S470" s="501"/>
      <c r="T470" s="500"/>
      <c r="U470" s="501"/>
      <c r="V470" s="500">
        <v>5</v>
      </c>
      <c r="W470" s="501"/>
      <c r="X470" s="500">
        <v>5</v>
      </c>
      <c r="Y470" s="501"/>
      <c r="Z470" s="500">
        <v>5</v>
      </c>
      <c r="AA470" s="501"/>
      <c r="AB470" s="500">
        <v>5</v>
      </c>
      <c r="AC470" s="501"/>
      <c r="AD470" s="500"/>
      <c r="AE470" s="501"/>
      <c r="AF470" s="500"/>
      <c r="AG470" s="501"/>
      <c r="AH470" s="247" t="s">
        <v>1212</v>
      </c>
      <c r="AI470" s="500">
        <v>5</v>
      </c>
      <c r="AJ470" s="501"/>
      <c r="AK470" s="500"/>
      <c r="AL470" s="501"/>
      <c r="AM470" s="500"/>
      <c r="AN470" s="501"/>
      <c r="AO470" s="500"/>
      <c r="AP470" s="501"/>
      <c r="AQ470" s="500"/>
      <c r="AR470" s="501"/>
      <c r="AS470" s="500"/>
      <c r="AT470" s="501"/>
      <c r="AU470" s="500">
        <v>80</v>
      </c>
      <c r="AV470" s="501"/>
      <c r="AW470" s="500">
        <v>160</v>
      </c>
      <c r="AX470" s="501"/>
      <c r="AY470" s="500">
        <v>160</v>
      </c>
      <c r="AZ470" s="501"/>
      <c r="BA470" s="500">
        <v>160</v>
      </c>
      <c r="BB470" s="501"/>
      <c r="BC470" s="500"/>
      <c r="BD470" s="501"/>
      <c r="BE470" s="500">
        <v>10</v>
      </c>
      <c r="BF470" s="501"/>
      <c r="BG470" s="500">
        <v>320</v>
      </c>
      <c r="BH470" s="501"/>
      <c r="BI470" s="500"/>
      <c r="BJ470" s="501"/>
      <c r="BK470" s="500"/>
      <c r="BL470" s="501"/>
      <c r="BM470" s="247" t="s">
        <v>1212</v>
      </c>
      <c r="BN470" s="500">
        <v>5</v>
      </c>
      <c r="BO470" s="501"/>
      <c r="BP470" s="500"/>
      <c r="BQ470" s="501"/>
      <c r="BR470" s="500"/>
      <c r="BS470" s="501"/>
      <c r="BT470" s="500"/>
      <c r="BU470" s="501"/>
      <c r="BV470" s="500">
        <v>5</v>
      </c>
      <c r="BW470" s="501"/>
      <c r="BX470" s="500"/>
      <c r="BY470" s="501"/>
      <c r="BZ470" s="500"/>
      <c r="CA470" s="501"/>
      <c r="CB470" s="500"/>
      <c r="CC470" s="501"/>
      <c r="CD470" s="500">
        <v>5</v>
      </c>
      <c r="CE470" s="501"/>
      <c r="CF470" s="500"/>
      <c r="CG470" s="501"/>
      <c r="CH470" s="500"/>
      <c r="CI470" s="501"/>
      <c r="CJ470" s="500"/>
      <c r="CK470" s="501"/>
      <c r="CL470" s="500"/>
      <c r="CM470" s="501"/>
      <c r="CN470" s="500">
        <v>5</v>
      </c>
      <c r="CO470" s="501"/>
      <c r="CP470" s="500">
        <v>5</v>
      </c>
      <c r="CQ470" s="501"/>
      <c r="CR470" s="500">
        <v>5</v>
      </c>
      <c r="CS470" s="501"/>
      <c r="CT470" s="247" t="s">
        <v>1212</v>
      </c>
    </row>
    <row r="471" spans="1:108" ht="24" customHeight="1">
      <c r="A471" s="507" t="s">
        <v>1211</v>
      </c>
      <c r="B471" s="507"/>
      <c r="C471" s="507"/>
      <c r="D471" s="507"/>
      <c r="E471" s="507"/>
      <c r="F471" s="507"/>
      <c r="G471" s="507"/>
      <c r="H471" s="507"/>
      <c r="I471" s="507"/>
      <c r="J471" s="500">
        <v>5</v>
      </c>
      <c r="K471" s="501"/>
      <c r="L471" s="500"/>
      <c r="M471" s="501"/>
      <c r="N471" s="500"/>
      <c r="O471" s="501"/>
      <c r="P471" s="500"/>
      <c r="Q471" s="501"/>
      <c r="R471" s="500"/>
      <c r="S471" s="501"/>
      <c r="T471" s="500"/>
      <c r="U471" s="501"/>
      <c r="V471" s="500">
        <v>5</v>
      </c>
      <c r="W471" s="501"/>
      <c r="X471" s="500">
        <v>5</v>
      </c>
      <c r="Y471" s="501"/>
      <c r="Z471" s="500">
        <v>20</v>
      </c>
      <c r="AA471" s="501"/>
      <c r="AB471" s="500">
        <v>5</v>
      </c>
      <c r="AC471" s="501"/>
      <c r="AD471" s="500"/>
      <c r="AE471" s="501"/>
      <c r="AF471" s="500"/>
      <c r="AG471" s="501"/>
      <c r="AH471" s="247" t="s">
        <v>1210</v>
      </c>
      <c r="AI471" s="500">
        <v>5</v>
      </c>
      <c r="AJ471" s="501"/>
      <c r="AK471" s="500"/>
      <c r="AL471" s="501"/>
      <c r="AM471" s="500"/>
      <c r="AN471" s="501"/>
      <c r="AO471" s="500"/>
      <c r="AP471" s="501"/>
      <c r="AQ471" s="500"/>
      <c r="AR471" s="501"/>
      <c r="AS471" s="500"/>
      <c r="AT471" s="501"/>
      <c r="AU471" s="500">
        <v>5</v>
      </c>
      <c r="AV471" s="501"/>
      <c r="AW471" s="500">
        <v>5</v>
      </c>
      <c r="AX471" s="501"/>
      <c r="AY471" s="500">
        <v>5</v>
      </c>
      <c r="AZ471" s="501"/>
      <c r="BA471" s="500">
        <v>5</v>
      </c>
      <c r="BB471" s="501"/>
      <c r="BC471" s="500"/>
      <c r="BD471" s="501"/>
      <c r="BE471" s="500">
        <v>5</v>
      </c>
      <c r="BF471" s="501"/>
      <c r="BG471" s="500">
        <v>5</v>
      </c>
      <c r="BH471" s="501"/>
      <c r="BI471" s="500"/>
      <c r="BJ471" s="501"/>
      <c r="BK471" s="500"/>
      <c r="BL471" s="501"/>
      <c r="BM471" s="247" t="s">
        <v>1210</v>
      </c>
      <c r="BN471" s="500">
        <v>5</v>
      </c>
      <c r="BO471" s="501"/>
      <c r="BP471" s="500"/>
      <c r="BQ471" s="501"/>
      <c r="BR471" s="500"/>
      <c r="BS471" s="501"/>
      <c r="BT471" s="500"/>
      <c r="BU471" s="501"/>
      <c r="BV471" s="500">
        <v>640</v>
      </c>
      <c r="BW471" s="501"/>
      <c r="BX471" s="500"/>
      <c r="BY471" s="501"/>
      <c r="BZ471" s="500"/>
      <c r="CA471" s="501"/>
      <c r="CB471" s="500"/>
      <c r="CC471" s="501"/>
      <c r="CD471" s="500">
        <v>1280</v>
      </c>
      <c r="CE471" s="501"/>
      <c r="CF471" s="500"/>
      <c r="CG471" s="501"/>
      <c r="CH471" s="500"/>
      <c r="CI471" s="501"/>
      <c r="CJ471" s="500"/>
      <c r="CK471" s="501"/>
      <c r="CL471" s="500"/>
      <c r="CM471" s="501"/>
      <c r="CN471" s="500">
        <v>5</v>
      </c>
      <c r="CO471" s="501"/>
      <c r="CP471" s="500">
        <v>5</v>
      </c>
      <c r="CQ471" s="501"/>
      <c r="CR471" s="500">
        <v>5</v>
      </c>
      <c r="CS471" s="501"/>
      <c r="CT471" s="247" t="s">
        <v>1210</v>
      </c>
    </row>
    <row r="472" spans="1:108" ht="24" customHeight="1">
      <c r="A472" s="507" t="s">
        <v>1209</v>
      </c>
      <c r="B472" s="507"/>
      <c r="C472" s="507"/>
      <c r="D472" s="507"/>
      <c r="E472" s="507"/>
      <c r="F472" s="507"/>
      <c r="G472" s="507"/>
      <c r="H472" s="507"/>
      <c r="I472" s="507"/>
      <c r="J472" s="500">
        <v>5</v>
      </c>
      <c r="K472" s="501"/>
      <c r="L472" s="500"/>
      <c r="M472" s="501"/>
      <c r="N472" s="500"/>
      <c r="O472" s="501"/>
      <c r="P472" s="500"/>
      <c r="Q472" s="501"/>
      <c r="R472" s="500"/>
      <c r="S472" s="501"/>
      <c r="T472" s="500"/>
      <c r="U472" s="501"/>
      <c r="V472" s="500">
        <v>5</v>
      </c>
      <c r="W472" s="501"/>
      <c r="X472" s="500">
        <v>5</v>
      </c>
      <c r="Y472" s="501"/>
      <c r="Z472" s="500">
        <v>20</v>
      </c>
      <c r="AA472" s="501"/>
      <c r="AB472" s="500">
        <v>5</v>
      </c>
      <c r="AC472" s="501"/>
      <c r="AD472" s="500"/>
      <c r="AE472" s="501"/>
      <c r="AF472" s="500"/>
      <c r="AG472" s="501"/>
      <c r="AH472" s="247" t="s">
        <v>1208</v>
      </c>
      <c r="AI472" s="500">
        <v>5</v>
      </c>
      <c r="AJ472" s="501"/>
      <c r="AK472" s="500"/>
      <c r="AL472" s="501"/>
      <c r="AM472" s="500"/>
      <c r="AN472" s="501"/>
      <c r="AO472" s="500"/>
      <c r="AP472" s="501"/>
      <c r="AQ472" s="500"/>
      <c r="AR472" s="501"/>
      <c r="AS472" s="500"/>
      <c r="AT472" s="501"/>
      <c r="AU472" s="500">
        <v>5</v>
      </c>
      <c r="AV472" s="501"/>
      <c r="AW472" s="500">
        <v>5</v>
      </c>
      <c r="AX472" s="501"/>
      <c r="AY472" s="500">
        <v>5</v>
      </c>
      <c r="AZ472" s="501"/>
      <c r="BA472" s="500">
        <v>5</v>
      </c>
      <c r="BB472" s="501"/>
      <c r="BC472" s="500"/>
      <c r="BD472" s="501"/>
      <c r="BE472" s="500">
        <v>5</v>
      </c>
      <c r="BF472" s="501"/>
      <c r="BG472" s="500">
        <v>5</v>
      </c>
      <c r="BH472" s="501"/>
      <c r="BI472" s="500"/>
      <c r="BJ472" s="501"/>
      <c r="BK472" s="500"/>
      <c r="BL472" s="501"/>
      <c r="BM472" s="247" t="s">
        <v>1208</v>
      </c>
      <c r="BN472" s="500">
        <v>160</v>
      </c>
      <c r="BO472" s="501"/>
      <c r="BP472" s="500"/>
      <c r="BQ472" s="501"/>
      <c r="BR472" s="500"/>
      <c r="BS472" s="501"/>
      <c r="BT472" s="500"/>
      <c r="BU472" s="501"/>
      <c r="BV472" s="500">
        <v>80</v>
      </c>
      <c r="BW472" s="501"/>
      <c r="BX472" s="500"/>
      <c r="BY472" s="501"/>
      <c r="BZ472" s="500"/>
      <c r="CA472" s="501"/>
      <c r="CB472" s="500"/>
      <c r="CC472" s="501"/>
      <c r="CD472" s="500">
        <v>40</v>
      </c>
      <c r="CE472" s="501"/>
      <c r="CF472" s="500"/>
      <c r="CG472" s="501"/>
      <c r="CH472" s="500"/>
      <c r="CI472" s="501"/>
      <c r="CJ472" s="500"/>
      <c r="CK472" s="501"/>
      <c r="CL472" s="500"/>
      <c r="CM472" s="501"/>
      <c r="CN472" s="500">
        <v>1280</v>
      </c>
      <c r="CO472" s="501"/>
      <c r="CP472" s="500">
        <v>1280</v>
      </c>
      <c r="CQ472" s="501"/>
      <c r="CR472" s="500">
        <v>1280</v>
      </c>
      <c r="CS472" s="501"/>
      <c r="CT472" s="247" t="s">
        <v>1208</v>
      </c>
    </row>
    <row r="473" spans="1:108" ht="24" customHeight="1">
      <c r="A473" s="507" t="s">
        <v>1207</v>
      </c>
      <c r="B473" s="507"/>
      <c r="C473" s="507"/>
      <c r="D473" s="507"/>
      <c r="E473" s="507"/>
      <c r="F473" s="507"/>
      <c r="G473" s="507"/>
      <c r="H473" s="507"/>
      <c r="I473" s="507"/>
      <c r="J473" s="500">
        <v>5</v>
      </c>
      <c r="K473" s="501"/>
      <c r="L473" s="500"/>
      <c r="M473" s="501"/>
      <c r="N473" s="500"/>
      <c r="O473" s="501"/>
      <c r="P473" s="500"/>
      <c r="Q473" s="501"/>
      <c r="R473" s="500"/>
      <c r="S473" s="501"/>
      <c r="T473" s="500"/>
      <c r="U473" s="501"/>
      <c r="V473" s="500">
        <v>5</v>
      </c>
      <c r="W473" s="501"/>
      <c r="X473" s="500">
        <v>320</v>
      </c>
      <c r="Y473" s="501"/>
      <c r="Z473" s="500">
        <v>320</v>
      </c>
      <c r="AA473" s="501"/>
      <c r="AB473" s="500">
        <v>160</v>
      </c>
      <c r="AC473" s="501"/>
      <c r="AD473" s="500"/>
      <c r="AE473" s="501"/>
      <c r="AF473" s="500"/>
      <c r="AG473" s="501"/>
      <c r="AH473" s="247" t="s">
        <v>1206</v>
      </c>
      <c r="AI473" s="500">
        <v>5</v>
      </c>
      <c r="AJ473" s="501"/>
      <c r="AK473" s="500"/>
      <c r="AL473" s="501"/>
      <c r="AM473" s="500"/>
      <c r="AN473" s="501"/>
      <c r="AO473" s="500"/>
      <c r="AP473" s="501"/>
      <c r="AQ473" s="500"/>
      <c r="AR473" s="501"/>
      <c r="AS473" s="500"/>
      <c r="AT473" s="501"/>
      <c r="AU473" s="500">
        <v>5</v>
      </c>
      <c r="AV473" s="501"/>
      <c r="AW473" s="500">
        <v>5</v>
      </c>
      <c r="AX473" s="501"/>
      <c r="AY473" s="500">
        <v>5</v>
      </c>
      <c r="AZ473" s="501"/>
      <c r="BA473" s="500">
        <v>5</v>
      </c>
      <c r="BB473" s="501"/>
      <c r="BC473" s="500"/>
      <c r="BD473" s="501"/>
      <c r="BE473" s="500">
        <v>5</v>
      </c>
      <c r="BF473" s="501"/>
      <c r="BG473" s="500">
        <v>5</v>
      </c>
      <c r="BH473" s="501"/>
      <c r="BI473" s="500"/>
      <c r="BJ473" s="501"/>
      <c r="BK473" s="500"/>
      <c r="BL473" s="501"/>
      <c r="BM473" s="247" t="s">
        <v>1206</v>
      </c>
      <c r="BN473" s="500">
        <v>20</v>
      </c>
      <c r="BO473" s="501"/>
      <c r="BP473" s="500"/>
      <c r="BQ473" s="501"/>
      <c r="BR473" s="500"/>
      <c r="BS473" s="501"/>
      <c r="BT473" s="500"/>
      <c r="BU473" s="501"/>
      <c r="BV473" s="500">
        <v>5</v>
      </c>
      <c r="BW473" s="501"/>
      <c r="BX473" s="500"/>
      <c r="BY473" s="501"/>
      <c r="BZ473" s="500"/>
      <c r="CA473" s="501"/>
      <c r="CB473" s="500"/>
      <c r="CC473" s="501"/>
      <c r="CD473" s="500">
        <v>10</v>
      </c>
      <c r="CE473" s="501"/>
      <c r="CF473" s="500"/>
      <c r="CG473" s="501"/>
      <c r="CH473" s="500"/>
      <c r="CI473" s="501"/>
      <c r="CJ473" s="500"/>
      <c r="CK473" s="501"/>
      <c r="CL473" s="500"/>
      <c r="CM473" s="501"/>
      <c r="CN473" s="500">
        <v>160</v>
      </c>
      <c r="CO473" s="501"/>
      <c r="CP473" s="500">
        <v>2560</v>
      </c>
      <c r="CQ473" s="501"/>
      <c r="CR473" s="500">
        <v>2560</v>
      </c>
      <c r="CS473" s="501"/>
      <c r="CT473" s="247" t="s">
        <v>1206</v>
      </c>
    </row>
    <row r="475" spans="1:108" ht="24" customHeight="1">
      <c r="I475" s="246"/>
      <c r="J475" s="399" t="s">
        <v>1205</v>
      </c>
      <c r="K475" s="399"/>
      <c r="L475" s="413" t="s">
        <v>1204</v>
      </c>
      <c r="M475" s="414"/>
      <c r="N475" s="408" t="s">
        <v>1203</v>
      </c>
      <c r="O475" s="399"/>
      <c r="P475" s="399" t="s">
        <v>1202</v>
      </c>
      <c r="Q475" s="399"/>
      <c r="R475" s="399" t="s">
        <v>1201</v>
      </c>
      <c r="S475" s="399"/>
      <c r="T475" s="399" t="s">
        <v>1200</v>
      </c>
      <c r="U475" s="399"/>
      <c r="V475" s="399" t="s">
        <v>1199</v>
      </c>
      <c r="W475" s="399"/>
      <c r="X475" s="399" t="s">
        <v>1198</v>
      </c>
      <c r="Y475" s="399"/>
      <c r="Z475" s="400" t="s">
        <v>1142</v>
      </c>
      <c r="AA475" s="409"/>
      <c r="AB475" s="410" t="s">
        <v>255</v>
      </c>
      <c r="AC475" s="410"/>
      <c r="AD475" s="412" t="s">
        <v>1197</v>
      </c>
      <c r="AE475" s="412"/>
      <c r="AF475" s="412" t="s">
        <v>1196</v>
      </c>
      <c r="AG475" s="412"/>
      <c r="AH475" s="245"/>
      <c r="AI475" s="411" t="s">
        <v>1195</v>
      </c>
      <c r="AJ475" s="411"/>
      <c r="AK475" s="403" t="s">
        <v>1194</v>
      </c>
      <c r="AL475" s="404"/>
      <c r="AM475" s="404" t="s">
        <v>1193</v>
      </c>
      <c r="AN475" s="404"/>
      <c r="AO475" s="404" t="s">
        <v>1192</v>
      </c>
      <c r="AP475" s="404"/>
      <c r="AQ475" s="404" t="s">
        <v>1191</v>
      </c>
      <c r="AR475" s="404"/>
      <c r="AS475" s="404" t="s">
        <v>1190</v>
      </c>
      <c r="AT475" s="404"/>
      <c r="AU475" s="404" t="s">
        <v>1189</v>
      </c>
      <c r="AV475" s="404"/>
      <c r="AW475" s="404" t="s">
        <v>1188</v>
      </c>
      <c r="AX475" s="404"/>
      <c r="AY475" s="400" t="s">
        <v>1187</v>
      </c>
      <c r="AZ475" s="409"/>
      <c r="BA475" s="412" t="s">
        <v>1186</v>
      </c>
      <c r="BB475" s="412"/>
      <c r="BC475" s="412" t="s">
        <v>1185</v>
      </c>
      <c r="BD475" s="412"/>
      <c r="BE475" s="405" t="s">
        <v>256</v>
      </c>
      <c r="BF475" s="401"/>
      <c r="BG475" s="402" t="s">
        <v>1184</v>
      </c>
      <c r="BH475" s="402"/>
      <c r="BI475" s="412" t="s">
        <v>1183</v>
      </c>
      <c r="BJ475" s="412"/>
      <c r="BK475" s="412" t="s">
        <v>1182</v>
      </c>
      <c r="BL475" s="412"/>
      <c r="BM475" s="245"/>
      <c r="BN475" s="407" t="s">
        <v>13</v>
      </c>
      <c r="BO475" s="407"/>
      <c r="BP475" s="408" t="s">
        <v>1181</v>
      </c>
      <c r="BQ475" s="399"/>
      <c r="BR475" s="399" t="s">
        <v>1180</v>
      </c>
      <c r="BS475" s="399"/>
      <c r="BT475" s="399" t="s">
        <v>1179</v>
      </c>
      <c r="BU475" s="399"/>
      <c r="BV475" s="399" t="s">
        <v>1178</v>
      </c>
      <c r="BW475" s="399"/>
      <c r="BX475" s="399" t="s">
        <v>1177</v>
      </c>
      <c r="BY475" s="399"/>
      <c r="BZ475" s="399" t="s">
        <v>1176</v>
      </c>
      <c r="CA475" s="399"/>
      <c r="CB475" s="399" t="s">
        <v>1175</v>
      </c>
      <c r="CC475" s="399"/>
      <c r="CD475" s="401" t="s">
        <v>236</v>
      </c>
      <c r="CE475" s="401"/>
      <c r="CF475" s="398" t="s">
        <v>1174</v>
      </c>
      <c r="CG475" s="399"/>
      <c r="CH475" s="399" t="s">
        <v>1173</v>
      </c>
      <c r="CI475" s="399"/>
      <c r="CJ475" s="399" t="s">
        <v>1172</v>
      </c>
      <c r="CK475" s="399"/>
      <c r="CL475" s="399" t="s">
        <v>1171</v>
      </c>
      <c r="CM475" s="399"/>
      <c r="CN475" s="400" t="s">
        <v>235</v>
      </c>
      <c r="CO475" s="400"/>
      <c r="CP475" s="401" t="s">
        <v>14</v>
      </c>
      <c r="CQ475" s="401"/>
      <c r="CR475" s="406" t="s">
        <v>108</v>
      </c>
      <c r="CS475" s="406"/>
      <c r="CT475" s="244"/>
    </row>
    <row r="476" spans="1:108" ht="24" customHeight="1">
      <c r="G476" s="2"/>
      <c r="H476" s="243" t="s">
        <v>65</v>
      </c>
      <c r="I476" s="226" t="s">
        <v>17</v>
      </c>
      <c r="J476" s="240" t="s">
        <v>275</v>
      </c>
      <c r="K476" s="240" t="s">
        <v>276</v>
      </c>
      <c r="L476" s="238" t="s">
        <v>275</v>
      </c>
      <c r="M476" s="239" t="s">
        <v>276</v>
      </c>
      <c r="N476" s="240" t="s">
        <v>275</v>
      </c>
      <c r="O476" s="240" t="s">
        <v>276</v>
      </c>
      <c r="P476" s="240" t="s">
        <v>275</v>
      </c>
      <c r="Q476" s="240" t="s">
        <v>276</v>
      </c>
      <c r="R476" s="240" t="s">
        <v>275</v>
      </c>
      <c r="S476" s="240" t="s">
        <v>276</v>
      </c>
      <c r="T476" s="240" t="s">
        <v>275</v>
      </c>
      <c r="U476" s="240" t="s">
        <v>276</v>
      </c>
      <c r="V476" s="238" t="s">
        <v>275</v>
      </c>
      <c r="W476" s="239" t="s">
        <v>276</v>
      </c>
      <c r="X476" s="238" t="s">
        <v>275</v>
      </c>
      <c r="Y476" s="239" t="s">
        <v>276</v>
      </c>
      <c r="Z476" s="238" t="s">
        <v>275</v>
      </c>
      <c r="AA476" s="239" t="s">
        <v>276</v>
      </c>
      <c r="AB476" s="238" t="s">
        <v>275</v>
      </c>
      <c r="AC476" s="239" t="s">
        <v>276</v>
      </c>
      <c r="AD476" s="242" t="s">
        <v>275</v>
      </c>
      <c r="AE476" s="241" t="s">
        <v>276</v>
      </c>
      <c r="AF476" s="242" t="s">
        <v>275</v>
      </c>
      <c r="AG476" s="241" t="s">
        <v>276</v>
      </c>
      <c r="AH476" s="226" t="s">
        <v>17</v>
      </c>
      <c r="AI476" s="237" t="s">
        <v>275</v>
      </c>
      <c r="AJ476" s="239" t="s">
        <v>276</v>
      </c>
      <c r="AK476" s="240" t="s">
        <v>275</v>
      </c>
      <c r="AL476" s="240" t="s">
        <v>276</v>
      </c>
      <c r="AM476" s="240" t="s">
        <v>275</v>
      </c>
      <c r="AN476" s="240" t="s">
        <v>276</v>
      </c>
      <c r="AO476" s="240" t="s">
        <v>275</v>
      </c>
      <c r="AP476" s="240" t="s">
        <v>276</v>
      </c>
      <c r="AQ476" s="240" t="s">
        <v>275</v>
      </c>
      <c r="AR476" s="240" t="s">
        <v>276</v>
      </c>
      <c r="AS476" s="240" t="s">
        <v>275</v>
      </c>
      <c r="AT476" s="240" t="s">
        <v>276</v>
      </c>
      <c r="AU476" s="238" t="s">
        <v>275</v>
      </c>
      <c r="AV476" s="239" t="s">
        <v>276</v>
      </c>
      <c r="AW476" s="238" t="s">
        <v>275</v>
      </c>
      <c r="AX476" s="239" t="s">
        <v>276</v>
      </c>
      <c r="AY476" s="238" t="s">
        <v>275</v>
      </c>
      <c r="AZ476" s="239" t="s">
        <v>276</v>
      </c>
      <c r="BA476" s="242" t="s">
        <v>275</v>
      </c>
      <c r="BB476" s="241" t="s">
        <v>276</v>
      </c>
      <c r="BC476" s="242" t="s">
        <v>275</v>
      </c>
      <c r="BD476" s="241" t="s">
        <v>276</v>
      </c>
      <c r="BE476" s="238" t="s">
        <v>275</v>
      </c>
      <c r="BF476" s="239" t="s">
        <v>276</v>
      </c>
      <c r="BG476" s="238" t="s">
        <v>275</v>
      </c>
      <c r="BH476" s="237" t="s">
        <v>276</v>
      </c>
      <c r="BI476" s="242" t="s">
        <v>275</v>
      </c>
      <c r="BJ476" s="241" t="s">
        <v>276</v>
      </c>
      <c r="BK476" s="242" t="s">
        <v>275</v>
      </c>
      <c r="BL476" s="241" t="s">
        <v>276</v>
      </c>
      <c r="BM476" s="226" t="s">
        <v>17</v>
      </c>
      <c r="BN476" s="240" t="s">
        <v>275</v>
      </c>
      <c r="BO476" s="240" t="s">
        <v>276</v>
      </c>
      <c r="BP476" s="240" t="s">
        <v>275</v>
      </c>
      <c r="BQ476" s="240" t="s">
        <v>276</v>
      </c>
      <c r="BR476" s="240" t="s">
        <v>275</v>
      </c>
      <c r="BS476" s="240" t="s">
        <v>276</v>
      </c>
      <c r="BT476" s="240" t="s">
        <v>275</v>
      </c>
      <c r="BU476" s="240" t="s">
        <v>276</v>
      </c>
      <c r="BV476" s="240" t="s">
        <v>275</v>
      </c>
      <c r="BW476" s="240" t="s">
        <v>276</v>
      </c>
      <c r="BX476" s="240" t="s">
        <v>275</v>
      </c>
      <c r="BY476" s="240" t="s">
        <v>276</v>
      </c>
      <c r="BZ476" s="240" t="s">
        <v>275</v>
      </c>
      <c r="CA476" s="240" t="s">
        <v>276</v>
      </c>
      <c r="CB476" s="238" t="s">
        <v>275</v>
      </c>
      <c r="CC476" s="239" t="s">
        <v>276</v>
      </c>
      <c r="CD476" s="238" t="s">
        <v>275</v>
      </c>
      <c r="CE476" s="239" t="s">
        <v>276</v>
      </c>
      <c r="CF476" s="238" t="s">
        <v>275</v>
      </c>
      <c r="CG476" s="239" t="s">
        <v>276</v>
      </c>
      <c r="CH476" s="238" t="s">
        <v>275</v>
      </c>
      <c r="CI476" s="239" t="s">
        <v>276</v>
      </c>
      <c r="CJ476" s="238" t="s">
        <v>275</v>
      </c>
      <c r="CK476" s="239" t="s">
        <v>276</v>
      </c>
      <c r="CL476" s="238" t="s">
        <v>275</v>
      </c>
      <c r="CM476" s="239" t="s">
        <v>276</v>
      </c>
      <c r="CN476" s="238" t="s">
        <v>275</v>
      </c>
      <c r="CO476" s="239" t="s">
        <v>276</v>
      </c>
      <c r="CP476" s="238" t="s">
        <v>275</v>
      </c>
      <c r="CQ476" s="239" t="s">
        <v>276</v>
      </c>
      <c r="CR476" s="238" t="s">
        <v>275</v>
      </c>
      <c r="CS476" s="237" t="s">
        <v>276</v>
      </c>
      <c r="CT476" s="226" t="s">
        <v>17</v>
      </c>
      <c r="CU476" s="236" t="s">
        <v>65</v>
      </c>
      <c r="CV476" s="1"/>
      <c r="CW476" s="1"/>
      <c r="CX476" s="1"/>
    </row>
    <row r="477" spans="1:108" ht="24" customHeight="1">
      <c r="G477" s="485" t="s">
        <v>281</v>
      </c>
      <c r="H477" s="16">
        <f>COUNTIF($D$7:$D$467,"&lt;15")</f>
        <v>36</v>
      </c>
      <c r="I477" s="225" t="s">
        <v>71</v>
      </c>
      <c r="J477" s="25">
        <f>AVERAGEIF($D$7:$D$467,"&lt;15",J$7:J$467)</f>
        <v>5</v>
      </c>
      <c r="K477" s="15">
        <f>AVERAGEIF($D$7:$D$467,"&lt;15",K$7:K$467)</f>
        <v>5</v>
      </c>
      <c r="L477" s="18"/>
      <c r="M477" s="19"/>
      <c r="N477" s="14"/>
      <c r="O477" s="15"/>
      <c r="P477" s="14"/>
      <c r="Q477" s="15"/>
      <c r="R477" s="14"/>
      <c r="S477" s="15"/>
      <c r="T477" s="14"/>
      <c r="U477" s="15"/>
      <c r="V477" s="25">
        <f t="shared" ref="V477:AC477" si="12">AVERAGEIF($D$7:$D$467,"&lt;15",V$7:V$467)</f>
        <v>8.6111111111111107</v>
      </c>
      <c r="W477" s="15">
        <f t="shared" si="12"/>
        <v>17.222222222222221</v>
      </c>
      <c r="X477" s="25">
        <f t="shared" si="12"/>
        <v>171.80555555555554</v>
      </c>
      <c r="Y477" s="15">
        <f t="shared" si="12"/>
        <v>212.5</v>
      </c>
      <c r="Z477" s="25">
        <f t="shared" si="12"/>
        <v>290.41666666666669</v>
      </c>
      <c r="AA477" s="15">
        <f t="shared" si="12"/>
        <v>411.25</v>
      </c>
      <c r="AB477" s="25">
        <f t="shared" si="12"/>
        <v>174.58333333333334</v>
      </c>
      <c r="AC477" s="15">
        <f t="shared" si="12"/>
        <v>191.25</v>
      </c>
      <c r="AD477" s="235"/>
      <c r="AE477" s="234"/>
      <c r="AF477" s="235"/>
      <c r="AG477" s="234"/>
      <c r="AH477" s="225" t="s">
        <v>71</v>
      </c>
      <c r="AI477" s="14">
        <f>AVERAGEIF($D$7:$D$467,"&lt;15",AI$7:AI$467)</f>
        <v>10.138888888888889</v>
      </c>
      <c r="AJ477" s="15">
        <f>AVERAGEIF($D$7:$D$467,"&lt;15",AJ$7:AJ$467)</f>
        <v>24.166666666666668</v>
      </c>
      <c r="AK477" s="14"/>
      <c r="AL477" s="15"/>
      <c r="AM477" s="14"/>
      <c r="AN477" s="15"/>
      <c r="AO477" s="14"/>
      <c r="AP477" s="15"/>
      <c r="AQ477" s="14"/>
      <c r="AR477" s="15"/>
      <c r="AS477" s="14"/>
      <c r="AT477" s="15"/>
      <c r="AU477" s="14">
        <f t="shared" ref="AU477:BB477" si="13">AVERAGEIF($D$7:$D$467,"&lt;15",AU$7:AU$467)</f>
        <v>229.30555555555554</v>
      </c>
      <c r="AV477" s="15">
        <f t="shared" si="13"/>
        <v>527.91666666666663</v>
      </c>
      <c r="AW477" s="14">
        <f t="shared" si="13"/>
        <v>161.94444444444446</v>
      </c>
      <c r="AX477" s="15">
        <f t="shared" si="13"/>
        <v>645.69444444444446</v>
      </c>
      <c r="AY477" s="14">
        <f t="shared" si="13"/>
        <v>177.08333333333334</v>
      </c>
      <c r="AZ477" s="15">
        <f t="shared" si="13"/>
        <v>494.72222222222223</v>
      </c>
      <c r="BA477" s="14">
        <f t="shared" si="13"/>
        <v>235.83333333333334</v>
      </c>
      <c r="BB477" s="15">
        <f t="shared" si="13"/>
        <v>486.94444444444446</v>
      </c>
      <c r="BC477" s="14"/>
      <c r="BD477" s="15"/>
      <c r="BE477" s="25">
        <f>AVERAGEIF($D$7:$D$467,"&lt;15",BE$7:BE$467)</f>
        <v>80.972222222222229</v>
      </c>
      <c r="BF477" s="15">
        <f>AVERAGEIF($D$7:$D$467,"&lt;15",BF$7:BF$467)</f>
        <v>381.94444444444446</v>
      </c>
      <c r="BG477" s="25">
        <f>AVERAGEIF($D$7:$D$467,"&lt;15",BG$7:BG$467)</f>
        <v>301.25</v>
      </c>
      <c r="BH477" s="15">
        <f>AVERAGEIF($D$7:$D$467,"&lt;15",BH$7:BH$467)</f>
        <v>684.16666666666663</v>
      </c>
      <c r="BI477" s="14"/>
      <c r="BJ477" s="15"/>
      <c r="BK477" s="14"/>
      <c r="BL477" s="15"/>
      <c r="BM477" s="225" t="s">
        <v>71</v>
      </c>
      <c r="BN477" s="25">
        <f>AVERAGEIF($D$7:$D$467,"&lt;15",BN$7:BN$467)</f>
        <v>36.805555555555557</v>
      </c>
      <c r="BO477" s="15">
        <f>AVERAGEIF($D$7:$D$467,"&lt;15",BO$7:BO$467)</f>
        <v>60.833333333333336</v>
      </c>
      <c r="BP477" s="14"/>
      <c r="BQ477" s="15"/>
      <c r="BR477" s="14"/>
      <c r="BS477" s="15"/>
      <c r="BT477" s="14"/>
      <c r="BU477" s="15"/>
      <c r="BV477" s="25">
        <f>AVERAGEIF($D$7:$D$467,"&lt;15",BV$7:BV$467)</f>
        <v>63.055555555555557</v>
      </c>
      <c r="BW477" s="15">
        <f>AVERAGEIF($D$7:$D$467,"&lt;15",BW$7:BW$467)</f>
        <v>127.36111111111111</v>
      </c>
      <c r="BX477" s="14"/>
      <c r="BY477" s="15"/>
      <c r="BZ477" s="14"/>
      <c r="CA477" s="15"/>
      <c r="CB477" s="14"/>
      <c r="CC477" s="15"/>
      <c r="CD477" s="25">
        <f>AVERAGEIF($D$7:$D$467,"&lt;15",CD$7:CD$467)</f>
        <v>85.277777777777771</v>
      </c>
      <c r="CE477" s="15">
        <f>AVERAGEIF($D$7:$D$467,"&lt;15",CE$7:CE$467)</f>
        <v>161.66666666666666</v>
      </c>
      <c r="CF477" s="14"/>
      <c r="CG477" s="15"/>
      <c r="CH477" s="14"/>
      <c r="CI477" s="15"/>
      <c r="CJ477" s="14"/>
      <c r="CK477" s="15"/>
      <c r="CL477" s="14"/>
      <c r="CM477" s="15"/>
      <c r="CN477" s="14"/>
      <c r="CO477" s="15"/>
      <c r="CP477" s="25">
        <f>AVERAGEIF($D$7:$D$467,"&lt;15",CP$7:CP$467)</f>
        <v>81.666666666666671</v>
      </c>
      <c r="CQ477" s="15">
        <f>AVERAGEIF($D$7:$D$467,"&lt;15",CQ$7:CQ$467)</f>
        <v>123.05555555555556</v>
      </c>
      <c r="CR477" s="25">
        <f>AVERAGEIF($D$7:$D$467,"&lt;15",CR$7:CR$467)</f>
        <v>78.472222222222229</v>
      </c>
      <c r="CS477" s="15">
        <f>AVERAGEIF($D$7:$D$467,"&lt;15",CS$7:CS$467)</f>
        <v>126.38888888888889</v>
      </c>
      <c r="CT477" s="225" t="s">
        <v>71</v>
      </c>
      <c r="CU477" s="16">
        <f>COUNTIF($D$7:$D$467,"&lt;15")</f>
        <v>36</v>
      </c>
      <c r="CV477" s="530" t="s">
        <v>281</v>
      </c>
      <c r="CW477" s="228"/>
      <c r="CX477" s="228"/>
      <c r="CY477" s="227"/>
      <c r="CZ477" s="227"/>
      <c r="DA477" s="227"/>
      <c r="DB477" s="227"/>
      <c r="DC477" s="227"/>
      <c r="DD477" s="227"/>
    </row>
    <row r="478" spans="1:108" ht="24" customHeight="1">
      <c r="G478" s="486"/>
      <c r="H478" s="16">
        <f>COUNTIFS($D$7:$D$467,"&gt;14",$D$7:$D$467,"&lt;18")</f>
        <v>63</v>
      </c>
      <c r="I478" s="225" t="s">
        <v>72</v>
      </c>
      <c r="J478" s="233">
        <f>AVERAGEIFS(J$7:J$467,$D$7:$D$467,"&gt;14",$D$7:$D$467,"&lt;18")</f>
        <v>5</v>
      </c>
      <c r="K478" s="19">
        <f>AVERAGEIFS(K$7:K$467,$D$7:$D$467,"&gt;14",$D$7:$D$467,"&lt;18")</f>
        <v>5.2380952380952381</v>
      </c>
      <c r="L478" s="18"/>
      <c r="M478" s="19"/>
      <c r="N478" s="18"/>
      <c r="O478" s="19"/>
      <c r="P478" s="18"/>
      <c r="Q478" s="19"/>
      <c r="R478" s="18"/>
      <c r="S478" s="19"/>
      <c r="T478" s="18"/>
      <c r="U478" s="19"/>
      <c r="V478" s="233">
        <f t="shared" ref="V478:AC478" si="14">AVERAGEIFS(V$7:V$467,$D$7:$D$467,"&gt;14",$D$7:$D$467,"&lt;18")</f>
        <v>13.015873015873016</v>
      </c>
      <c r="W478" s="19">
        <f t="shared" si="14"/>
        <v>24.047619047619047</v>
      </c>
      <c r="X478" s="233">
        <f t="shared" si="14"/>
        <v>141.03174603174602</v>
      </c>
      <c r="Y478" s="19">
        <f t="shared" si="14"/>
        <v>170.79365079365078</v>
      </c>
      <c r="Z478" s="233">
        <f t="shared" si="14"/>
        <v>238.01587301587301</v>
      </c>
      <c r="AA478" s="19">
        <f t="shared" si="14"/>
        <v>299.6825396825397</v>
      </c>
      <c r="AB478" s="233">
        <f t="shared" si="14"/>
        <v>121.58730158730158</v>
      </c>
      <c r="AC478" s="19">
        <f t="shared" si="14"/>
        <v>151.74603174603175</v>
      </c>
      <c r="AD478" s="232"/>
      <c r="AE478" s="231"/>
      <c r="AF478" s="232"/>
      <c r="AG478" s="231"/>
      <c r="AH478" s="225" t="s">
        <v>72</v>
      </c>
      <c r="AI478" s="18">
        <f>AVERAGEIFS(AI$7:AI$467,$D$7:$D$467,"&gt;14",$D$7:$D$467,"&lt;18")</f>
        <v>25.873015873015873</v>
      </c>
      <c r="AJ478" s="19">
        <f>AVERAGEIFS(AJ$7:AJ$467,$D$7:$D$467,"&gt;14",$D$7:$D$467,"&lt;18")</f>
        <v>41.031746031746032</v>
      </c>
      <c r="AK478" s="18"/>
      <c r="AL478" s="19"/>
      <c r="AM478" s="18"/>
      <c r="AN478" s="19"/>
      <c r="AO478" s="18"/>
      <c r="AP478" s="19"/>
      <c r="AQ478" s="18"/>
      <c r="AR478" s="19"/>
      <c r="AS478" s="18"/>
      <c r="AT478" s="19"/>
      <c r="AU478" s="18">
        <f t="shared" ref="AU478:BB478" si="15">AVERAGEIFS(AU$7:AU$467,$D$7:$D$467,"&gt;14",$D$7:$D$467,"&lt;18")</f>
        <v>265.39682539682542</v>
      </c>
      <c r="AV478" s="19">
        <f t="shared" si="15"/>
        <v>551.11111111111109</v>
      </c>
      <c r="AW478" s="18">
        <f t="shared" si="15"/>
        <v>213.33333333333334</v>
      </c>
      <c r="AX478" s="19">
        <f t="shared" si="15"/>
        <v>481.26984126984127</v>
      </c>
      <c r="AY478" s="18">
        <f t="shared" si="15"/>
        <v>189.12698412698413</v>
      </c>
      <c r="AZ478" s="19">
        <f t="shared" si="15"/>
        <v>303.49206349206349</v>
      </c>
      <c r="BA478" s="18">
        <f t="shared" si="15"/>
        <v>261.90476190476193</v>
      </c>
      <c r="BB478" s="19">
        <f t="shared" si="15"/>
        <v>388.57142857142856</v>
      </c>
      <c r="BC478" s="18"/>
      <c r="BD478" s="19"/>
      <c r="BE478" s="233">
        <f>AVERAGEIFS(BE$7:BE$467,$D$7:$D$467,"&gt;14",$D$7:$D$467,"&lt;18")</f>
        <v>76.666666666666671</v>
      </c>
      <c r="BF478" s="19">
        <f>AVERAGEIFS(BF$7:BF$467,$D$7:$D$467,"&gt;14",$D$7:$D$467,"&lt;18")</f>
        <v>234.12698412698413</v>
      </c>
      <c r="BG478" s="233">
        <f>AVERAGEIFS(BG$7:BG$467,$D$7:$D$467,"&gt;14",$D$7:$D$467,"&lt;18")</f>
        <v>325.07936507936506</v>
      </c>
      <c r="BH478" s="19">
        <f>AVERAGEIFS(BH$7:BH$467,$D$7:$D$467,"&gt;14",$D$7:$D$467,"&lt;18")</f>
        <v>635.55555555555554</v>
      </c>
      <c r="BI478" s="18"/>
      <c r="BJ478" s="19"/>
      <c r="BK478" s="18"/>
      <c r="BL478" s="19"/>
      <c r="BM478" s="225" t="s">
        <v>72</v>
      </c>
      <c r="BN478" s="233">
        <f>AVERAGEIFS(BN$7:BN$467,$D$7:$D$467,"&gt;14",$D$7:$D$467,"&lt;18")</f>
        <v>73.253968253968253</v>
      </c>
      <c r="BO478" s="19">
        <f>AVERAGEIFS(BO$7:BO$467,$D$7:$D$467,"&gt;14",$D$7:$D$467,"&lt;18")</f>
        <v>105.23809523809524</v>
      </c>
      <c r="BP478" s="18"/>
      <c r="BQ478" s="19"/>
      <c r="BR478" s="18"/>
      <c r="BS478" s="19"/>
      <c r="BT478" s="18"/>
      <c r="BU478" s="19"/>
      <c r="BV478" s="233">
        <f>AVERAGEIFS(BV$7:BV$467,$D$7:$D$467,"&gt;14",$D$7:$D$467,"&lt;18")</f>
        <v>110.15873015873017</v>
      </c>
      <c r="BW478" s="19">
        <f>AVERAGEIFS(BW$7:BW$467,$D$7:$D$467,"&gt;14",$D$7:$D$467,"&lt;18")</f>
        <v>171.1904761904762</v>
      </c>
      <c r="BX478" s="18"/>
      <c r="BY478" s="19"/>
      <c r="BZ478" s="18"/>
      <c r="CA478" s="19"/>
      <c r="CB478" s="18"/>
      <c r="CC478" s="19"/>
      <c r="CD478" s="233">
        <f>AVERAGEIFS(CD$7:CD$467,$D$7:$D$467,"&gt;14",$D$7:$D$467,"&lt;18")</f>
        <v>115.71428571428571</v>
      </c>
      <c r="CE478" s="19">
        <f>AVERAGEIFS(CE$7:CE$467,$D$7:$D$467,"&gt;14",$D$7:$D$467,"&lt;18")</f>
        <v>153.01587301587301</v>
      </c>
      <c r="CF478" s="18"/>
      <c r="CG478" s="19"/>
      <c r="CH478" s="18"/>
      <c r="CI478" s="19"/>
      <c r="CJ478" s="18"/>
      <c r="CK478" s="19"/>
      <c r="CL478" s="18"/>
      <c r="CM478" s="19"/>
      <c r="CN478" s="18"/>
      <c r="CO478" s="19"/>
      <c r="CP478" s="233">
        <f>AVERAGEIFS(CP$7:CP$467,$D$7:$D$467,"&gt;14",$D$7:$D$467,"&lt;18")</f>
        <v>134.84126984126985</v>
      </c>
      <c r="CQ478" s="19">
        <f>AVERAGEIFS(CQ$7:CQ$467,$D$7:$D$467,"&gt;14",$D$7:$D$467,"&lt;18")</f>
        <v>122.93650793650794</v>
      </c>
      <c r="CR478" s="233">
        <f>AVERAGEIFS(CR$7:CR$467,$D$7:$D$467,"&gt;14",$D$7:$D$467,"&lt;18")</f>
        <v>94.603174603174608</v>
      </c>
      <c r="CS478" s="19">
        <f>AVERAGEIFS(CS$7:CS$467,$D$7:$D$467,"&gt;14",$D$7:$D$467,"&lt;18")</f>
        <v>132.77777777777777</v>
      </c>
      <c r="CT478" s="225" t="s">
        <v>72</v>
      </c>
      <c r="CU478" s="16">
        <f>COUNTIFS($D$7:$D$467,"&gt;14",$D$7:$D$467,"&lt;18")</f>
        <v>63</v>
      </c>
      <c r="CV478" s="530"/>
      <c r="CW478" s="228"/>
      <c r="CX478" s="228"/>
      <c r="CY478" s="227"/>
      <c r="CZ478" s="227"/>
      <c r="DA478" s="227"/>
      <c r="DB478" s="227"/>
      <c r="DC478" s="227"/>
      <c r="DD478" s="227"/>
    </row>
    <row r="479" spans="1:108" ht="24" customHeight="1">
      <c r="G479" s="486"/>
      <c r="H479" s="16">
        <f>COUNTIFS($D$7:$D$467,"&gt;17",$D$7:$D$467,"&lt;35")</f>
        <v>90</v>
      </c>
      <c r="I479" s="16" t="s">
        <v>8</v>
      </c>
      <c r="J479" s="233">
        <f>AVERAGEIFS(J$7:J$467,$D$7:$D$467,"&gt;17",$D$7:$D$467,"&lt;35")</f>
        <v>5</v>
      </c>
      <c r="K479" s="19">
        <f>AVERAGEIFS(K$7:K$467,$D$7:$D$467,"&gt;17",$D$7:$D$467,"&lt;35")</f>
        <v>5.2777777777777777</v>
      </c>
      <c r="L479" s="18"/>
      <c r="M479" s="19"/>
      <c r="N479" s="18"/>
      <c r="O479" s="19"/>
      <c r="P479" s="18"/>
      <c r="Q479" s="19"/>
      <c r="R479" s="18"/>
      <c r="S479" s="19"/>
      <c r="T479" s="18"/>
      <c r="U479" s="19"/>
      <c r="V479" s="233">
        <f t="shared" ref="V479:AC479" si="16">AVERAGEIFS(V$7:V$467,$D$7:$D$467,"&gt;17",$D$7:$D$467,"&lt;35")</f>
        <v>13.111111111111111</v>
      </c>
      <c r="W479" s="19">
        <f t="shared" si="16"/>
        <v>23.277777777777779</v>
      </c>
      <c r="X479" s="233">
        <f t="shared" si="16"/>
        <v>64.277777777777771</v>
      </c>
      <c r="Y479" s="19">
        <f t="shared" si="16"/>
        <v>149.33333333333334</v>
      </c>
      <c r="Z479" s="233">
        <f t="shared" si="16"/>
        <v>88</v>
      </c>
      <c r="AA479" s="19">
        <f t="shared" si="16"/>
        <v>233.38888888888889</v>
      </c>
      <c r="AB479" s="233">
        <f t="shared" si="16"/>
        <v>54.111111111111114</v>
      </c>
      <c r="AC479" s="19">
        <f t="shared" si="16"/>
        <v>141.22222222222223</v>
      </c>
      <c r="AD479" s="232"/>
      <c r="AE479" s="231"/>
      <c r="AF479" s="232"/>
      <c r="AG479" s="231"/>
      <c r="AH479" s="16" t="s">
        <v>8</v>
      </c>
      <c r="AI479" s="18">
        <f>AVERAGEIFS(AI$7:AI$467,$D$7:$D$467,"&gt;17",$D$7:$D$467,"&lt;35")</f>
        <v>73</v>
      </c>
      <c r="AJ479" s="19">
        <f>AVERAGEIFS(AJ$7:AJ$467,$D$7:$D$467,"&gt;17",$D$7:$D$467,"&lt;35")</f>
        <v>121.5</v>
      </c>
      <c r="AK479" s="18"/>
      <c r="AL479" s="19"/>
      <c r="AM479" s="18"/>
      <c r="AN479" s="19"/>
      <c r="AO479" s="18"/>
      <c r="AP479" s="19"/>
      <c r="AQ479" s="18"/>
      <c r="AR479" s="19"/>
      <c r="AS479" s="18"/>
      <c r="AT479" s="19"/>
      <c r="AU479" s="18">
        <f t="shared" ref="AU479:BB479" si="17">AVERAGEIFS(AU$7:AU$467,$D$7:$D$467,"&gt;17",$D$7:$D$467,"&lt;35")</f>
        <v>103.33333333333333</v>
      </c>
      <c r="AV479" s="19">
        <f t="shared" si="17"/>
        <v>295.33333333333331</v>
      </c>
      <c r="AW479" s="18">
        <f t="shared" si="17"/>
        <v>59.222222222222221</v>
      </c>
      <c r="AX479" s="19">
        <f t="shared" si="17"/>
        <v>276.77777777777777</v>
      </c>
      <c r="AY479" s="18">
        <f t="shared" si="17"/>
        <v>48.777777777777779</v>
      </c>
      <c r="AZ479" s="19">
        <f t="shared" si="17"/>
        <v>168.44444444444446</v>
      </c>
      <c r="BA479" s="18">
        <f t="shared" si="17"/>
        <v>66.111111111111114</v>
      </c>
      <c r="BB479" s="19">
        <f t="shared" si="17"/>
        <v>214.5</v>
      </c>
      <c r="BC479" s="18"/>
      <c r="BD479" s="19"/>
      <c r="BE479" s="233">
        <f>AVERAGEIFS(BE$7:BE$467,$D$7:$D$467,"&gt;17",$D$7:$D$467,"&lt;35")</f>
        <v>19</v>
      </c>
      <c r="BF479" s="19">
        <f>AVERAGEIFS(BF$7:BF$467,$D$7:$D$467,"&gt;17",$D$7:$D$467,"&lt;35")</f>
        <v>132.11111111111111</v>
      </c>
      <c r="BG479" s="233">
        <f>AVERAGEIFS(BG$7:BG$467,$D$7:$D$467,"&gt;17",$D$7:$D$467,"&lt;35")</f>
        <v>108.83333333333333</v>
      </c>
      <c r="BH479" s="19">
        <f>AVERAGEIFS(BH$7:BH$467,$D$7:$D$467,"&gt;17",$D$7:$D$467,"&lt;35")</f>
        <v>301</v>
      </c>
      <c r="BI479" s="18"/>
      <c r="BJ479" s="19"/>
      <c r="BK479" s="18"/>
      <c r="BL479" s="19"/>
      <c r="BM479" s="16" t="s">
        <v>8</v>
      </c>
      <c r="BN479" s="233">
        <f>AVERAGEIFS(BN$7:BN$467,$D$7:$D$467,"&gt;17",$D$7:$D$467,"&lt;35")</f>
        <v>126.33333333333333</v>
      </c>
      <c r="BO479" s="19">
        <f>AVERAGEIFS(BO$7:BO$467,$D$7:$D$467,"&gt;17",$D$7:$D$467,"&lt;35")</f>
        <v>289.77777777777777</v>
      </c>
      <c r="BP479" s="18"/>
      <c r="BQ479" s="19"/>
      <c r="BR479" s="18"/>
      <c r="BS479" s="19"/>
      <c r="BT479" s="18"/>
      <c r="BU479" s="19"/>
      <c r="BV479" s="233">
        <f>AVERAGEIFS(BV$7:BV$467,$D$7:$D$467,"&gt;17",$D$7:$D$467,"&lt;35")</f>
        <v>76</v>
      </c>
      <c r="BW479" s="19">
        <f>AVERAGEIFS(BW$7:BW$467,$D$7:$D$467,"&gt;17",$D$7:$D$467,"&lt;35")</f>
        <v>261.5</v>
      </c>
      <c r="BX479" s="18"/>
      <c r="BY479" s="19"/>
      <c r="BZ479" s="18"/>
      <c r="CA479" s="19"/>
      <c r="CB479" s="18"/>
      <c r="CC479" s="19"/>
      <c r="CD479" s="233">
        <f>AVERAGEIFS(CD$7:CD$467,$D$7:$D$467,"&gt;17",$D$7:$D$467,"&lt;35")</f>
        <v>120.66666666666667</v>
      </c>
      <c r="CE479" s="19">
        <f>AVERAGEIFS(CE$7:CE$467,$D$7:$D$467,"&gt;17",$D$7:$D$467,"&lt;35")</f>
        <v>252.22222222222223</v>
      </c>
      <c r="CF479" s="18"/>
      <c r="CG479" s="19"/>
      <c r="CH479" s="18"/>
      <c r="CI479" s="19"/>
      <c r="CJ479" s="18"/>
      <c r="CK479" s="19"/>
      <c r="CL479" s="18"/>
      <c r="CM479" s="19"/>
      <c r="CN479" s="18"/>
      <c r="CO479" s="19"/>
      <c r="CP479" s="233">
        <f>AVERAGEIFS(CP$7:CP$467,$D$7:$D$467,"&gt;17",$D$7:$D$467,"&lt;35")</f>
        <v>44.055555555555557</v>
      </c>
      <c r="CQ479" s="19">
        <f>AVERAGEIFS(CQ$7:CQ$467,$D$7:$D$467,"&gt;17",$D$7:$D$467,"&lt;35")</f>
        <v>105.05555555555556</v>
      </c>
      <c r="CR479" s="233">
        <f>AVERAGEIFS(CR$7:CR$467,$D$7:$D$467,"&gt;17",$D$7:$D$467,"&lt;35")</f>
        <v>29.277777777777779</v>
      </c>
      <c r="CS479" s="19">
        <f>AVERAGEIFS(CS$7:CS$467,$D$7:$D$467,"&gt;17",$D$7:$D$467,"&lt;35")</f>
        <v>90.222222222222229</v>
      </c>
      <c r="CT479" s="16" t="s">
        <v>8</v>
      </c>
      <c r="CU479" s="16">
        <f>COUNTIFS($D$7:$D$467,"&gt;17",$D$7:$D$467,"&lt;35")</f>
        <v>90</v>
      </c>
      <c r="CV479" s="530"/>
      <c r="CW479" s="228"/>
      <c r="CX479" s="228"/>
      <c r="CY479" s="227"/>
      <c r="CZ479" s="227"/>
      <c r="DA479" s="227"/>
      <c r="DB479" s="227"/>
      <c r="DC479" s="227"/>
      <c r="DD479" s="227"/>
    </row>
    <row r="480" spans="1:108" ht="24" customHeight="1">
      <c r="G480" s="486"/>
      <c r="H480" s="16">
        <f>COUNTIFS($D$7:$D$467,"&gt;34",$D$7:$D$467,"&lt;50")</f>
        <v>91</v>
      </c>
      <c r="I480" s="17" t="s">
        <v>9</v>
      </c>
      <c r="J480" s="233">
        <f>AVERAGEIFS(J$7:J$467,$D$7:$D$467,"&gt;34",$D$7:$D$467,"&lt;50")</f>
        <v>6.8681318681318677</v>
      </c>
      <c r="K480" s="19">
        <f>AVERAGEIFS(K$7:K$467,$D$7:$D$467,"&gt;34",$D$7:$D$467,"&lt;50")</f>
        <v>10.274725274725276</v>
      </c>
      <c r="L480" s="18"/>
      <c r="M480" s="19"/>
      <c r="N480" s="18"/>
      <c r="O480" s="19"/>
      <c r="P480" s="18"/>
      <c r="Q480" s="19"/>
      <c r="R480" s="18"/>
      <c r="S480" s="19"/>
      <c r="T480" s="18"/>
      <c r="U480" s="19"/>
      <c r="V480" s="233">
        <f t="shared" ref="V480:AC480" si="18">AVERAGEIFS(V$7:V$467,$D$7:$D$467,"&gt;34",$D$7:$D$467,"&lt;50")</f>
        <v>6.8681318681318677</v>
      </c>
      <c r="W480" s="19">
        <f t="shared" si="18"/>
        <v>12.857142857142858</v>
      </c>
      <c r="X480" s="233">
        <f t="shared" si="18"/>
        <v>32.967032967032964</v>
      </c>
      <c r="Y480" s="19">
        <f t="shared" si="18"/>
        <v>91.703296703296701</v>
      </c>
      <c r="Z480" s="233">
        <f t="shared" si="18"/>
        <v>43.296703296703299</v>
      </c>
      <c r="AA480" s="19">
        <f t="shared" si="18"/>
        <v>138.24175824175825</v>
      </c>
      <c r="AB480" s="233">
        <f t="shared" si="18"/>
        <v>35.494505494505496</v>
      </c>
      <c r="AC480" s="19">
        <f t="shared" si="18"/>
        <v>76.263736263736263</v>
      </c>
      <c r="AD480" s="232"/>
      <c r="AE480" s="231"/>
      <c r="AF480" s="232"/>
      <c r="AG480" s="231"/>
      <c r="AH480" s="17" t="s">
        <v>9</v>
      </c>
      <c r="AI480" s="18">
        <f>AVERAGEIFS(AI$7:AI$467,$D$7:$D$467,"&gt;34",$D$7:$D$467,"&lt;50")</f>
        <v>14.835164835164836</v>
      </c>
      <c r="AJ480" s="19">
        <f>AVERAGEIFS(AJ$7:AJ$467,$D$7:$D$467,"&gt;34",$D$7:$D$467,"&lt;50")</f>
        <v>30.274725274725274</v>
      </c>
      <c r="AK480" s="18"/>
      <c r="AL480" s="19"/>
      <c r="AM480" s="18"/>
      <c r="AN480" s="19"/>
      <c r="AO480" s="18"/>
      <c r="AP480" s="19"/>
      <c r="AQ480" s="18"/>
      <c r="AR480" s="19"/>
      <c r="AS480" s="18"/>
      <c r="AT480" s="19"/>
      <c r="AU480" s="18">
        <f t="shared" ref="AU480:BB480" si="19">AVERAGEIFS(AU$7:AU$467,$D$7:$D$467,"&gt;34",$D$7:$D$467,"&lt;50")</f>
        <v>40.109890109890109</v>
      </c>
      <c r="AV480" s="19">
        <f t="shared" si="19"/>
        <v>117.47252747252747</v>
      </c>
      <c r="AW480" s="18">
        <f t="shared" si="19"/>
        <v>33.07692307692308</v>
      </c>
      <c r="AX480" s="19">
        <f t="shared" si="19"/>
        <v>139.50549450549451</v>
      </c>
      <c r="AY480" s="18">
        <f t="shared" si="19"/>
        <v>15.824175824175825</v>
      </c>
      <c r="AZ480" s="19">
        <f t="shared" si="19"/>
        <v>67.362637362637358</v>
      </c>
      <c r="BA480" s="18">
        <f t="shared" si="19"/>
        <v>24.890109890109891</v>
      </c>
      <c r="BB480" s="19">
        <f t="shared" si="19"/>
        <v>89.670329670329664</v>
      </c>
      <c r="BC480" s="18"/>
      <c r="BD480" s="19"/>
      <c r="BE480" s="233">
        <f>AVERAGEIFS(BE$7:BE$467,$D$7:$D$467,"&gt;34",$D$7:$D$467,"&lt;50")</f>
        <v>14.615384615384615</v>
      </c>
      <c r="BF480" s="19">
        <f>AVERAGEIFS(BF$7:BF$467,$D$7:$D$467,"&gt;34",$D$7:$D$467,"&lt;50")</f>
        <v>84.835164835164832</v>
      </c>
      <c r="BG480" s="233">
        <f>AVERAGEIFS(BG$7:BG$467,$D$7:$D$467,"&gt;34",$D$7:$D$467,"&lt;50")</f>
        <v>49.175824175824175</v>
      </c>
      <c r="BH480" s="19">
        <f>AVERAGEIFS(BH$7:BH$467,$D$7:$D$467,"&gt;34",$D$7:$D$467,"&lt;50")</f>
        <v>128.79120879120879</v>
      </c>
      <c r="BI480" s="18"/>
      <c r="BJ480" s="19"/>
      <c r="BK480" s="18"/>
      <c r="BL480" s="19"/>
      <c r="BM480" s="17" t="s">
        <v>9</v>
      </c>
      <c r="BN480" s="233">
        <f>AVERAGEIFS(BN$7:BN$467,$D$7:$D$467,"&gt;34",$D$7:$D$467,"&lt;50")</f>
        <v>56.318681318681321</v>
      </c>
      <c r="BO480" s="19">
        <f>AVERAGEIFS(BO$7:BO$467,$D$7:$D$467,"&gt;34",$D$7:$D$467,"&lt;50")</f>
        <v>152.47252747252747</v>
      </c>
      <c r="BP480" s="18"/>
      <c r="BQ480" s="19"/>
      <c r="BR480" s="18"/>
      <c r="BS480" s="19"/>
      <c r="BT480" s="18"/>
      <c r="BU480" s="19"/>
      <c r="BV480" s="233">
        <f>AVERAGEIFS(BV$7:BV$467,$D$7:$D$467,"&gt;34",$D$7:$D$467,"&lt;50")</f>
        <v>27.912087912087912</v>
      </c>
      <c r="BW480" s="19">
        <f>AVERAGEIFS(BW$7:BW$467,$D$7:$D$467,"&gt;34",$D$7:$D$467,"&lt;50")</f>
        <v>119.72527472527473</v>
      </c>
      <c r="BX480" s="18"/>
      <c r="BY480" s="19"/>
      <c r="BZ480" s="18"/>
      <c r="CA480" s="19"/>
      <c r="CB480" s="18"/>
      <c r="CC480" s="19"/>
      <c r="CD480" s="233">
        <f>AVERAGEIFS(CD$7:CD$467,$D$7:$D$467,"&gt;34",$D$7:$D$467,"&lt;50")</f>
        <v>59.395604395604394</v>
      </c>
      <c r="CE480" s="19">
        <f>AVERAGEIFS(CE$7:CE$467,$D$7:$D$467,"&gt;34",$D$7:$D$467,"&lt;50")</f>
        <v>163.4065934065934</v>
      </c>
      <c r="CF480" s="18"/>
      <c r="CG480" s="19"/>
      <c r="CH480" s="18"/>
      <c r="CI480" s="19"/>
      <c r="CJ480" s="18"/>
      <c r="CK480" s="19"/>
      <c r="CL480" s="18"/>
      <c r="CM480" s="19"/>
      <c r="CN480" s="18"/>
      <c r="CO480" s="19"/>
      <c r="CP480" s="233">
        <f>AVERAGEIFS(CP$7:CP$467,$D$7:$D$467,"&gt;34",$D$7:$D$467,"&lt;50")</f>
        <v>90.714285714285708</v>
      </c>
      <c r="CQ480" s="19">
        <f>AVERAGEIFS(CQ$7:CQ$467,$D$7:$D$467,"&gt;34",$D$7:$D$467,"&lt;50")</f>
        <v>175.60439560439559</v>
      </c>
      <c r="CR480" s="233">
        <f>AVERAGEIFS(CR$7:CR$467,$D$7:$D$467,"&gt;34",$D$7:$D$467,"&lt;50")</f>
        <v>69.120879120879124</v>
      </c>
      <c r="CS480" s="19">
        <f>AVERAGEIFS(CS$7:CS$467,$D$7:$D$467,"&gt;34",$D$7:$D$467,"&lt;50")</f>
        <v>185.54945054945054</v>
      </c>
      <c r="CT480" s="17" t="s">
        <v>9</v>
      </c>
      <c r="CU480" s="16">
        <f>COUNTIFS($D$7:$D$467,"&gt;34",$D$7:$D$467,"&lt;50")</f>
        <v>91</v>
      </c>
      <c r="CV480" s="530"/>
      <c r="CW480" s="228"/>
      <c r="CX480" s="228"/>
      <c r="CY480" s="227"/>
      <c r="CZ480" s="227"/>
      <c r="DA480" s="227"/>
      <c r="DB480" s="227"/>
      <c r="DC480" s="227"/>
      <c r="DD480" s="227"/>
    </row>
    <row r="481" spans="7:108" ht="24" customHeight="1">
      <c r="G481" s="486"/>
      <c r="H481" s="16">
        <f>COUNTIFS($D$7:$D$467,"&gt;49",$D$7:$D$467,"&lt;65")</f>
        <v>91</v>
      </c>
      <c r="I481" s="17" t="s">
        <v>10</v>
      </c>
      <c r="J481" s="233">
        <f>AVERAGEIFS(J$7:J$467,$D$7:$D$467,"&gt;49",$D$7:$D$467,"&lt;65")</f>
        <v>6.2087912087912089</v>
      </c>
      <c r="K481" s="19">
        <f>AVERAGEIFS(K$7:K$467,$D$7:$D$467,"&gt;49",$D$7:$D$467,"&lt;65")</f>
        <v>12.472527472527473</v>
      </c>
      <c r="L481" s="18"/>
      <c r="M481" s="19"/>
      <c r="N481" s="18"/>
      <c r="O481" s="19"/>
      <c r="P481" s="18"/>
      <c r="Q481" s="19"/>
      <c r="R481" s="18"/>
      <c r="S481" s="19"/>
      <c r="T481" s="18"/>
      <c r="U481" s="19"/>
      <c r="V481" s="233">
        <f t="shared" ref="V481:AC481" si="20">AVERAGEIFS(V$7:V$467,$D$7:$D$467,"&gt;49",$D$7:$D$467,"&lt;65")</f>
        <v>7.3076923076923075</v>
      </c>
      <c r="W481" s="19">
        <f t="shared" si="20"/>
        <v>8.2967032967032974</v>
      </c>
      <c r="X481" s="233">
        <f t="shared" si="20"/>
        <v>27.802197802197803</v>
      </c>
      <c r="Y481" s="19">
        <f t="shared" si="20"/>
        <v>90.27472527472527</v>
      </c>
      <c r="Z481" s="233">
        <f t="shared" si="20"/>
        <v>35.934065934065934</v>
      </c>
      <c r="AA481" s="19">
        <f t="shared" si="20"/>
        <v>120.21978021978022</v>
      </c>
      <c r="AB481" s="233">
        <f t="shared" si="20"/>
        <v>23.131868131868131</v>
      </c>
      <c r="AC481" s="19">
        <f t="shared" si="20"/>
        <v>80.989010989010993</v>
      </c>
      <c r="AD481" s="232"/>
      <c r="AE481" s="231"/>
      <c r="AF481" s="232"/>
      <c r="AG481" s="231"/>
      <c r="AH481" s="17" t="s">
        <v>10</v>
      </c>
      <c r="AI481" s="18">
        <f>AVERAGEIFS(AI$7:AI$467,$D$7:$D$467,"&gt;49",$D$7:$D$467,"&lt;65")</f>
        <v>13.571428571428571</v>
      </c>
      <c r="AJ481" s="19">
        <f>AVERAGEIFS(AJ$7:AJ$467,$D$7:$D$467,"&gt;49",$D$7:$D$467,"&lt;65")</f>
        <v>25.329670329670328</v>
      </c>
      <c r="AK481" s="18"/>
      <c r="AL481" s="19"/>
      <c r="AM481" s="18"/>
      <c r="AN481" s="19"/>
      <c r="AO481" s="18"/>
      <c r="AP481" s="19"/>
      <c r="AQ481" s="18"/>
      <c r="AR481" s="19"/>
      <c r="AS481" s="18"/>
      <c r="AT481" s="19"/>
      <c r="AU481" s="18">
        <f t="shared" ref="AU481:BB481" si="21">AVERAGEIFS(AU$7:AU$467,$D$7:$D$467,"&gt;49",$D$7:$D$467,"&lt;65")</f>
        <v>56.373626373626372</v>
      </c>
      <c r="AV481" s="19">
        <f t="shared" si="21"/>
        <v>131.42857142857142</v>
      </c>
      <c r="AW481" s="18">
        <f t="shared" si="21"/>
        <v>49.615384615384613</v>
      </c>
      <c r="AX481" s="19">
        <f t="shared" si="21"/>
        <v>166.8131868131868</v>
      </c>
      <c r="AY481" s="18">
        <f t="shared" si="21"/>
        <v>25.054945054945055</v>
      </c>
      <c r="AZ481" s="19">
        <f t="shared" si="21"/>
        <v>111.48351648351648</v>
      </c>
      <c r="BA481" s="18">
        <f t="shared" si="21"/>
        <v>38.18681318681319</v>
      </c>
      <c r="BB481" s="19">
        <f t="shared" si="21"/>
        <v>102.69230769230769</v>
      </c>
      <c r="BC481" s="18"/>
      <c r="BD481" s="19"/>
      <c r="BE481" s="233">
        <f>AVERAGEIFS(BE$7:BE$467,$D$7:$D$467,"&gt;49",$D$7:$D$467,"&lt;65")</f>
        <v>13.241758241758241</v>
      </c>
      <c r="BF481" s="19">
        <f>AVERAGEIFS(BF$7:BF$467,$D$7:$D$467,"&gt;49",$D$7:$D$467,"&lt;65")</f>
        <v>81.978021978021971</v>
      </c>
      <c r="BG481" s="233">
        <f>AVERAGEIFS(BG$7:BG$467,$D$7:$D$467,"&gt;49",$D$7:$D$467,"&lt;65")</f>
        <v>51.92307692307692</v>
      </c>
      <c r="BH481" s="19">
        <f>AVERAGEIFS(BH$7:BH$467,$D$7:$D$467,"&gt;49",$D$7:$D$467,"&lt;65")</f>
        <v>115.93406593406593</v>
      </c>
      <c r="BI481" s="18"/>
      <c r="BJ481" s="19"/>
      <c r="BK481" s="18"/>
      <c r="BL481" s="19"/>
      <c r="BM481" s="17" t="s">
        <v>10</v>
      </c>
      <c r="BN481" s="233">
        <f>AVERAGEIFS(BN$7:BN$467,$D$7:$D$467,"&gt;49",$D$7:$D$467,"&lt;65")</f>
        <v>65.769230769230774</v>
      </c>
      <c r="BO481" s="19">
        <f>AVERAGEIFS(BO$7:BO$467,$D$7:$D$467,"&gt;49",$D$7:$D$467,"&lt;65")</f>
        <v>128.62637362637363</v>
      </c>
      <c r="BP481" s="18"/>
      <c r="BQ481" s="19"/>
      <c r="BR481" s="18"/>
      <c r="BS481" s="19"/>
      <c r="BT481" s="18"/>
      <c r="BU481" s="19"/>
      <c r="BV481" s="233">
        <f>AVERAGEIFS(BV$7:BV$467,$D$7:$D$467,"&gt;49",$D$7:$D$467,"&lt;65")</f>
        <v>32.087912087912088</v>
      </c>
      <c r="BW481" s="19">
        <f>AVERAGEIFS(BW$7:BW$467,$D$7:$D$467,"&gt;49",$D$7:$D$467,"&lt;65")</f>
        <v>102.85714285714286</v>
      </c>
      <c r="BX481" s="18"/>
      <c r="BY481" s="19"/>
      <c r="BZ481" s="18"/>
      <c r="CA481" s="19"/>
      <c r="CB481" s="18"/>
      <c r="CC481" s="19"/>
      <c r="CD481" s="233">
        <f>AVERAGEIFS(CD$7:CD$467,$D$7:$D$467,"&gt;49",$D$7:$D$467,"&lt;65")</f>
        <v>67.252747252747255</v>
      </c>
      <c r="CE481" s="19">
        <f>AVERAGEIFS(CE$7:CE$467,$D$7:$D$467,"&gt;49",$D$7:$D$467,"&lt;65")</f>
        <v>153.07692307692307</v>
      </c>
      <c r="CF481" s="18"/>
      <c r="CG481" s="19"/>
      <c r="CH481" s="18"/>
      <c r="CI481" s="19"/>
      <c r="CJ481" s="18"/>
      <c r="CK481" s="19"/>
      <c r="CL481" s="18"/>
      <c r="CM481" s="19"/>
      <c r="CN481" s="18"/>
      <c r="CO481" s="19"/>
      <c r="CP481" s="233">
        <f>AVERAGEIFS(CP$7:CP$467,$D$7:$D$467,"&gt;49",$D$7:$D$467,"&lt;65")</f>
        <v>57.912087912087912</v>
      </c>
      <c r="CQ481" s="19">
        <f>AVERAGEIFS(CQ$7:CQ$467,$D$7:$D$467,"&gt;49",$D$7:$D$467,"&lt;65")</f>
        <v>99.120879120879124</v>
      </c>
      <c r="CR481" s="233">
        <f>AVERAGEIFS(CR$7:CR$467,$D$7:$D$467,"&gt;49",$D$7:$D$467,"&lt;65")</f>
        <v>41.593406593406591</v>
      </c>
      <c r="CS481" s="19">
        <f>AVERAGEIFS(CS$7:CS$467,$D$7:$D$467,"&gt;49",$D$7:$D$467,"&lt;65")</f>
        <v>100.05494505494505</v>
      </c>
      <c r="CT481" s="17" t="s">
        <v>10</v>
      </c>
      <c r="CU481" s="16">
        <f>COUNTIFS($D$7:$D$467,"&gt;49",$D$7:$D$467,"&lt;65")</f>
        <v>91</v>
      </c>
      <c r="CV481" s="530"/>
      <c r="CW481" s="228"/>
      <c r="CX481" s="228"/>
      <c r="CY481" s="227"/>
      <c r="CZ481" s="227"/>
      <c r="DA481" s="227"/>
      <c r="DB481" s="227"/>
      <c r="DC481" s="227"/>
      <c r="DD481" s="227"/>
    </row>
    <row r="482" spans="7:108" ht="24" customHeight="1">
      <c r="G482" s="486"/>
      <c r="H482" s="23">
        <f>COUNTIF($D$7:$D$467,"&gt;64")</f>
        <v>90</v>
      </c>
      <c r="I482" s="17" t="s">
        <v>66</v>
      </c>
      <c r="J482" s="26">
        <f>AVERAGEIF($D$7:$D$467,"&gt;64",J$7:J$467)</f>
        <v>6.3888888888888893</v>
      </c>
      <c r="K482" s="22">
        <f>AVERAGEIF($D$7:$D$467,"&gt;64",K$7:K$467)</f>
        <v>8.4444444444444446</v>
      </c>
      <c r="L482" s="21"/>
      <c r="M482" s="22"/>
      <c r="N482" s="21"/>
      <c r="O482" s="22"/>
      <c r="P482" s="21"/>
      <c r="Q482" s="22"/>
      <c r="R482" s="21"/>
      <c r="S482" s="22"/>
      <c r="T482" s="21"/>
      <c r="U482" s="22"/>
      <c r="V482" s="26">
        <f t="shared" ref="V482:AC482" si="22">AVERAGEIF($D$7:$D$467,"&gt;64",V$7:V$467)</f>
        <v>5</v>
      </c>
      <c r="W482" s="22">
        <f t="shared" si="22"/>
        <v>14.5</v>
      </c>
      <c r="X482" s="26">
        <f t="shared" si="22"/>
        <v>15.388888888888889</v>
      </c>
      <c r="Y482" s="22">
        <f t="shared" si="22"/>
        <v>53.166666666666664</v>
      </c>
      <c r="Z482" s="26">
        <f t="shared" si="22"/>
        <v>19.5</v>
      </c>
      <c r="AA482" s="22">
        <f t="shared" si="22"/>
        <v>67.277777777777771</v>
      </c>
      <c r="AB482" s="26">
        <f t="shared" si="22"/>
        <v>13.833333333333334</v>
      </c>
      <c r="AC482" s="22">
        <f t="shared" si="22"/>
        <v>42.611111111111114</v>
      </c>
      <c r="AD482" s="230"/>
      <c r="AE482" s="229"/>
      <c r="AF482" s="230"/>
      <c r="AG482" s="229"/>
      <c r="AH482" s="17" t="s">
        <v>66</v>
      </c>
      <c r="AI482" s="21">
        <f>AVERAGEIF($D$7:$D$467,"&gt;64",AI$7:AI$467)</f>
        <v>14.333333333333334</v>
      </c>
      <c r="AJ482" s="22">
        <f>AVERAGEIF($D$7:$D$467,"&gt;64",AJ$7:AJ$467)</f>
        <v>29.111111111111111</v>
      </c>
      <c r="AK482" s="21"/>
      <c r="AL482" s="22"/>
      <c r="AM482" s="21"/>
      <c r="AN482" s="22"/>
      <c r="AO482" s="21"/>
      <c r="AP482" s="22"/>
      <c r="AQ482" s="21"/>
      <c r="AR482" s="22"/>
      <c r="AS482" s="21"/>
      <c r="AT482" s="22"/>
      <c r="AU482" s="21">
        <f t="shared" ref="AU482:BB482" si="23">AVERAGEIF($D$7:$D$467,"&gt;64",AU$7:AU$467)</f>
        <v>61.055555555555557</v>
      </c>
      <c r="AV482" s="22">
        <f t="shared" si="23"/>
        <v>185.05555555555554</v>
      </c>
      <c r="AW482" s="21">
        <f t="shared" si="23"/>
        <v>45.944444444444443</v>
      </c>
      <c r="AX482" s="22">
        <f t="shared" si="23"/>
        <v>211.38888888888889</v>
      </c>
      <c r="AY482" s="21">
        <f t="shared" si="23"/>
        <v>26.222222222222221</v>
      </c>
      <c r="AZ482" s="22">
        <f t="shared" si="23"/>
        <v>146.22222222222223</v>
      </c>
      <c r="BA482" s="21">
        <f t="shared" si="23"/>
        <v>34</v>
      </c>
      <c r="BB482" s="22">
        <f t="shared" si="23"/>
        <v>124.33333333333333</v>
      </c>
      <c r="BC482" s="21"/>
      <c r="BD482" s="22"/>
      <c r="BE482" s="26">
        <f>AVERAGEIF($D$7:$D$467,"&gt;64",BE$7:BE$467)</f>
        <v>11.944444444444445</v>
      </c>
      <c r="BF482" s="22">
        <f>AVERAGEIF($D$7:$D$467,"&gt;64",BF$7:BF$467)</f>
        <v>102.66666666666667</v>
      </c>
      <c r="BG482" s="26">
        <f>AVERAGEIF($D$7:$D$467,"&gt;64",BG$7:BG$467)</f>
        <v>53.888888888888886</v>
      </c>
      <c r="BH482" s="22">
        <f>AVERAGEIF($D$7:$D$467,"&gt;64",BH$7:BH$467)</f>
        <v>166.05555555555554</v>
      </c>
      <c r="BI482" s="21"/>
      <c r="BJ482" s="22"/>
      <c r="BK482" s="21"/>
      <c r="BL482" s="22"/>
      <c r="BM482" s="17" t="s">
        <v>66</v>
      </c>
      <c r="BN482" s="26">
        <f>AVERAGEIF($D$7:$D$467,"&gt;64",BN$7:BN$467)</f>
        <v>67.555555555555557</v>
      </c>
      <c r="BO482" s="22">
        <f>AVERAGEIF($D$7:$D$467,"&gt;64",BO$7:BO$467)</f>
        <v>114.55555555555556</v>
      </c>
      <c r="BP482" s="21"/>
      <c r="BQ482" s="22"/>
      <c r="BR482" s="21"/>
      <c r="BS482" s="22"/>
      <c r="BT482" s="21"/>
      <c r="BU482" s="22"/>
      <c r="BV482" s="26">
        <f>AVERAGEIF($D$7:$D$467,"&gt;64",BV$7:BV$467)</f>
        <v>30.166666666666668</v>
      </c>
      <c r="BW482" s="22">
        <f>AVERAGEIF($D$7:$D$467,"&gt;64",BW$7:BW$467)</f>
        <v>68.055555555555557</v>
      </c>
      <c r="BX482" s="21"/>
      <c r="BY482" s="22"/>
      <c r="BZ482" s="21"/>
      <c r="CA482" s="22"/>
      <c r="CB482" s="21"/>
      <c r="CC482" s="22"/>
      <c r="CD482" s="26">
        <f>AVERAGEIF($D$7:$D$467,"&gt;64",CD$7:CD$467)</f>
        <v>61.777777777777779</v>
      </c>
      <c r="CE482" s="22">
        <f>AVERAGEIF($D$7:$D$467,"&gt;64",CE$7:CE$467)</f>
        <v>77.833333333333329</v>
      </c>
      <c r="CF482" s="21"/>
      <c r="CG482" s="22"/>
      <c r="CH482" s="21"/>
      <c r="CI482" s="22"/>
      <c r="CJ482" s="21"/>
      <c r="CK482" s="22"/>
      <c r="CL482" s="21"/>
      <c r="CM482" s="22"/>
      <c r="CN482" s="21"/>
      <c r="CO482" s="22"/>
      <c r="CP482" s="26">
        <f>AVERAGEIF($D$7:$D$467,"&gt;64",CP$7:CP$467)</f>
        <v>27.388888888888889</v>
      </c>
      <c r="CQ482" s="22">
        <f>AVERAGEIF($D$7:$D$467,"&gt;64",CQ$7:CQ$467)</f>
        <v>59.777777777777779</v>
      </c>
      <c r="CR482" s="26">
        <f>AVERAGEIF($D$7:$D$467,"&gt;64",CR$7:CR$467)</f>
        <v>19.777777777777779</v>
      </c>
      <c r="CS482" s="22">
        <f>AVERAGEIF($D$7:$D$467,"&gt;64",CS$7:CS$467)</f>
        <v>45.722222222222221</v>
      </c>
      <c r="CT482" s="17" t="s">
        <v>66</v>
      </c>
      <c r="CU482" s="23">
        <f>COUNTIF($D$7:$D$467,"&gt;64")</f>
        <v>90</v>
      </c>
      <c r="CV482" s="530"/>
      <c r="CW482" s="228"/>
      <c r="CX482" s="228"/>
      <c r="CY482" s="227"/>
      <c r="CZ482" s="227"/>
      <c r="DA482" s="227"/>
      <c r="DB482" s="227"/>
      <c r="DC482" s="227"/>
      <c r="DD482" s="227"/>
    </row>
    <row r="483" spans="7:108" ht="24" customHeight="1">
      <c r="G483" s="486"/>
      <c r="H483" s="12">
        <f>COUNTIFS($D$7:$D$467,"&gt;64",$H$7:$H$467,"*Standard*")</f>
        <v>21</v>
      </c>
      <c r="I483" s="13" t="s">
        <v>67</v>
      </c>
      <c r="J483" s="25">
        <f>AVERAGEIFS(J$7:J$467,$D$7:$D$467,"&gt;64",$H$7:$H$467,"*Standard*")</f>
        <v>5.2380952380952381</v>
      </c>
      <c r="K483" s="15">
        <f>AVERAGEIFS(K$7:K$467,$D$7:$D$467,"&gt;64",$H$7:$H$467,"*Standard*")</f>
        <v>7.1428571428571432</v>
      </c>
      <c r="L483" s="25"/>
      <c r="M483" s="15"/>
      <c r="N483" s="25"/>
      <c r="O483" s="15"/>
      <c r="P483" s="25"/>
      <c r="Q483" s="15"/>
      <c r="R483" s="25"/>
      <c r="S483" s="15"/>
      <c r="T483" s="25"/>
      <c r="U483" s="15"/>
      <c r="V483" s="25">
        <f t="shared" ref="V483:AC483" si="24">AVERAGEIFS(V$7:V$467,$D$7:$D$467,"&gt;64",$H$7:$H$467,"*Standard*")</f>
        <v>5</v>
      </c>
      <c r="W483" s="15">
        <f t="shared" si="24"/>
        <v>36.19047619047619</v>
      </c>
      <c r="X483" s="25">
        <f t="shared" si="24"/>
        <v>11.666666666666666</v>
      </c>
      <c r="Y483" s="15">
        <f t="shared" si="24"/>
        <v>79.285714285714292</v>
      </c>
      <c r="Z483" s="25">
        <f t="shared" si="24"/>
        <v>23.571428571428573</v>
      </c>
      <c r="AA483" s="15">
        <f t="shared" si="24"/>
        <v>99.285714285714292</v>
      </c>
      <c r="AB483" s="25">
        <f t="shared" si="24"/>
        <v>16.428571428571427</v>
      </c>
      <c r="AC483" s="15">
        <f t="shared" si="24"/>
        <v>72.857142857142861</v>
      </c>
      <c r="AD483" s="232"/>
      <c r="AE483" s="231"/>
      <c r="AF483" s="232"/>
      <c r="AG483" s="231"/>
      <c r="AH483" s="13" t="s">
        <v>67</v>
      </c>
      <c r="AI483" s="14">
        <f>AVERAGEIFS(AI$7:AI$467,$D$7:$D$467,"&gt;64",$H$7:$H$467,"*Standard*")</f>
        <v>19.761904761904763</v>
      </c>
      <c r="AJ483" s="15">
        <f>AVERAGEIFS(AJ$7:AJ$467,$D$7:$D$467,"&gt;64",$H$7:$H$467,"*Standard*")</f>
        <v>42.857142857142854</v>
      </c>
      <c r="AK483" s="25"/>
      <c r="AL483" s="15"/>
      <c r="AM483" s="25"/>
      <c r="AN483" s="15"/>
      <c r="AO483" s="25"/>
      <c r="AP483" s="15"/>
      <c r="AQ483" s="25"/>
      <c r="AR483" s="15"/>
      <c r="AS483" s="25"/>
      <c r="AT483" s="15"/>
      <c r="AU483" s="14">
        <f t="shared" ref="AU483:BB483" si="25">AVERAGEIFS(AU$7:AU$467,$D$7:$D$467,"&gt;64",$H$7:$H$467,"*Standard*")</f>
        <v>84.761904761904759</v>
      </c>
      <c r="AV483" s="15">
        <f t="shared" si="25"/>
        <v>265.95238095238096</v>
      </c>
      <c r="AW483" s="14">
        <f t="shared" si="25"/>
        <v>63.333333333333336</v>
      </c>
      <c r="AX483" s="15">
        <f t="shared" si="25"/>
        <v>261.42857142857144</v>
      </c>
      <c r="AY483" s="14">
        <f t="shared" si="25"/>
        <v>32.857142857142854</v>
      </c>
      <c r="AZ483" s="15">
        <f t="shared" si="25"/>
        <v>342.85714285714283</v>
      </c>
      <c r="BA483" s="14">
        <f t="shared" si="25"/>
        <v>46.19047619047619</v>
      </c>
      <c r="BB483" s="15">
        <f t="shared" si="25"/>
        <v>174.04761904761904</v>
      </c>
      <c r="BC483" s="14"/>
      <c r="BD483" s="15"/>
      <c r="BE483" s="25">
        <f>AVERAGEIFS(BE$7:BE$467,$D$7:$D$467,"&gt;64",$H$7:$H$467,"*Standard*")</f>
        <v>15.952380952380953</v>
      </c>
      <c r="BF483" s="15">
        <f>AVERAGEIFS(BF$7:BF$467,$D$7:$D$467,"&gt;64",$H$7:$H$467,"*Standard*")</f>
        <v>164.28571428571428</v>
      </c>
      <c r="BG483" s="25">
        <f>AVERAGEIFS(BG$7:BG$467,$D$7:$D$467,"&gt;64",$H$7:$H$467,"*Standard*")</f>
        <v>75.476190476190482</v>
      </c>
      <c r="BH483" s="15">
        <f>AVERAGEIFS(BH$7:BH$467,$D$7:$D$467,"&gt;64",$H$7:$H$467,"*Standard*")</f>
        <v>217.61904761904762</v>
      </c>
      <c r="BI483" s="14"/>
      <c r="BJ483" s="15"/>
      <c r="BK483" s="14"/>
      <c r="BL483" s="15"/>
      <c r="BM483" s="13" t="s">
        <v>67</v>
      </c>
      <c r="BN483" s="25">
        <f>AVERAGEIFS(BN$7:BN$467,$D$7:$D$467,"&gt;64",$H$7:$H$467,"*Standard*")</f>
        <v>65.476190476190482</v>
      </c>
      <c r="BO483" s="15">
        <f>AVERAGEIFS(BO$7:BO$467,$D$7:$D$467,"&gt;64",$H$7:$H$467,"*Standard*")</f>
        <v>173.33333333333334</v>
      </c>
      <c r="BP483" s="25"/>
      <c r="BQ483" s="15"/>
      <c r="BR483" s="25"/>
      <c r="BS483" s="15"/>
      <c r="BT483" s="25"/>
      <c r="BU483" s="15"/>
      <c r="BV483" s="25">
        <f>AVERAGEIFS(BV$7:BV$467,$D$7:$D$467,"&gt;64",$H$7:$H$467,"*Standard*")</f>
        <v>42.857142857142854</v>
      </c>
      <c r="BW483" s="15">
        <f>AVERAGEIFS(BW$7:BW$467,$D$7:$D$467,"&gt;64",$H$7:$H$467,"*Standard*")</f>
        <v>126.9047619047619</v>
      </c>
      <c r="BX483" s="25"/>
      <c r="BY483" s="15"/>
      <c r="BZ483" s="25"/>
      <c r="CA483" s="15"/>
      <c r="CB483" s="25"/>
      <c r="CC483" s="15"/>
      <c r="CD483" s="25">
        <f>AVERAGEIFS(CD$7:CD$467,$D$7:$D$467,"&gt;64",$H$7:$H$467,"*Standard*")</f>
        <v>64.523809523809518</v>
      </c>
      <c r="CE483" s="15">
        <f>AVERAGEIFS(CE$7:CE$467,$D$7:$D$467,"&gt;64",$H$7:$H$467,"*Standard*")</f>
        <v>113.80952380952381</v>
      </c>
      <c r="CF483" s="14"/>
      <c r="CG483" s="15"/>
      <c r="CH483" s="25"/>
      <c r="CI483" s="15"/>
      <c r="CJ483" s="25"/>
      <c r="CK483" s="15"/>
      <c r="CL483" s="25"/>
      <c r="CM483" s="15"/>
      <c r="CN483" s="14"/>
      <c r="CO483" s="15"/>
      <c r="CP483" s="25">
        <f>AVERAGEIFS(CP$7:CP$467,$D$7:$D$467,"&gt;64",$H$7:$H$467,"*Standard*")</f>
        <v>22.38095238095238</v>
      </c>
      <c r="CQ483" s="15">
        <f>AVERAGEIFS(CQ$7:CQ$467,$D$7:$D$467,"&gt;64",$H$7:$H$467,"*Standard*")</f>
        <v>69.523809523809518</v>
      </c>
      <c r="CR483" s="25">
        <f>AVERAGEIFS(CR$7:CR$467,$D$7:$D$467,"&gt;64",$H$7:$H$467,"*Standard*")</f>
        <v>13.333333333333334</v>
      </c>
      <c r="CS483" s="15">
        <f>AVERAGEIFS(CS$7:CS$467,$D$7:$D$467,"&gt;64",$H$7:$H$467,"*Standard*")</f>
        <v>66.19047619047619</v>
      </c>
      <c r="CT483" s="13" t="s">
        <v>67</v>
      </c>
      <c r="CU483" s="12">
        <f>COUNTIFS($D$7:$D$467,"&gt;64",$H$7:$H$467,"*Standard*")</f>
        <v>21</v>
      </c>
      <c r="CV483" s="530"/>
      <c r="CW483" s="228"/>
      <c r="CX483" s="228"/>
      <c r="CY483" s="227"/>
      <c r="CZ483" s="227"/>
      <c r="DA483" s="227"/>
      <c r="DB483" s="227"/>
      <c r="DC483" s="227"/>
      <c r="DD483" s="227"/>
    </row>
    <row r="484" spans="7:108" ht="24" customHeight="1">
      <c r="G484" s="487"/>
      <c r="H484" s="23">
        <f>COUNTIFS($D$7:$D$467,"&gt;64",$H$7:$H$467,"*High*")</f>
        <v>69</v>
      </c>
      <c r="I484" s="20" t="s">
        <v>68</v>
      </c>
      <c r="J484" s="26">
        <f>AVERAGEIFS(J$7:J$467,$D$7:$D$467,"&gt;64",$H$7:$H$467,"*High*")</f>
        <v>6.7391304347826084</v>
      </c>
      <c r="K484" s="22">
        <f>AVERAGEIFS(K$7:K$467,$D$7:$D$467,"&gt;64",$H$7:$H$467,"*High*")</f>
        <v>8.8405797101449277</v>
      </c>
      <c r="L484" s="26"/>
      <c r="M484" s="22"/>
      <c r="N484" s="26"/>
      <c r="O484" s="22"/>
      <c r="P484" s="26"/>
      <c r="Q484" s="22"/>
      <c r="R484" s="26"/>
      <c r="S484" s="22"/>
      <c r="T484" s="26"/>
      <c r="U484" s="22"/>
      <c r="V484" s="26">
        <f t="shared" ref="V484:AC484" si="26">AVERAGEIFS(V$7:V$467,$D$7:$D$467,"&gt;64",$H$7:$H$467,"*High*")</f>
        <v>5</v>
      </c>
      <c r="W484" s="22">
        <f t="shared" si="26"/>
        <v>7.8985507246376816</v>
      </c>
      <c r="X484" s="26">
        <f t="shared" si="26"/>
        <v>16.521739130434781</v>
      </c>
      <c r="Y484" s="22">
        <f t="shared" si="26"/>
        <v>45.217391304347828</v>
      </c>
      <c r="Z484" s="26">
        <f t="shared" si="26"/>
        <v>18.260869565217391</v>
      </c>
      <c r="AA484" s="22">
        <f t="shared" si="26"/>
        <v>57.536231884057969</v>
      </c>
      <c r="AB484" s="26">
        <f t="shared" si="26"/>
        <v>13.043478260869565</v>
      </c>
      <c r="AC484" s="22">
        <f t="shared" si="26"/>
        <v>33.405797101449274</v>
      </c>
      <c r="AD484" s="230"/>
      <c r="AE484" s="229"/>
      <c r="AF484" s="230"/>
      <c r="AG484" s="229"/>
      <c r="AH484" s="20" t="s">
        <v>68</v>
      </c>
      <c r="AI484" s="21">
        <f>AVERAGEIFS(AI$7:AI$467,$D$7:$D$467,"&gt;64",$H$7:$H$467,"*High*")</f>
        <v>12.681159420289855</v>
      </c>
      <c r="AJ484" s="22">
        <f>AVERAGEIFS(AJ$7:AJ$467,$D$7:$D$467,"&gt;64",$H$7:$H$467,"*High*")</f>
        <v>24.927536231884059</v>
      </c>
      <c r="AK484" s="26"/>
      <c r="AL484" s="22"/>
      <c r="AM484" s="26"/>
      <c r="AN484" s="22"/>
      <c r="AO484" s="26"/>
      <c r="AP484" s="22"/>
      <c r="AQ484" s="26"/>
      <c r="AR484" s="22"/>
      <c r="AS484" s="26"/>
      <c r="AT484" s="22"/>
      <c r="AU484" s="21">
        <f t="shared" ref="AU484:BB484" si="27">AVERAGEIFS(AU$7:AU$467,$D$7:$D$467,"&gt;64",$H$7:$H$467,"*High*")</f>
        <v>53.840579710144929</v>
      </c>
      <c r="AV484" s="22">
        <f t="shared" si="27"/>
        <v>160.43478260869566</v>
      </c>
      <c r="AW484" s="21">
        <f t="shared" si="27"/>
        <v>40.652173913043477</v>
      </c>
      <c r="AX484" s="22">
        <f t="shared" si="27"/>
        <v>196.15942028985506</v>
      </c>
      <c r="AY484" s="21">
        <f t="shared" si="27"/>
        <v>24.202898550724637</v>
      </c>
      <c r="AZ484" s="22">
        <f t="shared" si="27"/>
        <v>86.376811594202906</v>
      </c>
      <c r="BA484" s="21">
        <f t="shared" si="27"/>
        <v>30.289855072463769</v>
      </c>
      <c r="BB484" s="22">
        <f t="shared" si="27"/>
        <v>109.20289855072464</v>
      </c>
      <c r="BC484" s="21"/>
      <c r="BD484" s="22"/>
      <c r="BE484" s="26">
        <f>AVERAGEIFS(BE$7:BE$467,$D$7:$D$467,"&gt;64",$H$7:$H$467,"*High*")</f>
        <v>10.72463768115942</v>
      </c>
      <c r="BF484" s="22">
        <f>AVERAGEIFS(BF$7:BF$467,$D$7:$D$467,"&gt;64",$H$7:$H$467,"*High*")</f>
        <v>83.913043478260875</v>
      </c>
      <c r="BG484" s="26">
        <f>AVERAGEIFS(BG$7:BG$467,$D$7:$D$467,"&gt;64",$H$7:$H$467,"*High*")</f>
        <v>47.318840579710148</v>
      </c>
      <c r="BH484" s="22">
        <f>AVERAGEIFS(BH$7:BH$467,$D$7:$D$467,"&gt;64",$H$7:$H$467,"*High*")</f>
        <v>150.36231884057972</v>
      </c>
      <c r="BI484" s="21"/>
      <c r="BJ484" s="22"/>
      <c r="BK484" s="21"/>
      <c r="BL484" s="22"/>
      <c r="BM484" s="20" t="s">
        <v>68</v>
      </c>
      <c r="BN484" s="26">
        <f>AVERAGEIFS(BN$7:BN$467,$D$7:$D$467,"&gt;64",$H$7:$H$467,"*High*")</f>
        <v>68.188405797101453</v>
      </c>
      <c r="BO484" s="22">
        <f>AVERAGEIFS(BO$7:BO$467,$D$7:$D$467,"&gt;64",$H$7:$H$467,"*High*")</f>
        <v>96.666666666666671</v>
      </c>
      <c r="BP484" s="26"/>
      <c r="BQ484" s="22"/>
      <c r="BR484" s="26"/>
      <c r="BS484" s="22"/>
      <c r="BT484" s="26"/>
      <c r="BU484" s="22"/>
      <c r="BV484" s="26">
        <f>AVERAGEIFS(BV$7:BV$467,$D$7:$D$467,"&gt;64",$H$7:$H$467,"*High*")</f>
        <v>26.304347826086957</v>
      </c>
      <c r="BW484" s="22">
        <f>AVERAGEIFS(BW$7:BW$467,$D$7:$D$467,"&gt;64",$H$7:$H$467,"*High*")</f>
        <v>50.144927536231883</v>
      </c>
      <c r="BX484" s="26"/>
      <c r="BY484" s="22"/>
      <c r="BZ484" s="26"/>
      <c r="CA484" s="22"/>
      <c r="CB484" s="26"/>
      <c r="CC484" s="22"/>
      <c r="CD484" s="26">
        <f>AVERAGEIFS(CD$7:CD$467,$D$7:$D$467,"&gt;64",$H$7:$H$467,"*High*")</f>
        <v>60.94202898550725</v>
      </c>
      <c r="CE484" s="22">
        <f>AVERAGEIFS(CE$7:CE$467,$D$7:$D$467,"&gt;64",$H$7:$H$467,"*High*")</f>
        <v>66.884057971014499</v>
      </c>
      <c r="CF484" s="21"/>
      <c r="CG484" s="22"/>
      <c r="CH484" s="26"/>
      <c r="CI484" s="22"/>
      <c r="CJ484" s="26"/>
      <c r="CK484" s="22"/>
      <c r="CL484" s="26"/>
      <c r="CM484" s="22"/>
      <c r="CN484" s="21"/>
      <c r="CO484" s="22"/>
      <c r="CP484" s="26">
        <f>AVERAGEIFS(CP$7:CP$467,$D$7:$D$467,"&gt;64",$H$7:$H$467,"*High*")</f>
        <v>28.913043478260871</v>
      </c>
      <c r="CQ484" s="22">
        <f>AVERAGEIFS(CQ$7:CQ$467,$D$7:$D$467,"&gt;64",$H$7:$H$467,"*High*")</f>
        <v>56.811594202898547</v>
      </c>
      <c r="CR484" s="26">
        <f>AVERAGEIFS(CR$7:CR$467,$D$7:$D$467,"&gt;64",$H$7:$H$467,"*High*")</f>
        <v>21.739130434782609</v>
      </c>
      <c r="CS484" s="22">
        <f>AVERAGEIFS(CS$7:CS$467,$D$7:$D$467,"&gt;64",$H$7:$H$467,"*High*")</f>
        <v>39.492753623188406</v>
      </c>
      <c r="CT484" s="20" t="s">
        <v>68</v>
      </c>
      <c r="CU484" s="23">
        <f>COUNTIFS($D$7:$D$467,"&gt;64",$H$7:$H$467,"*High*")</f>
        <v>69</v>
      </c>
      <c r="CV484" s="530"/>
      <c r="CW484" s="228"/>
      <c r="CX484" s="228"/>
      <c r="CY484" s="227"/>
      <c r="CZ484" s="227"/>
      <c r="DA484" s="227"/>
      <c r="DB484" s="227"/>
      <c r="DC484" s="227"/>
      <c r="DD484" s="227"/>
    </row>
    <row r="485" spans="7:108" ht="24" customHeight="1">
      <c r="K485" s="1" t="s">
        <v>279</v>
      </c>
      <c r="W485" s="1" t="s">
        <v>279</v>
      </c>
      <c r="Y485" s="1" t="s">
        <v>279</v>
      </c>
      <c r="AA485" s="1" t="s">
        <v>279</v>
      </c>
      <c r="AC485" s="1" t="s">
        <v>279</v>
      </c>
      <c r="AH485" s="226" t="s">
        <v>17</v>
      </c>
      <c r="AJ485" s="1" t="s">
        <v>279</v>
      </c>
      <c r="AV485" s="1" t="s">
        <v>279</v>
      </c>
      <c r="AX485" s="1" t="s">
        <v>279</v>
      </c>
      <c r="AZ485" s="1" t="s">
        <v>279</v>
      </c>
      <c r="BB485" s="1" t="s">
        <v>279</v>
      </c>
      <c r="BD485" s="1" t="s">
        <v>279</v>
      </c>
      <c r="BF485" s="1" t="s">
        <v>279</v>
      </c>
      <c r="BH485" s="1" t="s">
        <v>279</v>
      </c>
      <c r="BJ485" s="1" t="s">
        <v>279</v>
      </c>
      <c r="BL485" s="1" t="s">
        <v>279</v>
      </c>
      <c r="BM485" s="226" t="s">
        <v>17</v>
      </c>
      <c r="BO485" s="1" t="s">
        <v>279</v>
      </c>
      <c r="BW485" s="1" t="s">
        <v>279</v>
      </c>
      <c r="CE485" s="1" t="s">
        <v>279</v>
      </c>
      <c r="CQ485" s="1" t="s">
        <v>279</v>
      </c>
      <c r="CS485" s="1" t="s">
        <v>279</v>
      </c>
      <c r="CT485" s="226" t="s">
        <v>17</v>
      </c>
    </row>
    <row r="486" spans="7:108" ht="24" customHeight="1">
      <c r="K486" s="224">
        <f t="shared" ref="K486:K493" si="28">K477/J477</f>
        <v>1</v>
      </c>
      <c r="W486" s="224">
        <f t="shared" ref="W486:W493" si="29">W477/V477</f>
        <v>2</v>
      </c>
      <c r="Y486" s="224">
        <f t="shared" ref="Y486:Y493" si="30">Y477/X477</f>
        <v>1.2368633791430883</v>
      </c>
      <c r="AA486" s="224">
        <f t="shared" ref="AA486:AA493" si="31">AA477/Z477</f>
        <v>1.4160688665710186</v>
      </c>
      <c r="AC486" s="224">
        <f t="shared" ref="AC486:AC493" si="32">AC477/AB477</f>
        <v>1.0954653937947494</v>
      </c>
      <c r="AH486" s="225" t="s">
        <v>71</v>
      </c>
      <c r="AJ486" s="224">
        <f t="shared" ref="AJ486:AJ493" si="33">AJ477/AI477</f>
        <v>2.3835616438356166</v>
      </c>
      <c r="AV486" s="224">
        <f t="shared" ref="AV486:AV493" si="34">AV477/AU477</f>
        <v>2.3022410660205934</v>
      </c>
      <c r="AX486" s="224">
        <f t="shared" ref="AX486:AX493" si="35">AX477/AW477</f>
        <v>3.9871355060034301</v>
      </c>
      <c r="AZ486" s="224">
        <f t="shared" ref="AZ486:AZ493" si="36">AZ477/AY477</f>
        <v>2.7937254901960782</v>
      </c>
      <c r="BB486" s="224">
        <f t="shared" ref="BB486:BB493" si="37">BB477/BA477</f>
        <v>2.0647820965842167</v>
      </c>
      <c r="BD486" s="224"/>
      <c r="BF486" s="224">
        <f t="shared" ref="BF486:BF493" si="38">BF477/BE477</f>
        <v>4.7169811320754711</v>
      </c>
      <c r="BH486" s="224">
        <f t="shared" ref="BH486:BH493" si="39">BH477/BG477</f>
        <v>2.2710926694329183</v>
      </c>
      <c r="BJ486" s="224"/>
      <c r="BL486" s="224"/>
      <c r="BM486" s="225" t="s">
        <v>71</v>
      </c>
      <c r="BO486" s="224">
        <f t="shared" ref="BO486:BO493" si="40">BO477/BN477</f>
        <v>1.6528301886792454</v>
      </c>
      <c r="BW486" s="224">
        <f t="shared" ref="BW486:BW493" si="41">BW477/BV477</f>
        <v>2.0198237885462555</v>
      </c>
      <c r="CE486" s="224">
        <f t="shared" ref="CE486:CE493" si="42">CE477/CD477</f>
        <v>1.8957654723127035</v>
      </c>
      <c r="CQ486" s="224">
        <f t="shared" ref="CQ486:CQ493" si="43">CQ477/CP477</f>
        <v>1.5068027210884354</v>
      </c>
      <c r="CS486" s="224">
        <f t="shared" ref="CS486:CS493" si="44">CS477/CR477</f>
        <v>1.6106194690265485</v>
      </c>
      <c r="CT486" s="225" t="s">
        <v>71</v>
      </c>
    </row>
    <row r="487" spans="7:108" ht="24" customHeight="1">
      <c r="K487" s="224">
        <f t="shared" si="28"/>
        <v>1.0476190476190477</v>
      </c>
      <c r="W487" s="224">
        <f t="shared" si="29"/>
        <v>1.8475609756097562</v>
      </c>
      <c r="Y487" s="224">
        <f t="shared" si="30"/>
        <v>1.2110298255486776</v>
      </c>
      <c r="AA487" s="224">
        <f t="shared" si="31"/>
        <v>1.2590863621207069</v>
      </c>
      <c r="AC487" s="224">
        <f t="shared" si="32"/>
        <v>1.2480417754569191</v>
      </c>
      <c r="AH487" s="225" t="s">
        <v>72</v>
      </c>
      <c r="AJ487" s="224">
        <f t="shared" si="33"/>
        <v>1.5858895705521472</v>
      </c>
      <c r="AV487" s="224">
        <f t="shared" si="34"/>
        <v>2.0765550239234445</v>
      </c>
      <c r="AX487" s="224">
        <f t="shared" si="35"/>
        <v>2.2559523809523809</v>
      </c>
      <c r="AZ487" s="224">
        <f t="shared" si="36"/>
        <v>1.604699958036089</v>
      </c>
      <c r="BB487" s="224">
        <f t="shared" si="37"/>
        <v>1.4836363636363634</v>
      </c>
      <c r="BD487" s="224"/>
      <c r="BF487" s="224">
        <f t="shared" si="38"/>
        <v>3.053830227743271</v>
      </c>
      <c r="BH487" s="224">
        <f t="shared" si="39"/>
        <v>1.955078125</v>
      </c>
      <c r="BJ487" s="224"/>
      <c r="BL487" s="224"/>
      <c r="BM487" s="225" t="s">
        <v>72</v>
      </c>
      <c r="BO487" s="224">
        <f t="shared" si="40"/>
        <v>1.4366197183098592</v>
      </c>
      <c r="BW487" s="224">
        <f t="shared" si="41"/>
        <v>1.554034582132565</v>
      </c>
      <c r="CE487" s="224">
        <f t="shared" si="42"/>
        <v>1.3223593964334706</v>
      </c>
      <c r="CQ487" s="224">
        <f t="shared" si="43"/>
        <v>0.91171277221895231</v>
      </c>
      <c r="CS487" s="224">
        <f t="shared" si="44"/>
        <v>1.4035234899328857</v>
      </c>
      <c r="CT487" s="225" t="s">
        <v>72</v>
      </c>
    </row>
    <row r="488" spans="7:108" ht="24" customHeight="1">
      <c r="K488" s="224">
        <f t="shared" si="28"/>
        <v>1.0555555555555556</v>
      </c>
      <c r="W488" s="224">
        <f t="shared" si="29"/>
        <v>1.7754237288135595</v>
      </c>
      <c r="Y488" s="224">
        <f t="shared" si="30"/>
        <v>2.3232497839239414</v>
      </c>
      <c r="AA488" s="224">
        <f t="shared" si="31"/>
        <v>2.6521464646464645</v>
      </c>
      <c r="AC488" s="224">
        <f t="shared" si="32"/>
        <v>2.6098562628336754</v>
      </c>
      <c r="AH488" s="16" t="s">
        <v>8</v>
      </c>
      <c r="AJ488" s="224">
        <f t="shared" si="33"/>
        <v>1.6643835616438356</v>
      </c>
      <c r="AV488" s="224">
        <f t="shared" si="34"/>
        <v>2.8580645161290321</v>
      </c>
      <c r="AX488" s="224">
        <f t="shared" si="35"/>
        <v>4.6735459662288932</v>
      </c>
      <c r="AZ488" s="224">
        <f t="shared" si="36"/>
        <v>3.4533029612756265</v>
      </c>
      <c r="BB488" s="224">
        <f t="shared" si="37"/>
        <v>3.2445378151260504</v>
      </c>
      <c r="BD488" s="224"/>
      <c r="BF488" s="224">
        <f t="shared" si="38"/>
        <v>6.9532163742690063</v>
      </c>
      <c r="BH488" s="224">
        <f t="shared" si="39"/>
        <v>2.7656967840735072</v>
      </c>
      <c r="BJ488" s="224"/>
      <c r="BL488" s="224"/>
      <c r="BM488" s="16" t="s">
        <v>8</v>
      </c>
      <c r="BO488" s="224">
        <f t="shared" si="40"/>
        <v>2.2937554969217238</v>
      </c>
      <c r="BW488" s="224">
        <f t="shared" si="41"/>
        <v>3.4407894736842106</v>
      </c>
      <c r="CE488" s="224">
        <f t="shared" si="42"/>
        <v>2.0902394106813995</v>
      </c>
      <c r="CQ488" s="224">
        <f t="shared" si="43"/>
        <v>2.3846153846153846</v>
      </c>
      <c r="CS488" s="224">
        <f t="shared" si="44"/>
        <v>3.0815939278937381</v>
      </c>
      <c r="CT488" s="16" t="s">
        <v>8</v>
      </c>
    </row>
    <row r="489" spans="7:108" ht="24" customHeight="1">
      <c r="K489" s="224">
        <f t="shared" si="28"/>
        <v>1.4960000000000002</v>
      </c>
      <c r="W489" s="224">
        <f t="shared" si="29"/>
        <v>1.8720000000000001</v>
      </c>
      <c r="Y489" s="224">
        <f t="shared" si="30"/>
        <v>2.7816666666666667</v>
      </c>
      <c r="AA489" s="224">
        <f t="shared" si="31"/>
        <v>3.1928934010152283</v>
      </c>
      <c r="AC489" s="224">
        <f t="shared" si="32"/>
        <v>2.1486068111455108</v>
      </c>
      <c r="AH489" s="17" t="s">
        <v>9</v>
      </c>
      <c r="AJ489" s="224">
        <f t="shared" si="33"/>
        <v>2.0407407407407407</v>
      </c>
      <c r="AV489" s="224">
        <f t="shared" si="34"/>
        <v>2.9287671232876713</v>
      </c>
      <c r="AX489" s="224">
        <f t="shared" si="35"/>
        <v>4.2176079734219263</v>
      </c>
      <c r="AZ489" s="224">
        <f t="shared" si="36"/>
        <v>4.2569444444444438</v>
      </c>
      <c r="BB489" s="224">
        <f t="shared" si="37"/>
        <v>3.6026490066225163</v>
      </c>
      <c r="BD489" s="224"/>
      <c r="BF489" s="224">
        <f t="shared" si="38"/>
        <v>5.8045112781954886</v>
      </c>
      <c r="BH489" s="224">
        <f t="shared" si="39"/>
        <v>2.6189944134078211</v>
      </c>
      <c r="BJ489" s="224"/>
      <c r="BL489" s="224"/>
      <c r="BM489" s="17" t="s">
        <v>9</v>
      </c>
      <c r="BO489" s="224">
        <f t="shared" si="40"/>
        <v>2.7073170731707314</v>
      </c>
      <c r="BW489" s="224">
        <f t="shared" si="41"/>
        <v>4.2893700787401574</v>
      </c>
      <c r="CE489" s="224">
        <f t="shared" si="42"/>
        <v>2.7511563367252543</v>
      </c>
      <c r="CQ489" s="224">
        <f t="shared" si="43"/>
        <v>1.9357964869775894</v>
      </c>
      <c r="CS489" s="224">
        <f t="shared" si="44"/>
        <v>2.6844197138314785</v>
      </c>
      <c r="CT489" s="17" t="s">
        <v>9</v>
      </c>
    </row>
    <row r="490" spans="7:108" ht="24" customHeight="1">
      <c r="K490" s="224">
        <f t="shared" si="28"/>
        <v>2.0088495575221237</v>
      </c>
      <c r="W490" s="224">
        <f t="shared" si="29"/>
        <v>1.1353383458646618</v>
      </c>
      <c r="Y490" s="224">
        <f t="shared" si="30"/>
        <v>3.2470355731225293</v>
      </c>
      <c r="AA490" s="224">
        <f t="shared" si="31"/>
        <v>3.3455657492354738</v>
      </c>
      <c r="AC490" s="224">
        <f t="shared" si="32"/>
        <v>3.5011876484560571</v>
      </c>
      <c r="AH490" s="17" t="s">
        <v>10</v>
      </c>
      <c r="AJ490" s="224">
        <f t="shared" si="33"/>
        <v>1.8663967611336032</v>
      </c>
      <c r="AV490" s="224">
        <f t="shared" si="34"/>
        <v>2.3313840155945416</v>
      </c>
      <c r="AX490" s="224">
        <f t="shared" si="35"/>
        <v>3.3621262458471759</v>
      </c>
      <c r="AZ490" s="224">
        <f t="shared" si="36"/>
        <v>4.4495614035087723</v>
      </c>
      <c r="BB490" s="224">
        <f t="shared" si="37"/>
        <v>2.689208633093525</v>
      </c>
      <c r="BD490" s="224"/>
      <c r="BF490" s="224">
        <f t="shared" si="38"/>
        <v>6.190871369294606</v>
      </c>
      <c r="BH490" s="224">
        <f t="shared" si="39"/>
        <v>2.232804232804233</v>
      </c>
      <c r="BJ490" s="224"/>
      <c r="BL490" s="224"/>
      <c r="BM490" s="17" t="s">
        <v>10</v>
      </c>
      <c r="BO490" s="224">
        <f t="shared" si="40"/>
        <v>1.9557226399331662</v>
      </c>
      <c r="BW490" s="224">
        <f t="shared" si="41"/>
        <v>3.2054794520547949</v>
      </c>
      <c r="CE490" s="224">
        <f t="shared" si="42"/>
        <v>2.2761437908496731</v>
      </c>
      <c r="CQ490" s="224">
        <f t="shared" si="43"/>
        <v>1.7115749525616699</v>
      </c>
      <c r="CS490" s="224">
        <f t="shared" si="44"/>
        <v>2.4055482166446498</v>
      </c>
      <c r="CT490" s="17" t="s">
        <v>10</v>
      </c>
    </row>
    <row r="491" spans="7:108" ht="24" customHeight="1">
      <c r="K491" s="224">
        <f t="shared" si="28"/>
        <v>1.3217391304347825</v>
      </c>
      <c r="W491" s="224">
        <f t="shared" si="29"/>
        <v>2.9</v>
      </c>
      <c r="Y491" s="224">
        <f t="shared" si="30"/>
        <v>3.4548736462093861</v>
      </c>
      <c r="AA491" s="224">
        <f t="shared" si="31"/>
        <v>3.45014245014245</v>
      </c>
      <c r="AC491" s="224">
        <f t="shared" si="32"/>
        <v>3.0803212851405624</v>
      </c>
      <c r="AH491" s="17" t="s">
        <v>66</v>
      </c>
      <c r="AJ491" s="224">
        <f t="shared" si="33"/>
        <v>2.0310077519379846</v>
      </c>
      <c r="AV491" s="224">
        <f t="shared" si="34"/>
        <v>3.0309372156505914</v>
      </c>
      <c r="AX491" s="224">
        <f t="shared" si="35"/>
        <v>4.6009673518742442</v>
      </c>
      <c r="AZ491" s="224">
        <f t="shared" si="36"/>
        <v>5.5762711864406782</v>
      </c>
      <c r="BB491" s="224">
        <f t="shared" si="37"/>
        <v>3.6568627450980391</v>
      </c>
      <c r="BD491" s="224"/>
      <c r="BF491" s="224">
        <f t="shared" si="38"/>
        <v>8.5953488372093023</v>
      </c>
      <c r="BH491" s="224">
        <f t="shared" si="39"/>
        <v>3.0814432989690723</v>
      </c>
      <c r="BJ491" s="224"/>
      <c r="BL491" s="224"/>
      <c r="BM491" s="17" t="s">
        <v>66</v>
      </c>
      <c r="BO491" s="224">
        <f t="shared" si="40"/>
        <v>1.6957236842105263</v>
      </c>
      <c r="BW491" s="224">
        <f t="shared" si="41"/>
        <v>2.2559852670349909</v>
      </c>
      <c r="CE491" s="224">
        <f t="shared" si="42"/>
        <v>1.2598920863309351</v>
      </c>
      <c r="CQ491" s="224">
        <f t="shared" si="43"/>
        <v>2.1825557809330629</v>
      </c>
      <c r="CS491" s="224">
        <f t="shared" si="44"/>
        <v>2.3117977528089888</v>
      </c>
      <c r="CT491" s="17" t="s">
        <v>66</v>
      </c>
    </row>
    <row r="492" spans="7:108" ht="24" customHeight="1">
      <c r="K492" s="224">
        <f t="shared" si="28"/>
        <v>1.3636363636363638</v>
      </c>
      <c r="W492" s="224">
        <f t="shared" si="29"/>
        <v>7.2380952380952381</v>
      </c>
      <c r="Y492" s="224">
        <f t="shared" si="30"/>
        <v>6.7959183673469399</v>
      </c>
      <c r="AA492" s="224">
        <f t="shared" si="31"/>
        <v>4.2121212121212119</v>
      </c>
      <c r="AC492" s="224">
        <f t="shared" si="32"/>
        <v>4.4347826086956532</v>
      </c>
      <c r="AH492" s="13" t="s">
        <v>67</v>
      </c>
      <c r="AJ492" s="224">
        <f t="shared" si="33"/>
        <v>2.1686746987951806</v>
      </c>
      <c r="AV492" s="224">
        <f t="shared" si="34"/>
        <v>3.1376404494382024</v>
      </c>
      <c r="AX492" s="224">
        <f t="shared" si="35"/>
        <v>4.1278195488721803</v>
      </c>
      <c r="AZ492" s="224">
        <f t="shared" si="36"/>
        <v>10.434782608695652</v>
      </c>
      <c r="BB492" s="224">
        <f t="shared" si="37"/>
        <v>3.768041237113402</v>
      </c>
      <c r="BD492" s="224"/>
      <c r="BF492" s="224">
        <f t="shared" si="38"/>
        <v>10.298507462686567</v>
      </c>
      <c r="BH492" s="224">
        <f t="shared" si="39"/>
        <v>2.8832807570977916</v>
      </c>
      <c r="BJ492" s="224"/>
      <c r="BL492" s="224"/>
      <c r="BM492" s="13" t="s">
        <v>67</v>
      </c>
      <c r="BO492" s="224">
        <f t="shared" si="40"/>
        <v>2.647272727272727</v>
      </c>
      <c r="BW492" s="224">
        <f t="shared" si="41"/>
        <v>2.9611111111111112</v>
      </c>
      <c r="CE492" s="224">
        <f t="shared" si="42"/>
        <v>1.7638376383763839</v>
      </c>
      <c r="CQ492" s="224">
        <f t="shared" si="43"/>
        <v>3.1063829787234041</v>
      </c>
      <c r="CS492" s="224">
        <f t="shared" si="44"/>
        <v>4.9642857142857144</v>
      </c>
      <c r="CT492" s="13" t="s">
        <v>67</v>
      </c>
    </row>
    <row r="493" spans="7:108" ht="24" customHeight="1">
      <c r="K493" s="224">
        <f t="shared" si="28"/>
        <v>1.3118279569892475</v>
      </c>
      <c r="W493" s="224">
        <f t="shared" si="29"/>
        <v>1.5797101449275364</v>
      </c>
      <c r="Y493" s="224">
        <f t="shared" si="30"/>
        <v>2.7368421052631584</v>
      </c>
      <c r="AA493" s="224">
        <f t="shared" si="31"/>
        <v>3.1507936507936507</v>
      </c>
      <c r="AC493" s="224">
        <f t="shared" si="32"/>
        <v>2.5611111111111109</v>
      </c>
      <c r="AH493" s="20" t="s">
        <v>68</v>
      </c>
      <c r="AJ493" s="224">
        <f t="shared" si="33"/>
        <v>1.9657142857142857</v>
      </c>
      <c r="AV493" s="224">
        <f t="shared" si="34"/>
        <v>2.9798115746971736</v>
      </c>
      <c r="AX493" s="224">
        <f t="shared" si="35"/>
        <v>4.8253119429590017</v>
      </c>
      <c r="AZ493" s="224">
        <f t="shared" si="36"/>
        <v>3.5688622754491024</v>
      </c>
      <c r="BB493" s="224">
        <f t="shared" si="37"/>
        <v>3.6052631578947367</v>
      </c>
      <c r="BD493" s="224"/>
      <c r="BF493" s="224">
        <f t="shared" si="38"/>
        <v>7.8243243243243255</v>
      </c>
      <c r="BH493" s="224">
        <f t="shared" si="39"/>
        <v>3.1776416539050536</v>
      </c>
      <c r="BJ493" s="224"/>
      <c r="BL493" s="224"/>
      <c r="BM493" s="20" t="s">
        <v>68</v>
      </c>
      <c r="BO493" s="224">
        <f t="shared" si="40"/>
        <v>1.4176408076514346</v>
      </c>
      <c r="BW493" s="224">
        <f t="shared" si="41"/>
        <v>1.9063360881542699</v>
      </c>
      <c r="CE493" s="224">
        <f t="shared" si="42"/>
        <v>1.0975029726516052</v>
      </c>
      <c r="CQ493" s="224">
        <f t="shared" si="43"/>
        <v>1.9649122807017543</v>
      </c>
      <c r="CS493" s="224">
        <f t="shared" si="44"/>
        <v>1.8166666666666667</v>
      </c>
      <c r="CT493" s="20" t="s">
        <v>68</v>
      </c>
    </row>
  </sheetData>
  <mergeCells count="425">
    <mergeCell ref="CV477:CV484"/>
    <mergeCell ref="CU5:CX5"/>
    <mergeCell ref="CY5:DC5"/>
    <mergeCell ref="CU4:DC4"/>
    <mergeCell ref="BK470:BL470"/>
    <mergeCell ref="BK471:BL471"/>
    <mergeCell ref="BK472:BL472"/>
    <mergeCell ref="BK473:BL473"/>
    <mergeCell ref="BX473:BY473"/>
    <mergeCell ref="BZ473:CA473"/>
    <mergeCell ref="CR472:CS472"/>
    <mergeCell ref="BE473:BF473"/>
    <mergeCell ref="BN473:BO473"/>
    <mergeCell ref="BG473:BH473"/>
    <mergeCell ref="CB472:CC472"/>
    <mergeCell ref="CD472:CE472"/>
    <mergeCell ref="BP473:BQ473"/>
    <mergeCell ref="BC475:BD475"/>
    <mergeCell ref="BI475:BJ475"/>
    <mergeCell ref="BK475:BL475"/>
    <mergeCell ref="BI472:BJ472"/>
    <mergeCell ref="BI473:BJ473"/>
    <mergeCell ref="CP3:CQ3"/>
    <mergeCell ref="CP4:CQ4"/>
    <mergeCell ref="CR4:CS4"/>
    <mergeCell ref="CR3:CS3"/>
    <mergeCell ref="T469:U469"/>
    <mergeCell ref="T470:U470"/>
    <mergeCell ref="AF469:AG469"/>
    <mergeCell ref="BI3:BJ3"/>
    <mergeCell ref="BI4:BJ4"/>
    <mergeCell ref="BI5:BJ5"/>
    <mergeCell ref="BI469:BJ469"/>
    <mergeCell ref="BI470:BJ470"/>
    <mergeCell ref="BG469:BH469"/>
    <mergeCell ref="BP1:CE2"/>
    <mergeCell ref="CF1:CS2"/>
    <mergeCell ref="J1:AG2"/>
    <mergeCell ref="BC3:BD3"/>
    <mergeCell ref="BC4:BD4"/>
    <mergeCell ref="BC5:BD5"/>
    <mergeCell ref="AF473:AG473"/>
    <mergeCell ref="AW473:AX473"/>
    <mergeCell ref="AY473:AZ473"/>
    <mergeCell ref="BA473:BB473"/>
    <mergeCell ref="AI469:AJ469"/>
    <mergeCell ref="AK469:AL469"/>
    <mergeCell ref="AM469:AN469"/>
    <mergeCell ref="AO473:AP473"/>
    <mergeCell ref="AO469:AP469"/>
    <mergeCell ref="AQ469:AR469"/>
    <mergeCell ref="T471:U471"/>
    <mergeCell ref="T472:U472"/>
    <mergeCell ref="T473:U473"/>
    <mergeCell ref="BC470:BD470"/>
    <mergeCell ref="BC471:BD471"/>
    <mergeCell ref="BC472:BD472"/>
    <mergeCell ref="BC473:BD473"/>
    <mergeCell ref="AF470:AG470"/>
    <mergeCell ref="BK3:BL3"/>
    <mergeCell ref="BK4:BL4"/>
    <mergeCell ref="BK5:BL5"/>
    <mergeCell ref="AI1:BL2"/>
    <mergeCell ref="AF3:AG3"/>
    <mergeCell ref="AF4:AG4"/>
    <mergeCell ref="AF5:AG5"/>
    <mergeCell ref="AQ5:AR5"/>
    <mergeCell ref="AS5:AT5"/>
    <mergeCell ref="AI5:AJ5"/>
    <mergeCell ref="CD4:CE4"/>
    <mergeCell ref="N469:O469"/>
    <mergeCell ref="N470:O470"/>
    <mergeCell ref="N471:O471"/>
    <mergeCell ref="N472:O472"/>
    <mergeCell ref="X469:Y469"/>
    <mergeCell ref="Z469:AA469"/>
    <mergeCell ref="AB469:AC469"/>
    <mergeCell ref="P469:Q469"/>
    <mergeCell ref="P470:Q470"/>
    <mergeCell ref="P471:Q471"/>
    <mergeCell ref="P472:Q472"/>
    <mergeCell ref="AF471:AG471"/>
    <mergeCell ref="AF472:AG472"/>
    <mergeCell ref="BI471:BJ471"/>
    <mergeCell ref="V473:W473"/>
    <mergeCell ref="R469:S469"/>
    <mergeCell ref="R470:S470"/>
    <mergeCell ref="R471:S471"/>
    <mergeCell ref="R472:S472"/>
    <mergeCell ref="R473:S473"/>
    <mergeCell ref="N473:O473"/>
    <mergeCell ref="AD3:AE3"/>
    <mergeCell ref="AD4:AE4"/>
    <mergeCell ref="AD5:AE5"/>
    <mergeCell ref="AD469:AE469"/>
    <mergeCell ref="AD470:AE470"/>
    <mergeCell ref="AD471:AE471"/>
    <mergeCell ref="AD472:AE472"/>
    <mergeCell ref="AD473:AE473"/>
    <mergeCell ref="V469:W469"/>
    <mergeCell ref="P473:Q473"/>
    <mergeCell ref="CP472:CQ472"/>
    <mergeCell ref="CP473:CQ473"/>
    <mergeCell ref="CH471:CI471"/>
    <mergeCell ref="CH472:CI472"/>
    <mergeCell ref="CH473:CI473"/>
    <mergeCell ref="CJ469:CK469"/>
    <mergeCell ref="CJ470:CK470"/>
    <mergeCell ref="AD475:AE475"/>
    <mergeCell ref="CN469:CO469"/>
    <mergeCell ref="CN470:CO470"/>
    <mergeCell ref="CN471:CO471"/>
    <mergeCell ref="CN472:CO472"/>
    <mergeCell ref="CN473:CO473"/>
    <mergeCell ref="CJ471:CK471"/>
    <mergeCell ref="CJ472:CK472"/>
    <mergeCell ref="CJ473:CK473"/>
    <mergeCell ref="CL469:CM469"/>
    <mergeCell ref="CB473:CC473"/>
    <mergeCell ref="CD473:CE473"/>
    <mergeCell ref="CF473:CG473"/>
    <mergeCell ref="AM473:AN473"/>
    <mergeCell ref="CL470:CM470"/>
    <mergeCell ref="CL471:CM471"/>
    <mergeCell ref="CL472:CM472"/>
    <mergeCell ref="CL473:CM473"/>
    <mergeCell ref="AQ473:AR473"/>
    <mergeCell ref="AS473:AT473"/>
    <mergeCell ref="AU473:AV473"/>
    <mergeCell ref="BG470:BH470"/>
    <mergeCell ref="BG471:BH471"/>
    <mergeCell ref="BG472:BH472"/>
    <mergeCell ref="BR473:BS473"/>
    <mergeCell ref="BT473:BU473"/>
    <mergeCell ref="BV473:BW473"/>
    <mergeCell ref="CR471:CS471"/>
    <mergeCell ref="V472:W472"/>
    <mergeCell ref="X472:Y472"/>
    <mergeCell ref="Z472:AA472"/>
    <mergeCell ref="AB472:AC472"/>
    <mergeCell ref="AI472:AJ472"/>
    <mergeCell ref="AK472:AL472"/>
    <mergeCell ref="CR473:CS473"/>
    <mergeCell ref="CF472:CG472"/>
    <mergeCell ref="BN472:BO472"/>
    <mergeCell ref="BP472:BQ472"/>
    <mergeCell ref="BR472:BS472"/>
    <mergeCell ref="BT472:BU472"/>
    <mergeCell ref="BV472:BW472"/>
    <mergeCell ref="BX472:BY472"/>
    <mergeCell ref="BZ472:CA472"/>
    <mergeCell ref="X473:Y473"/>
    <mergeCell ref="Z473:AA473"/>
    <mergeCell ref="AB473:AC473"/>
    <mergeCell ref="AI473:AJ473"/>
    <mergeCell ref="AK473:AL473"/>
    <mergeCell ref="AY472:AZ472"/>
    <mergeCell ref="BA472:BB472"/>
    <mergeCell ref="BE472:BF472"/>
    <mergeCell ref="BP471:BQ471"/>
    <mergeCell ref="BR471:BS471"/>
    <mergeCell ref="BT471:BU471"/>
    <mergeCell ref="BN471:BO471"/>
    <mergeCell ref="AM472:AN472"/>
    <mergeCell ref="AO472:AP472"/>
    <mergeCell ref="AQ472:AR472"/>
    <mergeCell ref="AS472:AT472"/>
    <mergeCell ref="AU472:AV472"/>
    <mergeCell ref="AW472:AX472"/>
    <mergeCell ref="AY471:AZ471"/>
    <mergeCell ref="BA471:BB471"/>
    <mergeCell ref="BE471:BF471"/>
    <mergeCell ref="CR470:CS470"/>
    <mergeCell ref="V471:W471"/>
    <mergeCell ref="X471:Y471"/>
    <mergeCell ref="Z471:AA471"/>
    <mergeCell ref="AB471:AC471"/>
    <mergeCell ref="AI471:AJ471"/>
    <mergeCell ref="AK471:AL471"/>
    <mergeCell ref="AM471:AN471"/>
    <mergeCell ref="AO471:AP471"/>
    <mergeCell ref="AQ471:AR471"/>
    <mergeCell ref="BV471:BW471"/>
    <mergeCell ref="BX471:BY471"/>
    <mergeCell ref="BZ471:CA471"/>
    <mergeCell ref="CB471:CC471"/>
    <mergeCell ref="CD471:CE471"/>
    <mergeCell ref="CF471:CG471"/>
    <mergeCell ref="CP470:CQ470"/>
    <mergeCell ref="CP471:CQ471"/>
    <mergeCell ref="CR469:CS469"/>
    <mergeCell ref="V470:W470"/>
    <mergeCell ref="X470:Y470"/>
    <mergeCell ref="Z470:AA470"/>
    <mergeCell ref="AB470:AC470"/>
    <mergeCell ref="AI470:AJ470"/>
    <mergeCell ref="AK470:AL470"/>
    <mergeCell ref="BR470:BS470"/>
    <mergeCell ref="BT470:BU470"/>
    <mergeCell ref="BV470:BW470"/>
    <mergeCell ref="BX470:BY470"/>
    <mergeCell ref="BZ470:CA470"/>
    <mergeCell ref="CB470:CC470"/>
    <mergeCell ref="AS469:AT469"/>
    <mergeCell ref="CP469:CQ469"/>
    <mergeCell ref="AM470:AN470"/>
    <mergeCell ref="AO470:AP470"/>
    <mergeCell ref="AQ470:AR470"/>
    <mergeCell ref="AS470:AT470"/>
    <mergeCell ref="AU470:AV470"/>
    <mergeCell ref="AW470:AX470"/>
    <mergeCell ref="CD470:CE470"/>
    <mergeCell ref="CF470:CG470"/>
    <mergeCell ref="CH470:CI470"/>
    <mergeCell ref="A469:I469"/>
    <mergeCell ref="A470:I470"/>
    <mergeCell ref="A471:I471"/>
    <mergeCell ref="A472:I472"/>
    <mergeCell ref="A473:I473"/>
    <mergeCell ref="L469:M469"/>
    <mergeCell ref="L470:M470"/>
    <mergeCell ref="L471:M471"/>
    <mergeCell ref="L472:M472"/>
    <mergeCell ref="L473:M473"/>
    <mergeCell ref="J469:K469"/>
    <mergeCell ref="J470:K470"/>
    <mergeCell ref="J471:K471"/>
    <mergeCell ref="J472:K472"/>
    <mergeCell ref="J473:K473"/>
    <mergeCell ref="CT1:CT5"/>
    <mergeCell ref="J3:K3"/>
    <mergeCell ref="BE5:BF5"/>
    <mergeCell ref="BX5:BY5"/>
    <mergeCell ref="Z5:AA5"/>
    <mergeCell ref="CH469:CI469"/>
    <mergeCell ref="AU469:AV469"/>
    <mergeCell ref="AW469:AX469"/>
    <mergeCell ref="AY469:AZ469"/>
    <mergeCell ref="BA469:BB469"/>
    <mergeCell ref="BE469:BF469"/>
    <mergeCell ref="BN469:BO469"/>
    <mergeCell ref="BP469:BQ469"/>
    <mergeCell ref="BR469:BS469"/>
    <mergeCell ref="BC469:BD469"/>
    <mergeCell ref="BV469:BW469"/>
    <mergeCell ref="BX469:BY469"/>
    <mergeCell ref="BZ469:CA469"/>
    <mergeCell ref="CB469:CC469"/>
    <mergeCell ref="CP5:CQ5"/>
    <mergeCell ref="DG7:DL7"/>
    <mergeCell ref="CN5:CO5"/>
    <mergeCell ref="DS29:DX29"/>
    <mergeCell ref="DY29:ED29"/>
    <mergeCell ref="AW5:AX5"/>
    <mergeCell ref="AY5:AZ5"/>
    <mergeCell ref="BA5:BB5"/>
    <mergeCell ref="CB5:CC5"/>
    <mergeCell ref="CF5:CG5"/>
    <mergeCell ref="DM7:DR7"/>
    <mergeCell ref="DS7:DX7"/>
    <mergeCell ref="CD5:CE5"/>
    <mergeCell ref="CH5:CI5"/>
    <mergeCell ref="CR5:CS5"/>
    <mergeCell ref="DG18:DL18"/>
    <mergeCell ref="DG29:DL29"/>
    <mergeCell ref="DM18:DR18"/>
    <mergeCell ref="DM29:DR29"/>
    <mergeCell ref="DE29:DF29"/>
    <mergeCell ref="DE7:DF7"/>
    <mergeCell ref="G477:G484"/>
    <mergeCell ref="DE40:ED41"/>
    <mergeCell ref="DE18:DF18"/>
    <mergeCell ref="CJ5:CK5"/>
    <mergeCell ref="CL5:CM5"/>
    <mergeCell ref="BN5:BO5"/>
    <mergeCell ref="BP5:BQ5"/>
    <mergeCell ref="BR5:BS5"/>
    <mergeCell ref="BT5:BU5"/>
    <mergeCell ref="BV5:BW5"/>
    <mergeCell ref="AK5:AL5"/>
    <mergeCell ref="AM5:AN5"/>
    <mergeCell ref="AO5:AP5"/>
    <mergeCell ref="BZ5:CA5"/>
    <mergeCell ref="DY7:ED7"/>
    <mergeCell ref="DS18:DX18"/>
    <mergeCell ref="DY18:ED18"/>
    <mergeCell ref="CF3:CG3"/>
    <mergeCell ref="CH3:CI3"/>
    <mergeCell ref="CJ3:CK3"/>
    <mergeCell ref="CL3:CM3"/>
    <mergeCell ref="BZ3:CA3"/>
    <mergeCell ref="CD3:CE3"/>
    <mergeCell ref="AS475:AT475"/>
    <mergeCell ref="AU475:AV475"/>
    <mergeCell ref="AW475:AX475"/>
    <mergeCell ref="AY475:AZ475"/>
    <mergeCell ref="BA475:BB475"/>
    <mergeCell ref="AW3:AX3"/>
    <mergeCell ref="CD469:CE469"/>
    <mergeCell ref="CF469:CG469"/>
    <mergeCell ref="AY470:AZ470"/>
    <mergeCell ref="BA470:BB470"/>
    <mergeCell ref="BE470:BF470"/>
    <mergeCell ref="BN470:BO470"/>
    <mergeCell ref="BP470:BQ470"/>
    <mergeCell ref="BT469:BU469"/>
    <mergeCell ref="BK469:BL469"/>
    <mergeCell ref="AS471:AT471"/>
    <mergeCell ref="AU471:AV471"/>
    <mergeCell ref="AW471:AX471"/>
    <mergeCell ref="AB5:AC5"/>
    <mergeCell ref="CN4:CO4"/>
    <mergeCell ref="CB3:CC3"/>
    <mergeCell ref="BR3:BS3"/>
    <mergeCell ref="BT3:BU3"/>
    <mergeCell ref="BV3:BW3"/>
    <mergeCell ref="BX3:BY3"/>
    <mergeCell ref="BP3:BQ3"/>
    <mergeCell ref="N3:O3"/>
    <mergeCell ref="CF4:CG4"/>
    <mergeCell ref="CH4:CI4"/>
    <mergeCell ref="CJ4:CK4"/>
    <mergeCell ref="CL4:CM4"/>
    <mergeCell ref="AW4:AX4"/>
    <mergeCell ref="BG3:BH3"/>
    <mergeCell ref="BG4:BH4"/>
    <mergeCell ref="BN4:BO4"/>
    <mergeCell ref="BR4:BS4"/>
    <mergeCell ref="BT4:BU4"/>
    <mergeCell ref="BV4:BW4"/>
    <mergeCell ref="BX4:BY4"/>
    <mergeCell ref="BZ4:CA4"/>
    <mergeCell ref="CB4:CC4"/>
    <mergeCell ref="AI3:AJ3"/>
    <mergeCell ref="T3:U3"/>
    <mergeCell ref="Z3:AA3"/>
    <mergeCell ref="BE4:BF4"/>
    <mergeCell ref="BE3:BF3"/>
    <mergeCell ref="AO3:AP3"/>
    <mergeCell ref="AQ3:AR3"/>
    <mergeCell ref="AS3:AT3"/>
    <mergeCell ref="R4:S4"/>
    <mergeCell ref="J4:K4"/>
    <mergeCell ref="I1:I2"/>
    <mergeCell ref="X4:Y4"/>
    <mergeCell ref="Z4:AA4"/>
    <mergeCell ref="AI4:AJ4"/>
    <mergeCell ref="AK4:AL4"/>
    <mergeCell ref="AM4:AN4"/>
    <mergeCell ref="AB4:AC4"/>
    <mergeCell ref="B4:D4"/>
    <mergeCell ref="E4:F4"/>
    <mergeCell ref="AB3:AC3"/>
    <mergeCell ref="X3:Y3"/>
    <mergeCell ref="A1:H3"/>
    <mergeCell ref="P4:Q4"/>
    <mergeCell ref="AH1:AH5"/>
    <mergeCell ref="V3:W3"/>
    <mergeCell ref="V5:W5"/>
    <mergeCell ref="X5:Y5"/>
    <mergeCell ref="T4:U4"/>
    <mergeCell ref="V4:W4"/>
    <mergeCell ref="L5:M5"/>
    <mergeCell ref="R5:S5"/>
    <mergeCell ref="L4:M4"/>
    <mergeCell ref="N4:O4"/>
    <mergeCell ref="AK3:AL3"/>
    <mergeCell ref="J5:K5"/>
    <mergeCell ref="L3:M3"/>
    <mergeCell ref="P5:Q5"/>
    <mergeCell ref="BN1:BO2"/>
    <mergeCell ref="CN3:CO3"/>
    <mergeCell ref="BP4:BQ4"/>
    <mergeCell ref="AO4:AP4"/>
    <mergeCell ref="AQ4:AR4"/>
    <mergeCell ref="AS4:AT4"/>
    <mergeCell ref="AU4:AV4"/>
    <mergeCell ref="T5:U5"/>
    <mergeCell ref="AY4:AZ4"/>
    <mergeCell ref="BA4:BB4"/>
    <mergeCell ref="AY3:AZ3"/>
    <mergeCell ref="BA3:BB3"/>
    <mergeCell ref="BM1:BM5"/>
    <mergeCell ref="N5:O5"/>
    <mergeCell ref="AU3:AV3"/>
    <mergeCell ref="BG5:BH5"/>
    <mergeCell ref="BN3:BO3"/>
    <mergeCell ref="AU5:AV5"/>
    <mergeCell ref="AM3:AN3"/>
    <mergeCell ref="P3:Q3"/>
    <mergeCell ref="R3:S3"/>
    <mergeCell ref="V475:W475"/>
    <mergeCell ref="X475:Y475"/>
    <mergeCell ref="Z475:AA475"/>
    <mergeCell ref="AB475:AC475"/>
    <mergeCell ref="AI475:AJ475"/>
    <mergeCell ref="AF475:AG475"/>
    <mergeCell ref="J475:K475"/>
    <mergeCell ref="L475:M475"/>
    <mergeCell ref="N475:O475"/>
    <mergeCell ref="P475:Q475"/>
    <mergeCell ref="R475:S475"/>
    <mergeCell ref="T475:U475"/>
    <mergeCell ref="BG475:BH475"/>
    <mergeCell ref="CB475:CC475"/>
    <mergeCell ref="CD475:CE475"/>
    <mergeCell ref="AK475:AL475"/>
    <mergeCell ref="AM475:AN475"/>
    <mergeCell ref="AO475:AP475"/>
    <mergeCell ref="AQ475:AR475"/>
    <mergeCell ref="BE475:BF475"/>
    <mergeCell ref="CR475:CS475"/>
    <mergeCell ref="BN475:BO475"/>
    <mergeCell ref="BP475:BQ475"/>
    <mergeCell ref="BR475:BS475"/>
    <mergeCell ref="BT475:BU475"/>
    <mergeCell ref="CF475:CG475"/>
    <mergeCell ref="CH475:CI475"/>
    <mergeCell ref="CJ475:CK475"/>
    <mergeCell ref="CL475:CM475"/>
    <mergeCell ref="CN475:CO475"/>
    <mergeCell ref="CP475:CQ475"/>
    <mergeCell ref="BV475:BW475"/>
    <mergeCell ref="BX475:BY475"/>
    <mergeCell ref="BZ475:CA475"/>
  </mergeCells>
  <conditionalFormatting sqref="AC7:AC467 BH7:BH467">
    <cfRule type="expression" dxfId="80" priority="94">
      <formula>AND(AC7/AB7&gt;=4,AC7&gt;=40)</formula>
    </cfRule>
  </conditionalFormatting>
  <conditionalFormatting sqref="AB7:AC467">
    <cfRule type="expression" dxfId="79" priority="95">
      <formula>NOT(OR(AB7=5, AB7=10, AB7=20, AB7=40, AB7=80, AB7=160, AB7=320,AB7=640,AB7=1280,AB7=2560,AB7=5120,AB7=10240,AB7=20480))</formula>
    </cfRule>
    <cfRule type="cellIs" dxfId="78" priority="96" operator="greaterThanOrEqual">
      <formula>40</formula>
    </cfRule>
  </conditionalFormatting>
  <conditionalFormatting sqref="W7:W467 Y7:Y467 AA7:AA467">
    <cfRule type="expression" dxfId="77" priority="91">
      <formula>AND(W7/V7&gt;=4,W7&gt;=40)</formula>
    </cfRule>
  </conditionalFormatting>
  <conditionalFormatting sqref="V7:AA467">
    <cfRule type="expression" dxfId="76" priority="92">
      <formula>NOT(OR(V7=5, V7=10, V7=20, V7=40, V7=80, V7=160, V7=320,V7=640,V7=1280,V7=2560,V7=5120,V7=10240,V7=20480))</formula>
    </cfRule>
    <cfRule type="cellIs" dxfId="75" priority="93" operator="greaterThanOrEqual">
      <formula>40</formula>
    </cfRule>
  </conditionalFormatting>
  <conditionalFormatting sqref="BF7:BF467">
    <cfRule type="expression" dxfId="74" priority="88">
      <formula>AND(BF7/BE7&gt;=4,BF7&gt;=40)</formula>
    </cfRule>
  </conditionalFormatting>
  <conditionalFormatting sqref="BE7:BF467">
    <cfRule type="expression" dxfId="73" priority="89">
      <formula>NOT(OR(BE7=5, BE7=10, BE7=20, BE7=40, BE7=80, BE7=160, BE7=320,BE7=640,BE7=1280,BE7=2560,BE7=5120,BE7=10240,BE7=20480))</formula>
    </cfRule>
    <cfRule type="cellIs" dxfId="72" priority="90" operator="greaterThanOrEqual">
      <formula>40</formula>
    </cfRule>
  </conditionalFormatting>
  <conditionalFormatting sqref="CE7:CE467">
    <cfRule type="expression" dxfId="71" priority="85">
      <formula>AND(CE7/CD7&gt;=4,CE7&gt;=40)</formula>
    </cfRule>
  </conditionalFormatting>
  <conditionalFormatting sqref="CD7:CE467">
    <cfRule type="expression" dxfId="70" priority="86">
      <formula>NOT(OR(CD7=5, CD7=10, CD7=20, CD7=40, CD7=80, CD7=160, CD7=320,CD7=640,CD7=1280,CD7=2560,CD7=5120,CD7=10240,CD7=20480))</formula>
    </cfRule>
    <cfRule type="cellIs" dxfId="69" priority="87" operator="greaterThanOrEqual">
      <formula>40</formula>
    </cfRule>
  </conditionalFormatting>
  <conditionalFormatting sqref="CQ7:CQ467">
    <cfRule type="expression" dxfId="68" priority="82">
      <formula>AND(CQ7/CP7&gt;=4,CQ7&gt;=40)</formula>
    </cfRule>
  </conditionalFormatting>
  <conditionalFormatting sqref="CP7:CQ467">
    <cfRule type="expression" dxfId="67" priority="83">
      <formula>NOT(OR(CP7=5, CP7=10, CP7=20, CP7=40, CP7=80, CP7=160, CP7=320,CP7=640,CP7=1280,CP7=2560,CP7=5120,CP7=10240,CP7=20480))</formula>
    </cfRule>
    <cfRule type="cellIs" dxfId="66" priority="84" operator="greaterThanOrEqual">
      <formula>40</formula>
    </cfRule>
  </conditionalFormatting>
  <conditionalFormatting sqref="CO7:CO467">
    <cfRule type="expression" dxfId="65" priority="79">
      <formula>AND(CO7/CN7&gt;=4,CO7&gt;=40)</formula>
    </cfRule>
  </conditionalFormatting>
  <conditionalFormatting sqref="CN7:CO467">
    <cfRule type="expression" dxfId="64" priority="80">
      <formula>NOT(OR(CN7=5, CN7=10, CN7=20, CN7=40, CN7=80, CN7=160, CN7=320,CN7=640,CN7=1280,CN7=2560,CN7=5120,CN7=10240,CN7=20480))</formula>
    </cfRule>
    <cfRule type="cellIs" dxfId="63" priority="81" operator="greaterThanOrEqual">
      <formula>40</formula>
    </cfRule>
  </conditionalFormatting>
  <conditionalFormatting sqref="CC7:CC467">
    <cfRule type="expression" dxfId="62" priority="76">
      <formula>AND(CC7/CB7&gt;=4,CC7&gt;=40)</formula>
    </cfRule>
  </conditionalFormatting>
  <conditionalFormatting sqref="CB7:CC467">
    <cfRule type="expression" dxfId="61" priority="77">
      <formula>NOT(OR(CB7=5, CB7=10, CB7=20, CB7=40, CB7=80, CB7=160, CB7=320,CB7=640,CB7=1280,CB7=2560,CB7=5120,CB7=10240,CB7=20480))</formula>
    </cfRule>
    <cfRule type="cellIs" dxfId="60" priority="78" operator="greaterThanOrEqual">
      <formula>40</formula>
    </cfRule>
  </conditionalFormatting>
  <conditionalFormatting sqref="BB7:BB467">
    <cfRule type="expression" dxfId="59" priority="73">
      <formula>AND(BB7/BA7&gt;=4,BB7&gt;=40)</formula>
    </cfRule>
  </conditionalFormatting>
  <conditionalFormatting sqref="BA7:BB467">
    <cfRule type="expression" dxfId="58" priority="74">
      <formula>NOT(OR(BA7=5, BA7=10, BA7=20, BA7=40, BA7=80, BA7=160, BA7=320,BA7=640,BA7=1280,BA7=2560,BA7=5120,BA7=10240,BA7=20480))</formula>
    </cfRule>
    <cfRule type="cellIs" dxfId="57" priority="75" operator="greaterThanOrEqual">
      <formula>40</formula>
    </cfRule>
  </conditionalFormatting>
  <conditionalFormatting sqref="AZ7:AZ467">
    <cfRule type="expression" dxfId="56" priority="70">
      <formula>AND(AZ7/AY7&gt;=4,AZ7&gt;=40)</formula>
    </cfRule>
  </conditionalFormatting>
  <conditionalFormatting sqref="AY7:AZ467">
    <cfRule type="expression" dxfId="55" priority="71">
      <formula>NOT(OR(AY7=5, AY7=10, AY7=20, AY7=40, AY7=80, AY7=160, AY7=320,AY7=640,AY7=1280,AY7=2560,AY7=5120,AY7=10240,AY7=20480))</formula>
    </cfRule>
    <cfRule type="cellIs" dxfId="54" priority="72" operator="greaterThanOrEqual">
      <formula>40</formula>
    </cfRule>
  </conditionalFormatting>
  <conditionalFormatting sqref="CS7:CS467">
    <cfRule type="expression" dxfId="53" priority="67">
      <formula>AND(CS7/CR7&gt;=4,CS7&gt;=40)</formula>
    </cfRule>
  </conditionalFormatting>
  <conditionalFormatting sqref="CR7:CS467">
    <cfRule type="expression" dxfId="52" priority="68">
      <formula>NOT(OR(CR7=5, CR7=10, CR7=20, CR7=40, CR7=80, CR7=160, CR7=320,CR7=640,CR7=1280,CR7=2560,CR7=5120,CR7=10240,CR7=20480))</formula>
    </cfRule>
    <cfRule type="cellIs" dxfId="51" priority="69" operator="greaterThanOrEqual">
      <formula>40</formula>
    </cfRule>
  </conditionalFormatting>
  <conditionalFormatting sqref="BG7:BH467">
    <cfRule type="expression" dxfId="50" priority="65">
      <formula>NOT(OR(BG7=5, BG7=10, BG7=20, BG7=40, BG7=80, BG7=160, BG7=320,BG7=640,BG7=1280,BG7=2560,BG7=5120,BG7=10240,BG7=20480))</formula>
    </cfRule>
    <cfRule type="cellIs" dxfId="49" priority="66" operator="greaterThanOrEqual">
      <formula>40</formula>
    </cfRule>
  </conditionalFormatting>
  <conditionalFormatting sqref="L477:U484 AB477:AC484">
    <cfRule type="colorScale" priority="64">
      <colorScale>
        <cfvo type="min"/>
        <cfvo type="max"/>
        <color rgb="FFFCFCFF"/>
        <color theme="5"/>
      </colorScale>
    </cfRule>
  </conditionalFormatting>
  <conditionalFormatting sqref="K7:K467">
    <cfRule type="expression" dxfId="48" priority="61">
      <formula>AND(K7/J7&gt;=4,K7&gt;=40)</formula>
    </cfRule>
  </conditionalFormatting>
  <conditionalFormatting sqref="J7:K467">
    <cfRule type="expression" dxfId="47" priority="62">
      <formula>NOT(OR(J7=5, J7=10, J7=20, J7=40, J7=80, J7=160, J7=320,J7=640,J7=1280,J7=2560,J7=5120,J7=10240,J7=20480))</formula>
    </cfRule>
    <cfRule type="cellIs" dxfId="46" priority="63" operator="greaterThanOrEqual">
      <formula>40</formula>
    </cfRule>
  </conditionalFormatting>
  <conditionalFormatting sqref="M7:M467">
    <cfRule type="expression" dxfId="45" priority="58">
      <formula>AND(M7/L7&gt;=4,M7&gt;=40)</formula>
    </cfRule>
  </conditionalFormatting>
  <conditionalFormatting sqref="L7:M467">
    <cfRule type="expression" dxfId="44" priority="59">
      <formula>NOT(OR(L7=5, L7=10, L7=20, L7=40, L7=80, L7=160, L7=320,L7=640,L7=1280,L7=2560,L7=5120,L7=10240,L7=20480))</formula>
    </cfRule>
    <cfRule type="cellIs" dxfId="43" priority="60" operator="greaterThanOrEqual">
      <formula>40</formula>
    </cfRule>
  </conditionalFormatting>
  <conditionalFormatting sqref="AE7:AG467">
    <cfRule type="expression" dxfId="42" priority="55">
      <formula>AND(AE7/AD7&gt;=4,AE7&gt;=40)</formula>
    </cfRule>
  </conditionalFormatting>
  <conditionalFormatting sqref="AD7:AG467">
    <cfRule type="expression" dxfId="41" priority="56">
      <formula>NOT(OR(AD7=5, AD7=10, AD7=20, AD7=40, AD7=80, AD7=160, AD7=320,AD7=640,AD7=1280,AD7=2560,AD7=5120,AD7=10240,AD7=20480))</formula>
    </cfRule>
    <cfRule type="cellIs" dxfId="40" priority="57" operator="greaterThanOrEqual">
      <formula>40</formula>
    </cfRule>
  </conditionalFormatting>
  <conditionalFormatting sqref="AD477:AE484">
    <cfRule type="colorScale" priority="54">
      <colorScale>
        <cfvo type="min"/>
        <cfvo type="max"/>
        <color rgb="FFFCFCFF"/>
        <color theme="5"/>
      </colorScale>
    </cfRule>
  </conditionalFormatting>
  <conditionalFormatting sqref="AF477:AG484">
    <cfRule type="colorScale" priority="53">
      <colorScale>
        <cfvo type="min"/>
        <cfvo type="max"/>
        <color rgb="FFFCFCFF"/>
        <color theme="5"/>
      </colorScale>
    </cfRule>
  </conditionalFormatting>
  <conditionalFormatting sqref="AK477:AT484 BE477:BH484 BA477:BB484">
    <cfRule type="colorScale" priority="97">
      <colorScale>
        <cfvo type="min"/>
        <cfvo type="max"/>
        <color rgb="FFFCFCFF"/>
        <color rgb="FF63BE7B"/>
      </colorScale>
    </cfRule>
  </conditionalFormatting>
  <conditionalFormatting sqref="CB477:CS484">
    <cfRule type="colorScale" priority="98">
      <colorScale>
        <cfvo type="min"/>
        <cfvo type="max"/>
        <color rgb="FFFCFCFF"/>
        <color rgb="FF0070C0"/>
      </colorScale>
    </cfRule>
  </conditionalFormatting>
  <conditionalFormatting sqref="CB486:CS493 AK486:AT493 L486:U493 BE486:BH493 BA486:BB493 AB486:AC493">
    <cfRule type="colorScale" priority="99">
      <colorScale>
        <cfvo type="min"/>
        <cfvo type="max"/>
        <color rgb="FFFCFCFF"/>
        <color rgb="FFFFC000"/>
      </colorScale>
    </cfRule>
  </conditionalFormatting>
  <conditionalFormatting sqref="BC477:BD484">
    <cfRule type="colorScale" priority="51">
      <colorScale>
        <cfvo type="min"/>
        <cfvo type="max"/>
        <color rgb="FFFCFCFF"/>
        <color rgb="FF63BE7B"/>
      </colorScale>
    </cfRule>
  </conditionalFormatting>
  <conditionalFormatting sqref="BC486:BD493">
    <cfRule type="colorScale" priority="52">
      <colorScale>
        <cfvo type="min"/>
        <cfvo type="max"/>
        <color rgb="FFFCFCFF"/>
        <color rgb="FFFFC000"/>
      </colorScale>
    </cfRule>
  </conditionalFormatting>
  <conditionalFormatting sqref="BI477:BJ484">
    <cfRule type="colorScale" priority="49">
      <colorScale>
        <cfvo type="min"/>
        <cfvo type="max"/>
        <color rgb="FFFCFCFF"/>
        <color rgb="FF63BE7B"/>
      </colorScale>
    </cfRule>
  </conditionalFormatting>
  <conditionalFormatting sqref="BI486:BJ493">
    <cfRule type="colorScale" priority="50">
      <colorScale>
        <cfvo type="min"/>
        <cfvo type="max"/>
        <color rgb="FFFCFCFF"/>
        <color rgb="FFFFC000"/>
      </colorScale>
    </cfRule>
  </conditionalFormatting>
  <conditionalFormatting sqref="BK477:BL484">
    <cfRule type="colorScale" priority="47">
      <colorScale>
        <cfvo type="min"/>
        <cfvo type="max"/>
        <color rgb="FFFCFCFF"/>
        <color rgb="FF63BE7B"/>
      </colorScale>
    </cfRule>
  </conditionalFormatting>
  <conditionalFormatting sqref="BK486:BL493">
    <cfRule type="colorScale" priority="48">
      <colorScale>
        <cfvo type="min"/>
        <cfvo type="max"/>
        <color rgb="FFFCFCFF"/>
        <color rgb="FFFFC000"/>
      </colorScale>
    </cfRule>
  </conditionalFormatting>
  <conditionalFormatting sqref="BD7:BD467">
    <cfRule type="expression" dxfId="39" priority="44">
      <formula>AND(BD7/BC7&gt;=4,BD7&gt;=40)</formula>
    </cfRule>
  </conditionalFormatting>
  <conditionalFormatting sqref="BC7:BD467">
    <cfRule type="expression" dxfId="38" priority="45">
      <formula>NOT(OR(BC7=5, BC7=10, BC7=20, BC7=40, BC7=80, BC7=160, BC7=320,BC7=640,BC7=1280,BC7=2560,BC7=5120,BC7=10240,BC7=20480))</formula>
    </cfRule>
    <cfRule type="cellIs" dxfId="37" priority="46" operator="greaterThanOrEqual">
      <formula>40</formula>
    </cfRule>
  </conditionalFormatting>
  <conditionalFormatting sqref="BJ7:BJ467">
    <cfRule type="expression" dxfId="36" priority="41">
      <formula>AND(BJ7/BI7&gt;=4,BJ7&gt;=40)</formula>
    </cfRule>
  </conditionalFormatting>
  <conditionalFormatting sqref="BI7:BJ467">
    <cfRule type="expression" dxfId="35" priority="42">
      <formula>NOT(OR(BI7=5, BI7=10, BI7=20, BI7=40, BI7=80, BI7=160, BI7=320,BI7=640,BI7=1280,BI7=2560,BI7=5120,BI7=10240,BI7=20480))</formula>
    </cfRule>
    <cfRule type="cellIs" dxfId="34" priority="43" operator="greaterThanOrEqual">
      <formula>40</formula>
    </cfRule>
  </conditionalFormatting>
  <conditionalFormatting sqref="BL7:BL467">
    <cfRule type="expression" dxfId="33" priority="38">
      <formula>AND(BL7/BK7&gt;=4,BL7&gt;=40)</formula>
    </cfRule>
  </conditionalFormatting>
  <conditionalFormatting sqref="BK7:BL467">
    <cfRule type="expression" dxfId="32" priority="39">
      <formula>NOT(OR(BK7=5, BK7=10, BK7=20, BK7=40, BK7=80, BK7=160, BK7=320,BK7=640,BK7=1280,BK7=2560,BK7=5120,BK7=10240,BK7=20480))</formula>
    </cfRule>
    <cfRule type="cellIs" dxfId="31" priority="40" operator="greaterThanOrEqual">
      <formula>40</formula>
    </cfRule>
  </conditionalFormatting>
  <conditionalFormatting sqref="AX7:AX467">
    <cfRule type="expression" dxfId="30" priority="35">
      <formula>AND(AX7/AW7&gt;=4,AX7&gt;=40)</formula>
    </cfRule>
  </conditionalFormatting>
  <conditionalFormatting sqref="AW7:AX467">
    <cfRule type="expression" dxfId="29" priority="36">
      <formula>NOT(OR(AW7=5, AW7=10, AW7=20, AW7=40, AW7=80, AW7=160, AW7=320,AW7=640,AW7=1280,AW7=2560,AW7=5120,AW7=10240,AW7=20480))</formula>
    </cfRule>
    <cfRule type="cellIs" dxfId="28" priority="37" operator="greaterThanOrEqual">
      <formula>40</formula>
    </cfRule>
  </conditionalFormatting>
  <conditionalFormatting sqref="AV7:AV467">
    <cfRule type="expression" dxfId="27" priority="32">
      <formula>AND(AV7/AU7&gt;=4,AV7&gt;=40)</formula>
    </cfRule>
  </conditionalFormatting>
  <conditionalFormatting sqref="AU7:AV467">
    <cfRule type="expression" dxfId="26" priority="33">
      <formula>NOT(OR(AU7=5, AU7=10, AU7=20, AU7=40, AU7=80, AU7=160, AU7=320,AU7=640,AU7=1280,AU7=2560,AU7=5120,AU7=10240,AU7=20480))</formula>
    </cfRule>
    <cfRule type="cellIs" dxfId="25" priority="34" operator="greaterThanOrEqual">
      <formula>40</formula>
    </cfRule>
  </conditionalFormatting>
  <conditionalFormatting sqref="AJ7:AJ467">
    <cfRule type="expression" dxfId="24" priority="29">
      <formula>AND(AJ7/AI7&gt;=4,AJ7&gt;=40)</formula>
    </cfRule>
  </conditionalFormatting>
  <conditionalFormatting sqref="AI7:AJ467">
    <cfRule type="expression" dxfId="23" priority="30">
      <formula>NOT(OR(AI7=5, AI7=10, AI7=20, AI7=40, AI7=80, AI7=160, AI7=320,AI7=640,AI7=1280,AI7=2560,AI7=5120,AI7=10240,AI7=20480))</formula>
    </cfRule>
    <cfRule type="cellIs" dxfId="22" priority="31" operator="greaterThanOrEqual">
      <formula>40</formula>
    </cfRule>
  </conditionalFormatting>
  <conditionalFormatting sqref="BW7:BW467">
    <cfRule type="expression" dxfId="21" priority="26">
      <formula>AND(BW7/BV7&gt;=4,BW7&gt;=40)</formula>
    </cfRule>
  </conditionalFormatting>
  <conditionalFormatting sqref="BV7:BW467">
    <cfRule type="expression" dxfId="20" priority="27">
      <formula>NOT(OR(BV7=5, BV7=10, BV7=20, BV7=40, BV7=80, BV7=160, BV7=320,BV7=640,BV7=1280,BV7=2560,BV7=5120,BV7=10240,BV7=20480))</formula>
    </cfRule>
    <cfRule type="cellIs" dxfId="19" priority="28" operator="greaterThanOrEqual">
      <formula>40</formula>
    </cfRule>
  </conditionalFormatting>
  <conditionalFormatting sqref="BO7:BO467">
    <cfRule type="expression" dxfId="18" priority="23">
      <formula>AND(BO7/BN7&gt;=4,BO7&gt;=40)</formula>
    </cfRule>
  </conditionalFormatting>
  <conditionalFormatting sqref="BN7:BO467">
    <cfRule type="expression" dxfId="17" priority="24">
      <formula>NOT(OR(BN7=5, BN7=10, BN7=20, BN7=40, BN7=80, BN7=160, BN7=320,BN7=640,BN7=1280,BN7=2560,BN7=5120,BN7=10240,BN7=20480))</formula>
    </cfRule>
    <cfRule type="cellIs" dxfId="16" priority="25" operator="greaterThanOrEqual">
      <formula>40</formula>
    </cfRule>
  </conditionalFormatting>
  <conditionalFormatting sqref="DC7:DC467">
    <cfRule type="cellIs" dxfId="15" priority="21" operator="greaterThanOrEqual">
      <formula>8</formula>
    </cfRule>
    <cfRule type="cellIs" dxfId="14" priority="22" operator="between">
      <formula>4</formula>
      <formula>8</formula>
    </cfRule>
  </conditionalFormatting>
  <conditionalFormatting sqref="BV477:BW484">
    <cfRule type="colorScale" priority="19">
      <colorScale>
        <cfvo type="min"/>
        <cfvo type="max"/>
        <color rgb="FFFCFCFF"/>
        <color rgb="FF0070C0"/>
      </colorScale>
    </cfRule>
  </conditionalFormatting>
  <conditionalFormatting sqref="BV486:BW493">
    <cfRule type="colorScale" priority="20">
      <colorScale>
        <cfvo type="min"/>
        <cfvo type="max"/>
        <color rgb="FFFCFCFF"/>
        <color rgb="FFFFC000"/>
      </colorScale>
    </cfRule>
  </conditionalFormatting>
  <conditionalFormatting sqref="AY477:AZ484">
    <cfRule type="colorScale" priority="17">
      <colorScale>
        <cfvo type="min"/>
        <cfvo type="max"/>
        <color rgb="FFFCFCFF"/>
        <color rgb="FF63BE7B"/>
      </colorScale>
    </cfRule>
  </conditionalFormatting>
  <conditionalFormatting sqref="AY486:AZ493">
    <cfRule type="colorScale" priority="18">
      <colorScale>
        <cfvo type="min"/>
        <cfvo type="max"/>
        <color rgb="FFFCFCFF"/>
        <color rgb="FFFFC000"/>
      </colorScale>
    </cfRule>
  </conditionalFormatting>
  <conditionalFormatting sqref="AW477:AX484">
    <cfRule type="colorScale" priority="15">
      <colorScale>
        <cfvo type="min"/>
        <cfvo type="max"/>
        <color rgb="FFFCFCFF"/>
        <color rgb="FF63BE7B"/>
      </colorScale>
    </cfRule>
  </conditionalFormatting>
  <conditionalFormatting sqref="AW486:AX493">
    <cfRule type="colorScale" priority="16">
      <colorScale>
        <cfvo type="min"/>
        <cfvo type="max"/>
        <color rgb="FFFCFCFF"/>
        <color rgb="FFFFC000"/>
      </colorScale>
    </cfRule>
  </conditionalFormatting>
  <conditionalFormatting sqref="AU477:AV484">
    <cfRule type="colorScale" priority="13">
      <colorScale>
        <cfvo type="min"/>
        <cfvo type="max"/>
        <color rgb="FFFCFCFF"/>
        <color rgb="FF63BE7B"/>
      </colorScale>
    </cfRule>
  </conditionalFormatting>
  <conditionalFormatting sqref="AU486:AV493">
    <cfRule type="colorScale" priority="14">
      <colorScale>
        <cfvo type="min"/>
        <cfvo type="max"/>
        <color rgb="FFFCFCFF"/>
        <color rgb="FFFFC000"/>
      </colorScale>
    </cfRule>
  </conditionalFormatting>
  <conditionalFormatting sqref="AI477:AJ484">
    <cfRule type="colorScale" priority="11">
      <colorScale>
        <cfvo type="min"/>
        <cfvo type="max"/>
        <color rgb="FFFCFCFF"/>
        <color rgb="FF63BE7B"/>
      </colorScale>
    </cfRule>
  </conditionalFormatting>
  <conditionalFormatting sqref="AI486:AJ493">
    <cfRule type="colorScale" priority="12">
      <colorScale>
        <cfvo type="min"/>
        <cfvo type="max"/>
        <color rgb="FFFCFCFF"/>
        <color rgb="FFFFC000"/>
      </colorScale>
    </cfRule>
  </conditionalFormatting>
  <conditionalFormatting sqref="Z477:AA484">
    <cfRule type="colorScale" priority="9">
      <colorScale>
        <cfvo type="min"/>
        <cfvo type="max"/>
        <color rgb="FFFCFCFF"/>
        <color theme="5"/>
      </colorScale>
    </cfRule>
  </conditionalFormatting>
  <conditionalFormatting sqref="Z486:AA493">
    <cfRule type="colorScale" priority="10">
      <colorScale>
        <cfvo type="min"/>
        <cfvo type="max"/>
        <color rgb="FFFCFCFF"/>
        <color rgb="FFFFC000"/>
      </colorScale>
    </cfRule>
  </conditionalFormatting>
  <conditionalFormatting sqref="X477:Y484">
    <cfRule type="colorScale" priority="7">
      <colorScale>
        <cfvo type="min"/>
        <cfvo type="max"/>
        <color rgb="FFFCFCFF"/>
        <color theme="5"/>
      </colorScale>
    </cfRule>
  </conditionalFormatting>
  <conditionalFormatting sqref="X486:Y493">
    <cfRule type="colorScale" priority="8">
      <colorScale>
        <cfvo type="min"/>
        <cfvo type="max"/>
        <color rgb="FFFCFCFF"/>
        <color rgb="FFFFC000"/>
      </colorScale>
    </cfRule>
  </conditionalFormatting>
  <conditionalFormatting sqref="V477:W484">
    <cfRule type="colorScale" priority="5">
      <colorScale>
        <cfvo type="min"/>
        <cfvo type="max"/>
        <color rgb="FFFCFCFF"/>
        <color theme="5"/>
      </colorScale>
    </cfRule>
  </conditionalFormatting>
  <conditionalFormatting sqref="V486:W493">
    <cfRule type="colorScale" priority="6">
      <colorScale>
        <cfvo type="min"/>
        <cfvo type="max"/>
        <color rgb="FFFCFCFF"/>
        <color rgb="FFFFC000"/>
      </colorScale>
    </cfRule>
  </conditionalFormatting>
  <conditionalFormatting sqref="J477:K484">
    <cfRule type="colorScale" priority="3">
      <colorScale>
        <cfvo type="min"/>
        <cfvo type="max"/>
        <color rgb="FFFCFCFF"/>
        <color theme="5"/>
      </colorScale>
    </cfRule>
  </conditionalFormatting>
  <conditionalFormatting sqref="J486:K493">
    <cfRule type="colorScale" priority="4">
      <colorScale>
        <cfvo type="min"/>
        <cfvo type="max"/>
        <color rgb="FFFCFCFF"/>
        <color rgb="FFFFC000"/>
      </colorScale>
    </cfRule>
  </conditionalFormatting>
  <conditionalFormatting sqref="BN477:BO484">
    <cfRule type="colorScale" priority="1">
      <colorScale>
        <cfvo type="min"/>
        <cfvo type="max"/>
        <color rgb="FFFCFCFF"/>
        <color rgb="FF0070C0"/>
      </colorScale>
    </cfRule>
  </conditionalFormatting>
  <conditionalFormatting sqref="BN486:BO493">
    <cfRule type="colorScale" priority="2">
      <colorScale>
        <cfvo type="min"/>
        <cfvo type="max"/>
        <color rgb="FFFCFCFF"/>
        <color rgb="FFFFC000"/>
      </colorScale>
    </cfRule>
  </conditionalFormatting>
  <printOptions horizontalCentered="1" verticalCentered="1"/>
  <pageMargins left="0.45" right="0.45" top="0.7" bottom="0.7" header="0.3" footer="0.3"/>
  <pageSetup scale="43" orientation="landscape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147D-E915-584B-85CF-FB38EDA16D28}">
  <sheetPr>
    <tabColor theme="4" tint="-0.249977111117893"/>
  </sheetPr>
  <dimension ref="A1:AM469"/>
  <sheetViews>
    <sheetView tabSelected="1" zoomScale="60" zoomScaleNormal="60" workbookViewId="0">
      <pane ySplit="5" topLeftCell="A6" activePane="bottomLeft" state="frozen"/>
      <selection pane="bottomLeft" activeCell="J24" sqref="J24"/>
    </sheetView>
  </sheetViews>
  <sheetFormatPr defaultColWidth="10.77734375" defaultRowHeight="24" customHeight="1"/>
  <cols>
    <col min="1" max="2" width="10.77734375" style="7"/>
    <col min="3" max="3" width="17" style="7" customWidth="1"/>
    <col min="4" max="4" width="13.6640625" style="7" customWidth="1"/>
    <col min="5" max="5" width="10.77734375" style="7"/>
    <col min="6" max="6" width="23.6640625" style="7" bestFit="1" customWidth="1"/>
    <col min="7" max="7" width="10.77734375" style="7"/>
    <col min="8" max="8" width="17.77734375" style="7" customWidth="1"/>
    <col min="9" max="9" width="11.6640625" style="7" customWidth="1"/>
    <col min="10" max="23" width="12.109375" style="7" customWidth="1"/>
    <col min="24" max="16384" width="10.77734375" style="7"/>
  </cols>
  <sheetData>
    <row r="1" spans="1:39" ht="70.05" customHeight="1" thickBot="1">
      <c r="A1" s="539" t="s">
        <v>1282</v>
      </c>
      <c r="B1" s="540"/>
      <c r="C1" s="540"/>
      <c r="D1" s="540"/>
      <c r="E1" s="540"/>
      <c r="F1" s="540"/>
      <c r="G1" s="540"/>
      <c r="H1" s="541"/>
      <c r="I1" s="223"/>
      <c r="J1" s="536" t="s">
        <v>1170</v>
      </c>
      <c r="K1" s="537"/>
      <c r="L1" s="537"/>
      <c r="M1" s="537"/>
      <c r="N1" s="537"/>
      <c r="O1" s="537"/>
      <c r="P1" s="537"/>
      <c r="Q1" s="537"/>
      <c r="R1" s="537"/>
      <c r="S1" s="537"/>
      <c r="T1" s="537"/>
      <c r="U1" s="537"/>
      <c r="V1" s="537"/>
      <c r="W1" s="538"/>
      <c r="X1" s="222"/>
      <c r="Y1" s="570" t="s">
        <v>1169</v>
      </c>
      <c r="Z1" s="571"/>
      <c r="AA1" s="571"/>
      <c r="AB1" s="571"/>
      <c r="AC1" s="571"/>
      <c r="AD1" s="571"/>
      <c r="AE1" s="571"/>
      <c r="AF1" s="571"/>
      <c r="AG1" s="571"/>
      <c r="AH1" s="571"/>
      <c r="AI1" s="571"/>
      <c r="AJ1" s="571"/>
      <c r="AK1" s="571"/>
      <c r="AL1" s="572"/>
      <c r="AM1" s="8"/>
    </row>
    <row r="2" spans="1:39" s="6" customFormat="1" ht="52.95" customHeight="1">
      <c r="A2" s="542"/>
      <c r="B2" s="543"/>
      <c r="C2" s="543"/>
      <c r="D2" s="543"/>
      <c r="E2" s="543"/>
      <c r="F2" s="543"/>
      <c r="G2" s="543"/>
      <c r="H2" s="544"/>
      <c r="I2" s="221"/>
      <c r="J2" s="555" t="s">
        <v>1131</v>
      </c>
      <c r="K2" s="556"/>
      <c r="L2" s="556"/>
      <c r="M2" s="557"/>
      <c r="N2" s="535" t="s">
        <v>1132</v>
      </c>
      <c r="O2" s="535"/>
      <c r="P2" s="535"/>
      <c r="Q2" s="558"/>
      <c r="R2" s="534" t="s">
        <v>1133</v>
      </c>
      <c r="S2" s="535"/>
      <c r="T2" s="535"/>
      <c r="U2" s="535"/>
      <c r="V2" s="555" t="s">
        <v>1134</v>
      </c>
      <c r="W2" s="557"/>
      <c r="X2" s="59"/>
      <c r="Y2" s="535" t="s">
        <v>1135</v>
      </c>
      <c r="Z2" s="535"/>
      <c r="AA2" s="535"/>
      <c r="AB2" s="558"/>
      <c r="AC2" s="534" t="s">
        <v>1136</v>
      </c>
      <c r="AD2" s="535"/>
      <c r="AE2" s="535"/>
      <c r="AF2" s="558"/>
      <c r="AG2" s="573" t="s">
        <v>1168</v>
      </c>
      <c r="AH2" s="574"/>
      <c r="AI2" s="574"/>
      <c r="AJ2" s="575"/>
      <c r="AK2" s="534" t="s">
        <v>1137</v>
      </c>
      <c r="AL2" s="558"/>
      <c r="AM2" s="9"/>
    </row>
    <row r="3" spans="1:39" ht="48" customHeight="1">
      <c r="A3" s="220" t="s">
        <v>1167</v>
      </c>
      <c r="B3" s="433" t="s">
        <v>1166</v>
      </c>
      <c r="C3" s="433"/>
      <c r="D3" s="434"/>
      <c r="E3" s="61" t="s">
        <v>1138</v>
      </c>
      <c r="F3" s="219" t="s">
        <v>1139</v>
      </c>
      <c r="G3" s="62" t="s">
        <v>1140</v>
      </c>
      <c r="H3" s="63" t="s">
        <v>1141</v>
      </c>
      <c r="I3" s="64" t="s">
        <v>283</v>
      </c>
      <c r="J3" s="549"/>
      <c r="K3" s="550"/>
      <c r="L3" s="545"/>
      <c r="M3" s="551"/>
      <c r="N3" s="552"/>
      <c r="O3" s="545"/>
      <c r="P3" s="545"/>
      <c r="Q3" s="553"/>
      <c r="R3" s="554"/>
      <c r="S3" s="545"/>
      <c r="T3" s="545"/>
      <c r="U3" s="546"/>
      <c r="V3" s="547"/>
      <c r="W3" s="548"/>
      <c r="X3" s="60"/>
      <c r="Y3" s="569"/>
      <c r="Z3" s="550"/>
      <c r="AA3" s="546"/>
      <c r="AB3" s="568"/>
      <c r="AC3" s="567"/>
      <c r="AD3" s="552"/>
      <c r="AE3" s="546"/>
      <c r="AF3" s="568"/>
      <c r="AG3" s="554"/>
      <c r="AH3" s="545"/>
      <c r="AI3" s="545"/>
      <c r="AJ3" s="553"/>
      <c r="AK3" s="567"/>
      <c r="AL3" s="568"/>
      <c r="AM3" s="9"/>
    </row>
    <row r="4" spans="1:39" ht="24" customHeight="1">
      <c r="A4" s="65" t="s">
        <v>71</v>
      </c>
      <c r="B4" s="66" t="s">
        <v>72</v>
      </c>
      <c r="C4" s="67" t="s">
        <v>8</v>
      </c>
      <c r="D4" s="68" t="s">
        <v>9</v>
      </c>
      <c r="E4" s="69" t="s">
        <v>10</v>
      </c>
      <c r="F4" s="70" t="s">
        <v>11</v>
      </c>
      <c r="G4" s="71" t="s">
        <v>12</v>
      </c>
      <c r="H4" s="218" t="s">
        <v>1165</v>
      </c>
      <c r="I4" s="72" t="s">
        <v>282</v>
      </c>
      <c r="J4" s="561" t="s">
        <v>1142</v>
      </c>
      <c r="K4" s="399"/>
      <c r="L4" s="562" t="s">
        <v>255</v>
      </c>
      <c r="M4" s="563"/>
      <c r="N4" s="564" t="s">
        <v>234</v>
      </c>
      <c r="O4" s="409"/>
      <c r="P4" s="562" t="s">
        <v>256</v>
      </c>
      <c r="Q4" s="565"/>
      <c r="R4" s="398" t="s">
        <v>235</v>
      </c>
      <c r="S4" s="399"/>
      <c r="T4" s="562" t="s">
        <v>14</v>
      </c>
      <c r="U4" s="566"/>
      <c r="V4" s="559" t="s">
        <v>236</v>
      </c>
      <c r="W4" s="560"/>
      <c r="X4" s="60"/>
      <c r="Y4" s="561" t="s">
        <v>1142</v>
      </c>
      <c r="Z4" s="399"/>
      <c r="AA4" s="562" t="s">
        <v>255</v>
      </c>
      <c r="AB4" s="563"/>
      <c r="AC4" s="564" t="s">
        <v>234</v>
      </c>
      <c r="AD4" s="409"/>
      <c r="AE4" s="562" t="s">
        <v>256</v>
      </c>
      <c r="AF4" s="565"/>
      <c r="AG4" s="398" t="s">
        <v>235</v>
      </c>
      <c r="AH4" s="399"/>
      <c r="AI4" s="562" t="s">
        <v>14</v>
      </c>
      <c r="AJ4" s="566"/>
      <c r="AK4" s="559" t="s">
        <v>236</v>
      </c>
      <c r="AL4" s="560"/>
      <c r="AM4" s="9"/>
    </row>
    <row r="5" spans="1:39" s="10" customFormat="1" ht="24" customHeight="1" thickBot="1">
      <c r="A5" s="73" t="s">
        <v>15</v>
      </c>
      <c r="B5" s="74" t="s">
        <v>69</v>
      </c>
      <c r="C5" s="74" t="s">
        <v>16</v>
      </c>
      <c r="D5" s="74" t="s">
        <v>17</v>
      </c>
      <c r="E5" s="74" t="s">
        <v>18</v>
      </c>
      <c r="F5" s="74" t="s">
        <v>19</v>
      </c>
      <c r="G5" s="74" t="s">
        <v>70</v>
      </c>
      <c r="H5" s="74" t="s">
        <v>20</v>
      </c>
      <c r="I5" s="217" t="s">
        <v>109</v>
      </c>
      <c r="J5" s="75" t="s">
        <v>1143</v>
      </c>
      <c r="K5" s="215" t="s">
        <v>1144</v>
      </c>
      <c r="L5" s="216" t="s">
        <v>257</v>
      </c>
      <c r="M5" s="76" t="s">
        <v>258</v>
      </c>
      <c r="N5" s="215" t="s">
        <v>237</v>
      </c>
      <c r="O5" s="215" t="s">
        <v>247</v>
      </c>
      <c r="P5" s="216" t="s">
        <v>259</v>
      </c>
      <c r="Q5" s="77" t="s">
        <v>260</v>
      </c>
      <c r="R5" s="27" t="s">
        <v>238</v>
      </c>
      <c r="S5" s="215" t="s">
        <v>248</v>
      </c>
      <c r="T5" s="216" t="s">
        <v>239</v>
      </c>
      <c r="U5" s="216" t="s">
        <v>249</v>
      </c>
      <c r="V5" s="78" t="s">
        <v>240</v>
      </c>
      <c r="W5" s="76" t="s">
        <v>250</v>
      </c>
      <c r="X5" s="79" t="s">
        <v>241</v>
      </c>
      <c r="Y5" s="215" t="s">
        <v>1145</v>
      </c>
      <c r="Z5" s="215" t="s">
        <v>1146</v>
      </c>
      <c r="AA5" s="214" t="s">
        <v>261</v>
      </c>
      <c r="AB5" s="80" t="s">
        <v>262</v>
      </c>
      <c r="AC5" s="27" t="s">
        <v>242</v>
      </c>
      <c r="AD5" s="215" t="s">
        <v>251</v>
      </c>
      <c r="AE5" s="214" t="s">
        <v>263</v>
      </c>
      <c r="AF5" s="80" t="s">
        <v>264</v>
      </c>
      <c r="AG5" s="27" t="s">
        <v>243</v>
      </c>
      <c r="AH5" s="215" t="s">
        <v>252</v>
      </c>
      <c r="AI5" s="214" t="s">
        <v>244</v>
      </c>
      <c r="AJ5" s="80" t="s">
        <v>253</v>
      </c>
      <c r="AK5" s="81" t="s">
        <v>245</v>
      </c>
      <c r="AL5" s="80" t="s">
        <v>254</v>
      </c>
      <c r="AM5" s="28" t="s">
        <v>246</v>
      </c>
    </row>
    <row r="6" spans="1:39" s="10" customFormat="1" ht="24" customHeight="1">
      <c r="A6" s="199">
        <v>1</v>
      </c>
      <c r="B6" s="190">
        <v>32100</v>
      </c>
      <c r="C6" s="190">
        <v>43752</v>
      </c>
      <c r="D6" s="189">
        <v>31</v>
      </c>
      <c r="E6" s="3" t="s">
        <v>61</v>
      </c>
      <c r="F6" s="143" t="s">
        <v>116</v>
      </c>
      <c r="G6" s="142">
        <v>38.1253024802282</v>
      </c>
      <c r="H6" s="11" t="s">
        <v>59</v>
      </c>
      <c r="I6" s="82" t="s">
        <v>60</v>
      </c>
      <c r="J6" s="213">
        <v>47903</v>
      </c>
      <c r="K6" s="212">
        <v>112819</v>
      </c>
      <c r="L6" s="213">
        <v>134865</v>
      </c>
      <c r="M6" s="212">
        <v>174228</v>
      </c>
      <c r="N6" s="213">
        <v>102316</v>
      </c>
      <c r="O6" s="212">
        <v>353443</v>
      </c>
      <c r="P6" s="213">
        <v>82814</v>
      </c>
      <c r="Q6" s="212">
        <v>141546</v>
      </c>
      <c r="R6" s="213">
        <v>202156</v>
      </c>
      <c r="S6" s="212">
        <v>842106</v>
      </c>
      <c r="T6" s="213">
        <v>52529</v>
      </c>
      <c r="U6" s="212">
        <v>151151</v>
      </c>
      <c r="V6" s="213">
        <v>123024</v>
      </c>
      <c r="W6" s="212">
        <v>267464</v>
      </c>
      <c r="X6" s="198">
        <v>1</v>
      </c>
      <c r="Y6" s="213">
        <v>1122</v>
      </c>
      <c r="Z6" s="212">
        <v>2446</v>
      </c>
      <c r="AA6" s="213">
        <v>3847</v>
      </c>
      <c r="AB6" s="212">
        <v>8183</v>
      </c>
      <c r="AC6" s="213">
        <v>2387</v>
      </c>
      <c r="AD6" s="212">
        <v>2533</v>
      </c>
      <c r="AE6" s="213"/>
      <c r="AF6" s="212"/>
      <c r="AG6" s="213">
        <v>10576</v>
      </c>
      <c r="AH6" s="212">
        <v>22968</v>
      </c>
      <c r="AI6" s="213"/>
      <c r="AJ6" s="212"/>
      <c r="AK6" s="213">
        <v>4609</v>
      </c>
      <c r="AL6" s="212">
        <v>7451</v>
      </c>
      <c r="AM6" s="197">
        <v>1</v>
      </c>
    </row>
    <row r="7" spans="1:39" s="10" customFormat="1" ht="24" customHeight="1">
      <c r="A7" s="201">
        <v>5</v>
      </c>
      <c r="B7" s="183">
        <v>33566</v>
      </c>
      <c r="C7" s="183">
        <v>43775</v>
      </c>
      <c r="D7" s="182">
        <v>27</v>
      </c>
      <c r="E7" s="3" t="s">
        <v>61</v>
      </c>
      <c r="F7" s="143" t="s">
        <v>116</v>
      </c>
      <c r="G7" s="142">
        <v>28.214998286946535</v>
      </c>
      <c r="H7" s="11" t="s">
        <v>59</v>
      </c>
      <c r="I7" s="82" t="s">
        <v>60</v>
      </c>
      <c r="J7" s="147">
        <v>10911</v>
      </c>
      <c r="K7" s="146">
        <v>26166</v>
      </c>
      <c r="L7" s="147">
        <v>23660</v>
      </c>
      <c r="M7" s="146">
        <v>52200</v>
      </c>
      <c r="N7" s="147">
        <v>151154</v>
      </c>
      <c r="O7" s="146">
        <v>165963</v>
      </c>
      <c r="P7" s="147">
        <v>18281</v>
      </c>
      <c r="Q7" s="146">
        <v>54327</v>
      </c>
      <c r="R7" s="147">
        <v>53993</v>
      </c>
      <c r="S7" s="146">
        <v>71446</v>
      </c>
      <c r="T7" s="147">
        <v>37179</v>
      </c>
      <c r="U7" s="146">
        <v>58687</v>
      </c>
      <c r="V7" s="147">
        <v>66989</v>
      </c>
      <c r="W7" s="146">
        <v>67152</v>
      </c>
      <c r="X7" s="32">
        <v>5</v>
      </c>
      <c r="Y7" s="147">
        <v>325.3</v>
      </c>
      <c r="Z7" s="146">
        <v>411.6</v>
      </c>
      <c r="AA7" s="147">
        <v>817.9</v>
      </c>
      <c r="AB7" s="146">
        <v>1323</v>
      </c>
      <c r="AC7" s="147">
        <v>187.9</v>
      </c>
      <c r="AD7" s="146">
        <v>339.6</v>
      </c>
      <c r="AE7" s="147"/>
      <c r="AF7" s="146"/>
      <c r="AG7" s="147">
        <v>783.5</v>
      </c>
      <c r="AH7" s="146">
        <v>957.2</v>
      </c>
      <c r="AI7" s="147"/>
      <c r="AJ7" s="146"/>
      <c r="AK7" s="147">
        <v>453.3</v>
      </c>
      <c r="AL7" s="146">
        <v>644</v>
      </c>
      <c r="AM7" s="200">
        <v>5</v>
      </c>
    </row>
    <row r="8" spans="1:39" s="10" customFormat="1" ht="24" customHeight="1">
      <c r="A8" s="199">
        <v>8</v>
      </c>
      <c r="B8" s="190">
        <v>25772</v>
      </c>
      <c r="C8" s="190">
        <v>43741</v>
      </c>
      <c r="D8" s="189">
        <v>49</v>
      </c>
      <c r="E8" s="3" t="s">
        <v>61</v>
      </c>
      <c r="F8" s="143" t="s">
        <v>117</v>
      </c>
      <c r="G8" s="142">
        <v>39.682273349620118</v>
      </c>
      <c r="H8" s="11" t="s">
        <v>59</v>
      </c>
      <c r="I8" s="82" t="s">
        <v>60</v>
      </c>
      <c r="J8" s="147">
        <v>82907</v>
      </c>
      <c r="K8" s="146">
        <v>168675</v>
      </c>
      <c r="L8" s="147">
        <v>89574</v>
      </c>
      <c r="M8" s="146">
        <v>175183</v>
      </c>
      <c r="N8" s="147">
        <v>171102</v>
      </c>
      <c r="O8" s="146">
        <v>244174</v>
      </c>
      <c r="P8" s="147">
        <v>70409</v>
      </c>
      <c r="Q8" s="146">
        <v>111807</v>
      </c>
      <c r="R8" s="147">
        <v>223507</v>
      </c>
      <c r="S8" s="146">
        <v>375728</v>
      </c>
      <c r="T8" s="147">
        <v>243969</v>
      </c>
      <c r="U8" s="146">
        <v>431672</v>
      </c>
      <c r="V8" s="147">
        <v>142588</v>
      </c>
      <c r="W8" s="146">
        <v>207848</v>
      </c>
      <c r="X8" s="198">
        <v>8</v>
      </c>
      <c r="Y8" s="147">
        <v>24391</v>
      </c>
      <c r="Z8" s="146">
        <v>95673</v>
      </c>
      <c r="AA8" s="147">
        <v>48513</v>
      </c>
      <c r="AB8" s="146"/>
      <c r="AC8" s="147">
        <v>13763</v>
      </c>
      <c r="AD8" s="146">
        <v>20148</v>
      </c>
      <c r="AE8" s="147"/>
      <c r="AF8" s="146"/>
      <c r="AG8" s="147">
        <v>63378</v>
      </c>
      <c r="AH8" s="146">
        <v>108788</v>
      </c>
      <c r="AI8" s="147"/>
      <c r="AJ8" s="146"/>
      <c r="AK8" s="147">
        <v>50541</v>
      </c>
      <c r="AL8" s="146">
        <v>116622</v>
      </c>
      <c r="AM8" s="197">
        <v>8</v>
      </c>
    </row>
    <row r="9" spans="1:39" s="10" customFormat="1" ht="24" customHeight="1">
      <c r="A9" s="201">
        <v>11</v>
      </c>
      <c r="B9" s="183">
        <v>33298</v>
      </c>
      <c r="C9" s="183">
        <v>43844</v>
      </c>
      <c r="D9" s="182">
        <v>28</v>
      </c>
      <c r="E9" s="3" t="s">
        <v>61</v>
      </c>
      <c r="F9" s="143" t="s">
        <v>116</v>
      </c>
      <c r="G9" s="142">
        <v>38.933871319665606</v>
      </c>
      <c r="H9" s="11" t="s">
        <v>59</v>
      </c>
      <c r="I9" s="82" t="s">
        <v>60</v>
      </c>
      <c r="J9" s="147"/>
      <c r="K9" s="146"/>
      <c r="L9" s="147">
        <v>236108</v>
      </c>
      <c r="M9" s="146">
        <v>209594</v>
      </c>
      <c r="N9" s="147"/>
      <c r="O9" s="146"/>
      <c r="P9" s="147">
        <v>71129</v>
      </c>
      <c r="Q9" s="146">
        <v>72212</v>
      </c>
      <c r="R9" s="147">
        <v>138951</v>
      </c>
      <c r="S9" s="146">
        <v>198788</v>
      </c>
      <c r="T9" s="147">
        <v>315076</v>
      </c>
      <c r="U9" s="146">
        <v>391040</v>
      </c>
      <c r="V9" s="147">
        <v>324917</v>
      </c>
      <c r="W9" s="146">
        <v>172661</v>
      </c>
      <c r="X9" s="32">
        <v>11</v>
      </c>
      <c r="Y9" s="147"/>
      <c r="Z9" s="146"/>
      <c r="AA9" s="147">
        <v>6233</v>
      </c>
      <c r="AB9" s="146">
        <v>4629</v>
      </c>
      <c r="AC9" s="147"/>
      <c r="AD9" s="146"/>
      <c r="AE9" s="147">
        <v>1802</v>
      </c>
      <c r="AF9" s="146">
        <v>1768</v>
      </c>
      <c r="AG9" s="147"/>
      <c r="AH9" s="146"/>
      <c r="AI9" s="147"/>
      <c r="AJ9" s="146"/>
      <c r="AK9" s="147"/>
      <c r="AL9" s="146"/>
      <c r="AM9" s="200">
        <v>11</v>
      </c>
    </row>
    <row r="10" spans="1:39" s="10" customFormat="1" ht="24" customHeight="1">
      <c r="A10" s="196">
        <v>14</v>
      </c>
      <c r="B10" s="180">
        <v>20114</v>
      </c>
      <c r="C10" s="180">
        <v>43749</v>
      </c>
      <c r="D10" s="179">
        <v>64</v>
      </c>
      <c r="E10" s="3" t="s">
        <v>61</v>
      </c>
      <c r="F10" s="143" t="s">
        <v>116</v>
      </c>
      <c r="G10" s="142">
        <v>26.613655726398633</v>
      </c>
      <c r="H10" s="11" t="s">
        <v>59</v>
      </c>
      <c r="I10" s="82" t="s">
        <v>60</v>
      </c>
      <c r="J10" s="147">
        <v>36686</v>
      </c>
      <c r="K10" s="146">
        <v>44450</v>
      </c>
      <c r="L10" s="147">
        <v>109109</v>
      </c>
      <c r="M10" s="146">
        <v>54491</v>
      </c>
      <c r="N10" s="147">
        <v>56891</v>
      </c>
      <c r="O10" s="146">
        <v>94341</v>
      </c>
      <c r="P10" s="147">
        <v>24491</v>
      </c>
      <c r="Q10" s="146">
        <v>20831</v>
      </c>
      <c r="R10" s="147">
        <v>109267</v>
      </c>
      <c r="S10" s="146">
        <v>140097</v>
      </c>
      <c r="T10" s="147">
        <v>47752</v>
      </c>
      <c r="U10" s="146">
        <v>36078</v>
      </c>
      <c r="V10" s="147">
        <v>64928</v>
      </c>
      <c r="W10" s="146">
        <v>69302</v>
      </c>
      <c r="X10" s="195">
        <v>14</v>
      </c>
      <c r="Y10" s="147">
        <v>6420</v>
      </c>
      <c r="Z10" s="146">
        <v>6046</v>
      </c>
      <c r="AA10" s="147">
        <v>11590</v>
      </c>
      <c r="AB10" s="146">
        <v>8641</v>
      </c>
      <c r="AC10" s="147">
        <v>6255</v>
      </c>
      <c r="AD10" s="146">
        <v>9146</v>
      </c>
      <c r="AE10" s="147"/>
      <c r="AF10" s="146"/>
      <c r="AG10" s="147">
        <v>6506</v>
      </c>
      <c r="AH10" s="146">
        <v>6591</v>
      </c>
      <c r="AI10" s="147"/>
      <c r="AJ10" s="146"/>
      <c r="AK10" s="147">
        <v>829.9</v>
      </c>
      <c r="AL10" s="146">
        <v>819.6</v>
      </c>
      <c r="AM10" s="194">
        <v>14</v>
      </c>
    </row>
    <row r="11" spans="1:39" s="10" customFormat="1" ht="24" customHeight="1">
      <c r="A11" s="199">
        <v>16</v>
      </c>
      <c r="B11" s="190">
        <v>28741</v>
      </c>
      <c r="C11" s="190">
        <v>43766</v>
      </c>
      <c r="D11" s="189">
        <v>41</v>
      </c>
      <c r="E11" s="3" t="s">
        <v>61</v>
      </c>
      <c r="F11" s="143" t="s">
        <v>118</v>
      </c>
      <c r="G11" s="142">
        <v>28.440954975164232</v>
      </c>
      <c r="H11" s="11" t="s">
        <v>59</v>
      </c>
      <c r="I11" s="82" t="s">
        <v>60</v>
      </c>
      <c r="J11" s="147">
        <v>26297</v>
      </c>
      <c r="K11" s="146">
        <v>68943</v>
      </c>
      <c r="L11" s="147">
        <v>97275</v>
      </c>
      <c r="M11" s="146">
        <v>86703</v>
      </c>
      <c r="N11" s="147">
        <v>59775</v>
      </c>
      <c r="O11" s="146">
        <v>157787</v>
      </c>
      <c r="P11" s="147">
        <v>85908</v>
      </c>
      <c r="Q11" s="146">
        <v>112262</v>
      </c>
      <c r="R11" s="147">
        <v>101271</v>
      </c>
      <c r="S11" s="146">
        <v>204068</v>
      </c>
      <c r="T11" s="147">
        <v>306891</v>
      </c>
      <c r="U11" s="146">
        <v>271150</v>
      </c>
      <c r="V11" s="147">
        <v>89040</v>
      </c>
      <c r="W11" s="146">
        <v>106583</v>
      </c>
      <c r="X11" s="198">
        <v>16</v>
      </c>
      <c r="Y11" s="147">
        <v>806.4</v>
      </c>
      <c r="Z11" s="146">
        <v>1326</v>
      </c>
      <c r="AA11" s="147">
        <v>1331</v>
      </c>
      <c r="AB11" s="146">
        <v>1644</v>
      </c>
      <c r="AC11" s="147">
        <v>2405</v>
      </c>
      <c r="AD11" s="146">
        <v>7314</v>
      </c>
      <c r="AE11" s="147"/>
      <c r="AF11" s="146"/>
      <c r="AG11" s="147">
        <v>5614</v>
      </c>
      <c r="AH11" s="146">
        <v>5925</v>
      </c>
      <c r="AI11" s="147"/>
      <c r="AJ11" s="146"/>
      <c r="AK11" s="147">
        <v>1796</v>
      </c>
      <c r="AL11" s="146">
        <v>1832</v>
      </c>
      <c r="AM11" s="197">
        <v>16</v>
      </c>
    </row>
    <row r="12" spans="1:39" s="10" customFormat="1" ht="24" customHeight="1">
      <c r="A12" s="196">
        <v>17</v>
      </c>
      <c r="B12" s="180">
        <v>23833</v>
      </c>
      <c r="C12" s="180">
        <v>43742</v>
      </c>
      <c r="D12" s="179">
        <v>54</v>
      </c>
      <c r="E12" s="4" t="s">
        <v>58</v>
      </c>
      <c r="F12" s="143" t="s">
        <v>116</v>
      </c>
      <c r="G12" s="142">
        <v>33.61586226223077</v>
      </c>
      <c r="H12" s="11" t="s">
        <v>59</v>
      </c>
      <c r="I12" s="82" t="s">
        <v>60</v>
      </c>
      <c r="J12" s="147">
        <v>20660</v>
      </c>
      <c r="K12" s="146">
        <v>25822</v>
      </c>
      <c r="L12" s="147">
        <v>29244</v>
      </c>
      <c r="M12" s="146">
        <v>21292</v>
      </c>
      <c r="N12" s="147">
        <v>138932</v>
      </c>
      <c r="O12" s="146">
        <v>136405</v>
      </c>
      <c r="P12" s="147">
        <v>76718</v>
      </c>
      <c r="Q12" s="146">
        <v>51714</v>
      </c>
      <c r="R12" s="147">
        <v>129602</v>
      </c>
      <c r="S12" s="146">
        <v>165387</v>
      </c>
      <c r="T12" s="147">
        <v>103139</v>
      </c>
      <c r="U12" s="146">
        <v>99658</v>
      </c>
      <c r="V12" s="147">
        <v>64953</v>
      </c>
      <c r="W12" s="146">
        <v>68389</v>
      </c>
      <c r="X12" s="195">
        <v>17</v>
      </c>
      <c r="Y12" s="147">
        <v>2825</v>
      </c>
      <c r="Z12" s="146">
        <v>2656</v>
      </c>
      <c r="AA12" s="147">
        <v>2739</v>
      </c>
      <c r="AB12" s="146">
        <v>4513</v>
      </c>
      <c r="AC12" s="147">
        <v>4309</v>
      </c>
      <c r="AD12" s="146">
        <v>4193</v>
      </c>
      <c r="AE12" s="147"/>
      <c r="AF12" s="146"/>
      <c r="AG12" s="147">
        <v>27216</v>
      </c>
      <c r="AH12" s="146">
        <v>30331</v>
      </c>
      <c r="AI12" s="147"/>
      <c r="AJ12" s="146"/>
      <c r="AK12" s="147">
        <v>10062</v>
      </c>
      <c r="AL12" s="146">
        <v>9492</v>
      </c>
      <c r="AM12" s="194">
        <v>17</v>
      </c>
    </row>
    <row r="13" spans="1:39" s="10" customFormat="1" ht="24" customHeight="1">
      <c r="A13" s="199">
        <v>22</v>
      </c>
      <c r="B13" s="190">
        <v>28132</v>
      </c>
      <c r="C13" s="190">
        <v>43768</v>
      </c>
      <c r="D13" s="189">
        <v>42</v>
      </c>
      <c r="E13" s="4" t="s">
        <v>58</v>
      </c>
      <c r="F13" s="143" t="s">
        <v>116</v>
      </c>
      <c r="G13" s="142">
        <v>45.048188620592548</v>
      </c>
      <c r="H13" s="11" t="s">
        <v>59</v>
      </c>
      <c r="I13" s="82" t="s">
        <v>60</v>
      </c>
      <c r="J13" s="147">
        <v>76938</v>
      </c>
      <c r="K13" s="146">
        <v>93964</v>
      </c>
      <c r="L13" s="147">
        <v>98720</v>
      </c>
      <c r="M13" s="146">
        <v>192516</v>
      </c>
      <c r="N13" s="147">
        <v>127420</v>
      </c>
      <c r="O13" s="146">
        <v>127884</v>
      </c>
      <c r="P13" s="147">
        <v>131167</v>
      </c>
      <c r="Q13" s="146">
        <v>231102</v>
      </c>
      <c r="R13" s="147">
        <v>158010</v>
      </c>
      <c r="S13" s="146">
        <v>205651</v>
      </c>
      <c r="T13" s="147">
        <v>233638</v>
      </c>
      <c r="U13" s="146">
        <v>428363</v>
      </c>
      <c r="V13" s="147">
        <v>119102</v>
      </c>
      <c r="W13" s="146">
        <v>169616</v>
      </c>
      <c r="X13" s="198">
        <v>22</v>
      </c>
      <c r="Y13" s="147">
        <v>938.7</v>
      </c>
      <c r="Z13" s="146">
        <v>1342</v>
      </c>
      <c r="AA13" s="147">
        <v>9821</v>
      </c>
      <c r="AB13" s="146">
        <v>10671</v>
      </c>
      <c r="AC13" s="147">
        <v>12451</v>
      </c>
      <c r="AD13" s="146">
        <v>8806</v>
      </c>
      <c r="AE13" s="147"/>
      <c r="AF13" s="146"/>
      <c r="AG13" s="147">
        <v>4408</v>
      </c>
      <c r="AH13" s="146">
        <v>2706</v>
      </c>
      <c r="AI13" s="147"/>
      <c r="AJ13" s="146"/>
      <c r="AK13" s="147">
        <v>7532</v>
      </c>
      <c r="AL13" s="146">
        <v>7136</v>
      </c>
      <c r="AM13" s="197">
        <v>22</v>
      </c>
    </row>
    <row r="14" spans="1:39" s="10" customFormat="1" ht="24" customHeight="1">
      <c r="A14" s="201">
        <v>29</v>
      </c>
      <c r="B14" s="183">
        <v>33948</v>
      </c>
      <c r="C14" s="183">
        <v>43788</v>
      </c>
      <c r="D14" s="182">
        <v>26</v>
      </c>
      <c r="E14" s="3" t="s">
        <v>61</v>
      </c>
      <c r="F14" s="143" t="s">
        <v>116</v>
      </c>
      <c r="G14" s="142">
        <v>26.1207623006962</v>
      </c>
      <c r="H14" s="11" t="s">
        <v>59</v>
      </c>
      <c r="I14" s="82" t="s">
        <v>60</v>
      </c>
      <c r="J14" s="147">
        <v>89532</v>
      </c>
      <c r="K14" s="146">
        <v>102136</v>
      </c>
      <c r="L14" s="147">
        <v>80425</v>
      </c>
      <c r="M14" s="146">
        <v>171442</v>
      </c>
      <c r="N14" s="147">
        <v>85177</v>
      </c>
      <c r="O14" s="146">
        <v>96257</v>
      </c>
      <c r="P14" s="147">
        <v>60637</v>
      </c>
      <c r="Q14" s="146">
        <v>77335</v>
      </c>
      <c r="R14" s="147">
        <v>282907</v>
      </c>
      <c r="S14" s="146">
        <v>322418</v>
      </c>
      <c r="T14" s="147">
        <v>471595</v>
      </c>
      <c r="U14" s="146">
        <v>551920</v>
      </c>
      <c r="V14" s="147">
        <v>333008</v>
      </c>
      <c r="W14" s="146">
        <v>264954</v>
      </c>
      <c r="X14" s="32">
        <v>29</v>
      </c>
      <c r="Y14" s="147">
        <v>2721</v>
      </c>
      <c r="Z14" s="146">
        <v>3736</v>
      </c>
      <c r="AA14" s="147">
        <v>3104</v>
      </c>
      <c r="AB14" s="146">
        <v>4375</v>
      </c>
      <c r="AC14" s="147">
        <v>38632</v>
      </c>
      <c r="AD14" s="146">
        <v>28850</v>
      </c>
      <c r="AE14" s="147"/>
      <c r="AF14" s="146"/>
      <c r="AG14" s="147">
        <v>13166</v>
      </c>
      <c r="AH14" s="146">
        <v>13940</v>
      </c>
      <c r="AI14" s="147"/>
      <c r="AJ14" s="146"/>
      <c r="AK14" s="147">
        <v>8782</v>
      </c>
      <c r="AL14" s="146">
        <v>5879</v>
      </c>
      <c r="AM14" s="200">
        <v>29</v>
      </c>
    </row>
    <row r="15" spans="1:39" s="10" customFormat="1" ht="24" customHeight="1">
      <c r="A15" s="199">
        <v>30</v>
      </c>
      <c r="B15" s="190">
        <v>31782</v>
      </c>
      <c r="C15" s="190">
        <v>43853</v>
      </c>
      <c r="D15" s="189">
        <v>33</v>
      </c>
      <c r="E15" s="4" t="s">
        <v>58</v>
      </c>
      <c r="F15" s="143" t="s">
        <v>118</v>
      </c>
      <c r="G15" s="142">
        <v>26.687805522526091</v>
      </c>
      <c r="H15" s="11" t="s">
        <v>59</v>
      </c>
      <c r="I15" s="82" t="s">
        <v>60</v>
      </c>
      <c r="J15" s="147"/>
      <c r="K15" s="146"/>
      <c r="L15" s="147">
        <v>191113</v>
      </c>
      <c r="M15" s="146">
        <v>203266</v>
      </c>
      <c r="N15" s="147"/>
      <c r="O15" s="146"/>
      <c r="P15" s="147">
        <v>184487</v>
      </c>
      <c r="Q15" s="146">
        <v>200233</v>
      </c>
      <c r="R15" s="147">
        <v>115004</v>
      </c>
      <c r="S15" s="146">
        <v>135569</v>
      </c>
      <c r="T15" s="147">
        <v>180222</v>
      </c>
      <c r="U15" s="146">
        <v>302263</v>
      </c>
      <c r="V15" s="147">
        <v>95428</v>
      </c>
      <c r="W15" s="146">
        <v>77104</v>
      </c>
      <c r="X15" s="198">
        <v>30</v>
      </c>
      <c r="Y15" s="147"/>
      <c r="Z15" s="146"/>
      <c r="AA15" s="147">
        <v>2168</v>
      </c>
      <c r="AB15" s="146">
        <v>2317</v>
      </c>
      <c r="AC15" s="147"/>
      <c r="AD15" s="146"/>
      <c r="AE15" s="147">
        <v>1689</v>
      </c>
      <c r="AF15" s="146">
        <v>2437</v>
      </c>
      <c r="AG15" s="147"/>
      <c r="AH15" s="146"/>
      <c r="AI15" s="147"/>
      <c r="AJ15" s="146"/>
      <c r="AK15" s="147"/>
      <c r="AL15" s="146"/>
      <c r="AM15" s="197">
        <v>30</v>
      </c>
    </row>
    <row r="16" spans="1:39" s="10" customFormat="1" ht="24" customHeight="1">
      <c r="A16" s="201">
        <v>34</v>
      </c>
      <c r="B16" s="183">
        <v>33042</v>
      </c>
      <c r="C16" s="183">
        <v>43788</v>
      </c>
      <c r="D16" s="182">
        <v>29</v>
      </c>
      <c r="E16" s="3" t="s">
        <v>61</v>
      </c>
      <c r="F16" s="143" t="s">
        <v>116</v>
      </c>
      <c r="G16" s="142">
        <v>27.109248242293134</v>
      </c>
      <c r="H16" s="11" t="s">
        <v>59</v>
      </c>
      <c r="I16" s="82" t="s">
        <v>60</v>
      </c>
      <c r="J16" s="147">
        <v>98532</v>
      </c>
      <c r="K16" s="146">
        <v>149536</v>
      </c>
      <c r="L16" s="147">
        <v>280809</v>
      </c>
      <c r="M16" s="146">
        <v>274406</v>
      </c>
      <c r="N16" s="147">
        <v>251175</v>
      </c>
      <c r="O16" s="146">
        <v>361611</v>
      </c>
      <c r="P16" s="147">
        <v>175030</v>
      </c>
      <c r="Q16" s="146">
        <v>173755</v>
      </c>
      <c r="R16" s="147">
        <v>450816</v>
      </c>
      <c r="S16" s="146">
        <v>578271</v>
      </c>
      <c r="T16" s="147">
        <v>369999</v>
      </c>
      <c r="U16" s="146">
        <v>383397</v>
      </c>
      <c r="V16" s="147">
        <v>700929</v>
      </c>
      <c r="W16" s="146">
        <v>589005</v>
      </c>
      <c r="X16" s="32">
        <v>34</v>
      </c>
      <c r="Y16" s="147">
        <v>4810</v>
      </c>
      <c r="Z16" s="146">
        <v>13237</v>
      </c>
      <c r="AA16" s="147">
        <v>2832</v>
      </c>
      <c r="AB16" s="146">
        <v>6875</v>
      </c>
      <c r="AC16" s="147">
        <v>202761</v>
      </c>
      <c r="AD16" s="146">
        <v>41927</v>
      </c>
      <c r="AE16" s="147"/>
      <c r="AF16" s="146"/>
      <c r="AG16" s="147">
        <v>32899</v>
      </c>
      <c r="AH16" s="146">
        <v>32165</v>
      </c>
      <c r="AI16" s="147"/>
      <c r="AJ16" s="146"/>
      <c r="AK16" s="147">
        <v>144979</v>
      </c>
      <c r="AL16" s="146">
        <v>79907</v>
      </c>
      <c r="AM16" s="200">
        <v>34</v>
      </c>
    </row>
    <row r="17" spans="1:39" s="10" customFormat="1" ht="24" customHeight="1">
      <c r="A17" s="196">
        <v>37</v>
      </c>
      <c r="B17" s="180">
        <v>21742</v>
      </c>
      <c r="C17" s="180">
        <v>43740</v>
      </c>
      <c r="D17" s="179">
        <v>60</v>
      </c>
      <c r="E17" s="3" t="s">
        <v>61</v>
      </c>
      <c r="F17" s="143" t="s">
        <v>116</v>
      </c>
      <c r="G17" s="142">
        <v>29.273183235230636</v>
      </c>
      <c r="H17" s="11" t="s">
        <v>59</v>
      </c>
      <c r="I17" s="82" t="s">
        <v>60</v>
      </c>
      <c r="J17" s="147">
        <v>46622</v>
      </c>
      <c r="K17" s="146">
        <v>155198</v>
      </c>
      <c r="L17" s="147">
        <v>35136</v>
      </c>
      <c r="M17" s="146">
        <v>90984</v>
      </c>
      <c r="N17" s="147">
        <v>106691</v>
      </c>
      <c r="O17" s="146">
        <v>689015</v>
      </c>
      <c r="P17" s="147">
        <v>23174</v>
      </c>
      <c r="Q17" s="146">
        <v>223911</v>
      </c>
      <c r="R17" s="147">
        <v>190766</v>
      </c>
      <c r="S17" s="146">
        <v>314822</v>
      </c>
      <c r="T17" s="147">
        <v>148438</v>
      </c>
      <c r="U17" s="146">
        <v>181697</v>
      </c>
      <c r="V17" s="147">
        <v>130350</v>
      </c>
      <c r="W17" s="146">
        <v>197143</v>
      </c>
      <c r="X17" s="195">
        <v>37</v>
      </c>
      <c r="Y17" s="147">
        <v>15942</v>
      </c>
      <c r="Z17" s="146">
        <v>19756</v>
      </c>
      <c r="AA17" s="147">
        <v>11869</v>
      </c>
      <c r="AB17" s="146">
        <v>16022</v>
      </c>
      <c r="AC17" s="147">
        <v>8979</v>
      </c>
      <c r="AD17" s="146">
        <v>5452</v>
      </c>
      <c r="AE17" s="147"/>
      <c r="AF17" s="146"/>
      <c r="AG17" s="147">
        <v>16928</v>
      </c>
      <c r="AH17" s="146">
        <v>16782</v>
      </c>
      <c r="AI17" s="147"/>
      <c r="AJ17" s="146"/>
      <c r="AK17" s="147">
        <v>19170</v>
      </c>
      <c r="AL17" s="146">
        <v>7316</v>
      </c>
      <c r="AM17" s="194">
        <v>37</v>
      </c>
    </row>
    <row r="18" spans="1:39" s="10" customFormat="1" ht="24" customHeight="1">
      <c r="A18" s="199">
        <v>38</v>
      </c>
      <c r="B18" s="190">
        <v>26961</v>
      </c>
      <c r="C18" s="190">
        <v>43769</v>
      </c>
      <c r="D18" s="189">
        <v>46</v>
      </c>
      <c r="E18" s="4" t="s">
        <v>58</v>
      </c>
      <c r="F18" s="143" t="s">
        <v>116</v>
      </c>
      <c r="G18" s="142">
        <v>30.643538270697825</v>
      </c>
      <c r="H18" s="11" t="s">
        <v>59</v>
      </c>
      <c r="I18" s="82" t="s">
        <v>60</v>
      </c>
      <c r="J18" s="147">
        <v>83057</v>
      </c>
      <c r="K18" s="146">
        <v>169028</v>
      </c>
      <c r="L18" s="147">
        <v>121912</v>
      </c>
      <c r="M18" s="146">
        <v>207805</v>
      </c>
      <c r="N18" s="147">
        <v>240281</v>
      </c>
      <c r="O18" s="146">
        <v>477214</v>
      </c>
      <c r="P18" s="147">
        <v>186039</v>
      </c>
      <c r="Q18" s="146">
        <v>356696</v>
      </c>
      <c r="R18" s="147">
        <v>464297</v>
      </c>
      <c r="S18" s="146">
        <v>526321</v>
      </c>
      <c r="T18" s="147">
        <v>638655</v>
      </c>
      <c r="U18" s="146">
        <v>531381</v>
      </c>
      <c r="V18" s="147">
        <v>267978</v>
      </c>
      <c r="W18" s="146">
        <v>241698</v>
      </c>
      <c r="X18" s="198">
        <v>38</v>
      </c>
      <c r="Y18" s="147">
        <v>1585</v>
      </c>
      <c r="Z18" s="146">
        <v>1903</v>
      </c>
      <c r="AA18" s="147">
        <v>4183</v>
      </c>
      <c r="AB18" s="146">
        <v>7151</v>
      </c>
      <c r="AC18" s="147">
        <v>16806</v>
      </c>
      <c r="AD18" s="146">
        <v>12953</v>
      </c>
      <c r="AE18" s="147"/>
      <c r="AF18" s="146"/>
      <c r="AG18" s="147">
        <v>12937</v>
      </c>
      <c r="AH18" s="146">
        <v>16882</v>
      </c>
      <c r="AI18" s="147"/>
      <c r="AJ18" s="146"/>
      <c r="AK18" s="147">
        <v>4682</v>
      </c>
      <c r="AL18" s="146">
        <v>5657</v>
      </c>
      <c r="AM18" s="197">
        <v>38</v>
      </c>
    </row>
    <row r="19" spans="1:39" s="10" customFormat="1" ht="24" customHeight="1">
      <c r="A19" s="201">
        <v>39</v>
      </c>
      <c r="B19" s="183">
        <v>34635</v>
      </c>
      <c r="C19" s="183">
        <v>43803</v>
      </c>
      <c r="D19" s="182">
        <v>25</v>
      </c>
      <c r="E19" s="3" t="s">
        <v>61</v>
      </c>
      <c r="F19" s="143" t="s">
        <v>116</v>
      </c>
      <c r="G19" s="142">
        <v>23.454815812361474</v>
      </c>
      <c r="H19" s="11" t="s">
        <v>59</v>
      </c>
      <c r="I19" s="82" t="s">
        <v>60</v>
      </c>
      <c r="J19" s="147">
        <v>108122</v>
      </c>
      <c r="K19" s="146">
        <v>114986</v>
      </c>
      <c r="L19" s="147">
        <v>106290</v>
      </c>
      <c r="M19" s="146">
        <v>101801</v>
      </c>
      <c r="N19" s="147">
        <v>220463</v>
      </c>
      <c r="O19" s="146">
        <v>257089</v>
      </c>
      <c r="P19" s="147">
        <v>196451</v>
      </c>
      <c r="Q19" s="146">
        <v>163709</v>
      </c>
      <c r="R19" s="147">
        <v>99056</v>
      </c>
      <c r="S19" s="146">
        <v>115414</v>
      </c>
      <c r="T19" s="147">
        <v>84570</v>
      </c>
      <c r="U19" s="146">
        <v>104518</v>
      </c>
      <c r="V19" s="147">
        <v>362281</v>
      </c>
      <c r="W19" s="146">
        <v>265305</v>
      </c>
      <c r="X19" s="32">
        <v>39</v>
      </c>
      <c r="Y19" s="147">
        <v>1449</v>
      </c>
      <c r="Z19" s="146">
        <v>1955</v>
      </c>
      <c r="AA19" s="147">
        <v>1814</v>
      </c>
      <c r="AB19" s="146">
        <v>2442</v>
      </c>
      <c r="AC19" s="147">
        <v>2131</v>
      </c>
      <c r="AD19" s="146">
        <v>1665</v>
      </c>
      <c r="AE19" s="147"/>
      <c r="AF19" s="146"/>
      <c r="AG19" s="147">
        <v>11766</v>
      </c>
      <c r="AH19" s="146">
        <v>15375</v>
      </c>
      <c r="AI19" s="147"/>
      <c r="AJ19" s="146"/>
      <c r="AK19" s="147">
        <v>11631</v>
      </c>
      <c r="AL19" s="146">
        <v>5756</v>
      </c>
      <c r="AM19" s="200">
        <v>39</v>
      </c>
    </row>
    <row r="20" spans="1:39" s="10" customFormat="1" ht="24" customHeight="1">
      <c r="A20" s="199">
        <v>46</v>
      </c>
      <c r="B20" s="190">
        <v>31911</v>
      </c>
      <c r="C20" s="190">
        <v>43784</v>
      </c>
      <c r="D20" s="189">
        <v>32</v>
      </c>
      <c r="E20" s="4" t="s">
        <v>58</v>
      </c>
      <c r="F20" s="143" t="s">
        <v>118</v>
      </c>
      <c r="G20" s="142">
        <v>26.154207535168073</v>
      </c>
      <c r="H20" s="11" t="s">
        <v>59</v>
      </c>
      <c r="I20" s="82" t="s">
        <v>60</v>
      </c>
      <c r="J20" s="147">
        <v>98569</v>
      </c>
      <c r="K20" s="146">
        <v>134442</v>
      </c>
      <c r="L20" s="147">
        <v>209209</v>
      </c>
      <c r="M20" s="146">
        <v>243446</v>
      </c>
      <c r="N20" s="147">
        <v>41828</v>
      </c>
      <c r="O20" s="146">
        <v>75637</v>
      </c>
      <c r="P20" s="147">
        <v>105433</v>
      </c>
      <c r="Q20" s="146">
        <v>192250</v>
      </c>
      <c r="R20" s="147">
        <v>249597</v>
      </c>
      <c r="S20" s="146">
        <v>282138</v>
      </c>
      <c r="T20" s="147">
        <v>67606</v>
      </c>
      <c r="U20" s="146">
        <v>126762</v>
      </c>
      <c r="V20" s="147">
        <v>333063</v>
      </c>
      <c r="W20" s="146">
        <v>451966</v>
      </c>
      <c r="X20" s="198">
        <v>46</v>
      </c>
      <c r="Y20" s="147">
        <v>5605</v>
      </c>
      <c r="Z20" s="146">
        <v>5726</v>
      </c>
      <c r="AA20" s="147">
        <v>4827</v>
      </c>
      <c r="AB20" s="146">
        <v>5938</v>
      </c>
      <c r="AC20" s="147">
        <v>286.39999999999998</v>
      </c>
      <c r="AD20" s="146">
        <v>1069</v>
      </c>
      <c r="AE20" s="147"/>
      <c r="AF20" s="146"/>
      <c r="AG20" s="147">
        <v>2371</v>
      </c>
      <c r="AH20" s="146">
        <v>1856</v>
      </c>
      <c r="AI20" s="147"/>
      <c r="AJ20" s="146"/>
      <c r="AK20" s="147">
        <v>855.6</v>
      </c>
      <c r="AL20" s="146">
        <v>1246</v>
      </c>
      <c r="AM20" s="197">
        <v>46</v>
      </c>
    </row>
    <row r="21" spans="1:39" s="10" customFormat="1" ht="24" customHeight="1">
      <c r="A21" s="211">
        <v>47</v>
      </c>
      <c r="B21" s="210">
        <v>19898</v>
      </c>
      <c r="C21" s="210">
        <v>43746</v>
      </c>
      <c r="D21" s="209">
        <v>65</v>
      </c>
      <c r="E21" s="3" t="s">
        <v>61</v>
      </c>
      <c r="F21" s="143" t="s">
        <v>116</v>
      </c>
      <c r="G21" s="142">
        <v>29.393800996337223</v>
      </c>
      <c r="H21" s="5" t="s">
        <v>64</v>
      </c>
      <c r="I21" s="82" t="s">
        <v>60</v>
      </c>
      <c r="J21" s="147">
        <v>41306</v>
      </c>
      <c r="K21" s="146">
        <v>156551</v>
      </c>
      <c r="L21" s="147">
        <v>69627</v>
      </c>
      <c r="M21" s="146">
        <v>221045</v>
      </c>
      <c r="N21" s="147">
        <v>100720</v>
      </c>
      <c r="O21" s="146">
        <v>200915</v>
      </c>
      <c r="P21" s="147">
        <v>56191</v>
      </c>
      <c r="Q21" s="146">
        <v>208182</v>
      </c>
      <c r="R21" s="147">
        <v>221020</v>
      </c>
      <c r="S21" s="146">
        <v>280617</v>
      </c>
      <c r="T21" s="147">
        <v>66764</v>
      </c>
      <c r="U21" s="146">
        <v>118963</v>
      </c>
      <c r="V21" s="147">
        <v>339154</v>
      </c>
      <c r="W21" s="146">
        <v>225039</v>
      </c>
      <c r="X21" s="208">
        <v>47</v>
      </c>
      <c r="Y21" s="147">
        <v>4991</v>
      </c>
      <c r="Z21" s="146">
        <v>9826</v>
      </c>
      <c r="AA21" s="147">
        <v>6378</v>
      </c>
      <c r="AB21" s="146">
        <v>11907</v>
      </c>
      <c r="AC21" s="147">
        <v>566.79999999999995</v>
      </c>
      <c r="AD21" s="146">
        <v>3528</v>
      </c>
      <c r="AE21" s="147"/>
      <c r="AF21" s="146"/>
      <c r="AG21" s="147">
        <v>16120</v>
      </c>
      <c r="AH21" s="146">
        <v>29521</v>
      </c>
      <c r="AI21" s="147"/>
      <c r="AJ21" s="146"/>
      <c r="AK21" s="147">
        <v>17866</v>
      </c>
      <c r="AL21" s="146">
        <v>17806</v>
      </c>
      <c r="AM21" s="207">
        <v>47</v>
      </c>
    </row>
    <row r="22" spans="1:39" s="10" customFormat="1" ht="24" customHeight="1">
      <c r="A22" s="201">
        <v>50</v>
      </c>
      <c r="B22" s="183">
        <v>34768</v>
      </c>
      <c r="C22" s="183">
        <v>43843</v>
      </c>
      <c r="D22" s="182">
        <v>24</v>
      </c>
      <c r="E22" s="4" t="s">
        <v>58</v>
      </c>
      <c r="F22" s="143" t="s">
        <v>116</v>
      </c>
      <c r="G22" s="142">
        <v>19.584487534626039</v>
      </c>
      <c r="H22" s="11" t="s">
        <v>59</v>
      </c>
      <c r="I22" s="82" t="s">
        <v>60</v>
      </c>
      <c r="J22" s="147"/>
      <c r="K22" s="146"/>
      <c r="L22" s="147">
        <v>175356</v>
      </c>
      <c r="M22" s="146">
        <v>160381</v>
      </c>
      <c r="N22" s="147"/>
      <c r="O22" s="146"/>
      <c r="P22" s="147">
        <v>63943</v>
      </c>
      <c r="Q22" s="146">
        <v>102537</v>
      </c>
      <c r="R22" s="147">
        <v>71415</v>
      </c>
      <c r="S22" s="146">
        <v>82258</v>
      </c>
      <c r="T22" s="147">
        <v>47168</v>
      </c>
      <c r="U22" s="146">
        <v>82514</v>
      </c>
      <c r="V22" s="147">
        <v>213931</v>
      </c>
      <c r="W22" s="146">
        <v>224811</v>
      </c>
      <c r="X22" s="32">
        <v>50</v>
      </c>
      <c r="Y22" s="147"/>
      <c r="Z22" s="146"/>
      <c r="AA22" s="147">
        <v>2784</v>
      </c>
      <c r="AB22" s="146">
        <v>1981</v>
      </c>
      <c r="AC22" s="147"/>
      <c r="AD22" s="146"/>
      <c r="AE22" s="147">
        <v>648.20000000000005</v>
      </c>
      <c r="AF22" s="146">
        <v>667.4</v>
      </c>
      <c r="AG22" s="147"/>
      <c r="AH22" s="146"/>
      <c r="AI22" s="147"/>
      <c r="AJ22" s="146"/>
      <c r="AK22" s="147"/>
      <c r="AL22" s="146"/>
      <c r="AM22" s="200">
        <v>50</v>
      </c>
    </row>
    <row r="23" spans="1:39" s="10" customFormat="1" ht="24" customHeight="1">
      <c r="A23" s="199">
        <v>51</v>
      </c>
      <c r="B23" s="190">
        <v>26085</v>
      </c>
      <c r="C23" s="190">
        <v>43769</v>
      </c>
      <c r="D23" s="189">
        <v>48</v>
      </c>
      <c r="E23" s="4" t="s">
        <v>58</v>
      </c>
      <c r="F23" s="143" t="s">
        <v>116</v>
      </c>
      <c r="G23" s="142">
        <v>27.864992150706435</v>
      </c>
      <c r="H23" s="11" t="s">
        <v>59</v>
      </c>
      <c r="I23" s="82" t="s">
        <v>60</v>
      </c>
      <c r="J23" s="147">
        <v>30841</v>
      </c>
      <c r="K23" s="146">
        <v>73204</v>
      </c>
      <c r="L23" s="147">
        <v>54731</v>
      </c>
      <c r="M23" s="146">
        <v>57349</v>
      </c>
      <c r="N23" s="147">
        <v>49487</v>
      </c>
      <c r="O23" s="146">
        <v>85404</v>
      </c>
      <c r="P23" s="147">
        <v>29961</v>
      </c>
      <c r="Q23" s="146">
        <v>31270</v>
      </c>
      <c r="R23" s="147">
        <v>79252</v>
      </c>
      <c r="S23" s="146">
        <v>104839</v>
      </c>
      <c r="T23" s="147">
        <v>45728</v>
      </c>
      <c r="U23" s="146">
        <v>50848</v>
      </c>
      <c r="V23" s="147">
        <v>119261</v>
      </c>
      <c r="W23" s="146">
        <v>136782</v>
      </c>
      <c r="X23" s="198">
        <v>51</v>
      </c>
      <c r="Y23" s="147">
        <v>668.5</v>
      </c>
      <c r="Z23" s="146">
        <v>1448</v>
      </c>
      <c r="AA23" s="147">
        <v>1269</v>
      </c>
      <c r="AB23" s="146">
        <v>1933</v>
      </c>
      <c r="AC23" s="147">
        <v>8685</v>
      </c>
      <c r="AD23" s="146">
        <v>12555</v>
      </c>
      <c r="AE23" s="147"/>
      <c r="AF23" s="146"/>
      <c r="AG23" s="147">
        <v>3658</v>
      </c>
      <c r="AH23" s="146">
        <v>8777</v>
      </c>
      <c r="AI23" s="147"/>
      <c r="AJ23" s="146"/>
      <c r="AK23" s="147">
        <v>1913</v>
      </c>
      <c r="AL23" s="146">
        <v>3833</v>
      </c>
      <c r="AM23" s="197">
        <v>51</v>
      </c>
    </row>
    <row r="24" spans="1:39" s="10" customFormat="1" ht="24" customHeight="1">
      <c r="A24" s="201">
        <v>54</v>
      </c>
      <c r="B24" s="183">
        <v>35850</v>
      </c>
      <c r="C24" s="183">
        <v>43783</v>
      </c>
      <c r="D24" s="182">
        <v>21</v>
      </c>
      <c r="E24" s="3" t="s">
        <v>61</v>
      </c>
      <c r="F24" s="143" t="s">
        <v>116</v>
      </c>
      <c r="G24" s="142">
        <v>22.30084732106441</v>
      </c>
      <c r="H24" s="11" t="s">
        <v>59</v>
      </c>
      <c r="I24" s="82" t="s">
        <v>60</v>
      </c>
      <c r="J24" s="147">
        <v>54932</v>
      </c>
      <c r="K24" s="146">
        <v>54996</v>
      </c>
      <c r="L24" s="147">
        <v>66834</v>
      </c>
      <c r="M24" s="146">
        <v>74436</v>
      </c>
      <c r="N24" s="147">
        <v>88512</v>
      </c>
      <c r="O24" s="146">
        <v>101166</v>
      </c>
      <c r="P24" s="147">
        <v>79055</v>
      </c>
      <c r="Q24" s="146">
        <v>117910</v>
      </c>
      <c r="R24" s="147">
        <v>229519</v>
      </c>
      <c r="S24" s="146">
        <v>215528</v>
      </c>
      <c r="T24" s="147">
        <v>104092</v>
      </c>
      <c r="U24" s="146">
        <v>157687</v>
      </c>
      <c r="V24" s="147">
        <v>64704</v>
      </c>
      <c r="W24" s="146">
        <v>58751</v>
      </c>
      <c r="X24" s="32">
        <v>54</v>
      </c>
      <c r="Y24" s="147">
        <v>2361</v>
      </c>
      <c r="Z24" s="146">
        <v>2490</v>
      </c>
      <c r="AA24" s="147">
        <v>1009</v>
      </c>
      <c r="AB24" s="146">
        <v>1450</v>
      </c>
      <c r="AC24" s="147">
        <v>22896</v>
      </c>
      <c r="AD24" s="146">
        <v>14387</v>
      </c>
      <c r="AE24" s="147"/>
      <c r="AF24" s="146"/>
      <c r="AG24" s="147">
        <v>238296</v>
      </c>
      <c r="AH24" s="146">
        <v>255657</v>
      </c>
      <c r="AI24" s="147"/>
      <c r="AJ24" s="146"/>
      <c r="AK24" s="147">
        <v>29425</v>
      </c>
      <c r="AL24" s="146">
        <v>20891</v>
      </c>
      <c r="AM24" s="200">
        <v>54</v>
      </c>
    </row>
    <row r="25" spans="1:39" s="10" customFormat="1" ht="24" customHeight="1">
      <c r="A25" s="196">
        <v>55</v>
      </c>
      <c r="B25" s="180">
        <v>24408</v>
      </c>
      <c r="C25" s="180">
        <v>43767</v>
      </c>
      <c r="D25" s="179">
        <v>53</v>
      </c>
      <c r="E25" s="4" t="s">
        <v>58</v>
      </c>
      <c r="F25" s="143" t="s">
        <v>116</v>
      </c>
      <c r="G25" s="142">
        <v>29.778438408680287</v>
      </c>
      <c r="H25" s="11" t="s">
        <v>59</v>
      </c>
      <c r="I25" s="82" t="s">
        <v>60</v>
      </c>
      <c r="J25" s="147">
        <v>35068</v>
      </c>
      <c r="K25" s="146">
        <v>87112</v>
      </c>
      <c r="L25" s="147">
        <v>108648</v>
      </c>
      <c r="M25" s="146">
        <v>77283</v>
      </c>
      <c r="N25" s="147">
        <v>54563</v>
      </c>
      <c r="O25" s="146">
        <v>107626</v>
      </c>
      <c r="P25" s="147">
        <v>66019</v>
      </c>
      <c r="Q25" s="146">
        <v>50765</v>
      </c>
      <c r="R25" s="147">
        <v>59038</v>
      </c>
      <c r="S25" s="146">
        <v>87877</v>
      </c>
      <c r="T25" s="147">
        <v>23447</v>
      </c>
      <c r="U25" s="146">
        <v>20966</v>
      </c>
      <c r="V25" s="147">
        <v>56629</v>
      </c>
      <c r="W25" s="146">
        <v>65185</v>
      </c>
      <c r="X25" s="195">
        <v>55</v>
      </c>
      <c r="Y25" s="147">
        <v>1875</v>
      </c>
      <c r="Z25" s="146">
        <v>2509</v>
      </c>
      <c r="AA25" s="147">
        <v>1889</v>
      </c>
      <c r="AB25" s="146">
        <v>1373</v>
      </c>
      <c r="AC25" s="147">
        <v>837.5</v>
      </c>
      <c r="AD25" s="146">
        <v>1681</v>
      </c>
      <c r="AE25" s="147"/>
      <c r="AF25" s="146"/>
      <c r="AG25" s="147">
        <v>10988</v>
      </c>
      <c r="AH25" s="146">
        <v>12552</v>
      </c>
      <c r="AI25" s="147"/>
      <c r="AJ25" s="146"/>
      <c r="AK25" s="147">
        <v>1417</v>
      </c>
      <c r="AL25" s="146">
        <v>2073</v>
      </c>
      <c r="AM25" s="194">
        <v>55</v>
      </c>
    </row>
    <row r="26" spans="1:39" s="10" customFormat="1" ht="24" customHeight="1">
      <c r="A26" s="196">
        <v>58</v>
      </c>
      <c r="B26" s="180">
        <v>22158</v>
      </c>
      <c r="C26" s="180">
        <v>43761</v>
      </c>
      <c r="D26" s="179">
        <v>59</v>
      </c>
      <c r="E26" s="3" t="s">
        <v>61</v>
      </c>
      <c r="F26" s="143" t="s">
        <v>116</v>
      </c>
      <c r="G26" s="142">
        <v>36.747605257295611</v>
      </c>
      <c r="H26" s="11" t="s">
        <v>59</v>
      </c>
      <c r="I26" s="82" t="s">
        <v>60</v>
      </c>
      <c r="J26" s="147">
        <v>44333</v>
      </c>
      <c r="K26" s="146">
        <v>256449</v>
      </c>
      <c r="L26" s="147">
        <v>46779</v>
      </c>
      <c r="M26" s="146">
        <v>255773</v>
      </c>
      <c r="N26" s="147">
        <v>227461</v>
      </c>
      <c r="O26" s="146">
        <v>339409</v>
      </c>
      <c r="P26" s="147">
        <v>319276</v>
      </c>
      <c r="Q26" s="146">
        <v>480844</v>
      </c>
      <c r="R26" s="147">
        <v>109845</v>
      </c>
      <c r="S26" s="146">
        <v>237426</v>
      </c>
      <c r="T26" s="147">
        <v>28602</v>
      </c>
      <c r="U26" s="146">
        <v>250360</v>
      </c>
      <c r="V26" s="147">
        <v>75788</v>
      </c>
      <c r="W26" s="146">
        <v>154822</v>
      </c>
      <c r="X26" s="195">
        <v>58</v>
      </c>
      <c r="Y26" s="147">
        <v>416.7</v>
      </c>
      <c r="Z26" s="146">
        <v>1972</v>
      </c>
      <c r="AA26" s="147">
        <v>2141</v>
      </c>
      <c r="AB26" s="146">
        <v>3322</v>
      </c>
      <c r="AC26" s="147">
        <v>552.9</v>
      </c>
      <c r="AD26" s="146">
        <v>2264</v>
      </c>
      <c r="AE26" s="147"/>
      <c r="AF26" s="146"/>
      <c r="AG26" s="147">
        <v>32325</v>
      </c>
      <c r="AH26" s="146">
        <v>31714</v>
      </c>
      <c r="AI26" s="147"/>
      <c r="AJ26" s="146"/>
      <c r="AK26" s="147">
        <v>13106</v>
      </c>
      <c r="AL26" s="146">
        <v>8856</v>
      </c>
      <c r="AM26" s="194">
        <v>58</v>
      </c>
    </row>
    <row r="27" spans="1:39" s="10" customFormat="1" ht="24" customHeight="1">
      <c r="A27" s="196">
        <v>62</v>
      </c>
      <c r="B27" s="180">
        <v>25144</v>
      </c>
      <c r="C27" s="180">
        <v>43773</v>
      </c>
      <c r="D27" s="179">
        <v>51</v>
      </c>
      <c r="E27" s="3" t="s">
        <v>61</v>
      </c>
      <c r="F27" s="143" t="s">
        <v>116</v>
      </c>
      <c r="G27" s="142">
        <v>24.364484928964419</v>
      </c>
      <c r="H27" s="11" t="s">
        <v>59</v>
      </c>
      <c r="I27" s="82" t="s">
        <v>60</v>
      </c>
      <c r="J27" s="147">
        <v>35741</v>
      </c>
      <c r="K27" s="146">
        <v>55768</v>
      </c>
      <c r="L27" s="147">
        <v>66490</v>
      </c>
      <c r="M27" s="146">
        <v>79694</v>
      </c>
      <c r="N27" s="147">
        <v>97828</v>
      </c>
      <c r="O27" s="146">
        <v>111877</v>
      </c>
      <c r="P27" s="147">
        <v>76807</v>
      </c>
      <c r="Q27" s="146">
        <v>131025</v>
      </c>
      <c r="R27" s="147">
        <v>135643</v>
      </c>
      <c r="S27" s="146">
        <v>144583</v>
      </c>
      <c r="T27" s="147">
        <v>100541</v>
      </c>
      <c r="U27" s="146">
        <v>118736</v>
      </c>
      <c r="V27" s="147">
        <v>133303</v>
      </c>
      <c r="W27" s="146">
        <v>103707</v>
      </c>
      <c r="X27" s="195">
        <v>62</v>
      </c>
      <c r="Y27" s="147">
        <v>1169</v>
      </c>
      <c r="Z27" s="146">
        <v>2144</v>
      </c>
      <c r="AA27" s="147">
        <v>714.7</v>
      </c>
      <c r="AB27" s="146">
        <v>1168</v>
      </c>
      <c r="AC27" s="147">
        <v>4241</v>
      </c>
      <c r="AD27" s="146">
        <v>6985</v>
      </c>
      <c r="AE27" s="147"/>
      <c r="AF27" s="146"/>
      <c r="AG27" s="147">
        <v>5714</v>
      </c>
      <c r="AH27" s="146">
        <v>8981</v>
      </c>
      <c r="AI27" s="147"/>
      <c r="AJ27" s="146"/>
      <c r="AK27" s="147">
        <v>1773</v>
      </c>
      <c r="AL27" s="146">
        <v>2750</v>
      </c>
      <c r="AM27" s="194">
        <v>62</v>
      </c>
    </row>
    <row r="28" spans="1:39" s="10" customFormat="1" ht="24" customHeight="1">
      <c r="A28" s="196">
        <v>64</v>
      </c>
      <c r="B28" s="180">
        <v>22521</v>
      </c>
      <c r="C28" s="180">
        <v>43749</v>
      </c>
      <c r="D28" s="179">
        <v>58</v>
      </c>
      <c r="E28" s="3" t="s">
        <v>61</v>
      </c>
      <c r="F28" s="143" t="s">
        <v>116</v>
      </c>
      <c r="G28" s="142">
        <v>33.794992477142081</v>
      </c>
      <c r="H28" s="11" t="s">
        <v>59</v>
      </c>
      <c r="I28" s="82" t="s">
        <v>60</v>
      </c>
      <c r="J28" s="147">
        <v>75481</v>
      </c>
      <c r="K28" s="146">
        <v>281147</v>
      </c>
      <c r="L28" s="147">
        <v>159231</v>
      </c>
      <c r="M28" s="146">
        <v>299058</v>
      </c>
      <c r="N28" s="147">
        <v>82562</v>
      </c>
      <c r="O28" s="146">
        <v>232722</v>
      </c>
      <c r="P28" s="147">
        <v>102257</v>
      </c>
      <c r="Q28" s="146">
        <v>149279</v>
      </c>
      <c r="R28" s="147">
        <v>119039</v>
      </c>
      <c r="S28" s="146">
        <v>163637</v>
      </c>
      <c r="T28" s="147">
        <v>46228</v>
      </c>
      <c r="U28" s="146">
        <v>109828</v>
      </c>
      <c r="V28" s="147">
        <v>160795</v>
      </c>
      <c r="W28" s="146">
        <v>150675</v>
      </c>
      <c r="X28" s="195">
        <v>64</v>
      </c>
      <c r="Y28" s="147">
        <v>689.4</v>
      </c>
      <c r="Z28" s="146">
        <v>1762</v>
      </c>
      <c r="AA28" s="147">
        <v>1539</v>
      </c>
      <c r="AB28" s="146">
        <v>1792</v>
      </c>
      <c r="AC28" s="147">
        <v>2551</v>
      </c>
      <c r="AD28" s="146">
        <v>1575</v>
      </c>
      <c r="AE28" s="147"/>
      <c r="AF28" s="146"/>
      <c r="AG28" s="147">
        <v>6488</v>
      </c>
      <c r="AH28" s="146">
        <v>12316</v>
      </c>
      <c r="AI28" s="147"/>
      <c r="AJ28" s="146"/>
      <c r="AK28" s="147">
        <v>2511</v>
      </c>
      <c r="AL28" s="146">
        <v>5016</v>
      </c>
      <c r="AM28" s="194">
        <v>64</v>
      </c>
    </row>
    <row r="29" spans="1:39" s="10" customFormat="1" ht="24" customHeight="1">
      <c r="A29" s="201">
        <v>65</v>
      </c>
      <c r="B29" s="183">
        <v>33985</v>
      </c>
      <c r="C29" s="183">
        <v>43802</v>
      </c>
      <c r="D29" s="182">
        <v>26</v>
      </c>
      <c r="E29" s="3" t="s">
        <v>61</v>
      </c>
      <c r="F29" s="143" t="s">
        <v>118</v>
      </c>
      <c r="G29" s="142">
        <v>21.551004042901532</v>
      </c>
      <c r="H29" s="11" t="s">
        <v>59</v>
      </c>
      <c r="I29" s="82" t="s">
        <v>60</v>
      </c>
      <c r="J29" s="147">
        <v>126116</v>
      </c>
      <c r="K29" s="146">
        <v>176640</v>
      </c>
      <c r="L29" s="147">
        <v>180024</v>
      </c>
      <c r="M29" s="146">
        <v>183239</v>
      </c>
      <c r="N29" s="147">
        <v>49001</v>
      </c>
      <c r="O29" s="146">
        <v>54368</v>
      </c>
      <c r="P29" s="147">
        <v>78121</v>
      </c>
      <c r="Q29" s="146">
        <v>80965</v>
      </c>
      <c r="R29" s="147">
        <v>465974</v>
      </c>
      <c r="S29" s="146">
        <v>645776</v>
      </c>
      <c r="T29" s="147">
        <v>169247</v>
      </c>
      <c r="U29" s="146">
        <v>175690</v>
      </c>
      <c r="V29" s="147">
        <v>378658</v>
      </c>
      <c r="W29" s="146">
        <v>319818</v>
      </c>
      <c r="X29" s="32">
        <v>65</v>
      </c>
      <c r="Y29" s="147">
        <v>5038</v>
      </c>
      <c r="Z29" s="146">
        <v>5003</v>
      </c>
      <c r="AA29" s="147">
        <v>11920</v>
      </c>
      <c r="AB29" s="146">
        <v>9932</v>
      </c>
      <c r="AC29" s="147">
        <v>1297</v>
      </c>
      <c r="AD29" s="146">
        <v>5577</v>
      </c>
      <c r="AE29" s="147"/>
      <c r="AF29" s="146"/>
      <c r="AG29" s="147">
        <v>37931</v>
      </c>
      <c r="AH29" s="146">
        <v>39758</v>
      </c>
      <c r="AI29" s="147"/>
      <c r="AJ29" s="146"/>
      <c r="AK29" s="147">
        <v>16365</v>
      </c>
      <c r="AL29" s="146">
        <v>23645</v>
      </c>
      <c r="AM29" s="200">
        <v>65</v>
      </c>
    </row>
    <row r="30" spans="1:39" s="10" customFormat="1" ht="24" customHeight="1">
      <c r="A30" s="199">
        <v>66</v>
      </c>
      <c r="B30" s="190">
        <v>27225</v>
      </c>
      <c r="C30" s="190">
        <v>43774</v>
      </c>
      <c r="D30" s="189">
        <v>45</v>
      </c>
      <c r="E30" s="4" t="s">
        <v>58</v>
      </c>
      <c r="F30" s="143" t="s">
        <v>63</v>
      </c>
      <c r="G30" s="142">
        <v>30.698926694651263</v>
      </c>
      <c r="H30" s="11" t="s">
        <v>59</v>
      </c>
      <c r="I30" s="82" t="s">
        <v>60</v>
      </c>
      <c r="J30" s="147">
        <v>18803</v>
      </c>
      <c r="K30" s="146">
        <v>36054</v>
      </c>
      <c r="L30" s="147">
        <v>54922</v>
      </c>
      <c r="M30" s="146">
        <v>65032</v>
      </c>
      <c r="N30" s="147">
        <v>52429</v>
      </c>
      <c r="O30" s="146">
        <v>46275</v>
      </c>
      <c r="P30" s="147">
        <v>97767</v>
      </c>
      <c r="Q30" s="146">
        <v>77582</v>
      </c>
      <c r="R30" s="147">
        <v>245475</v>
      </c>
      <c r="S30" s="146">
        <v>293244</v>
      </c>
      <c r="T30" s="147">
        <v>88815</v>
      </c>
      <c r="U30" s="146">
        <v>88274</v>
      </c>
      <c r="V30" s="147">
        <v>105818</v>
      </c>
      <c r="W30" s="146">
        <v>111646</v>
      </c>
      <c r="X30" s="198">
        <v>66</v>
      </c>
      <c r="Y30" s="147">
        <v>144.9</v>
      </c>
      <c r="Z30" s="146">
        <v>426.9</v>
      </c>
      <c r="AA30" s="147">
        <v>1407</v>
      </c>
      <c r="AB30" s="146">
        <v>1407</v>
      </c>
      <c r="AC30" s="147">
        <v>319.10000000000002</v>
      </c>
      <c r="AD30" s="146">
        <v>445.2</v>
      </c>
      <c r="AE30" s="147"/>
      <c r="AF30" s="146"/>
      <c r="AG30" s="147">
        <v>10769</v>
      </c>
      <c r="AH30" s="146">
        <v>11266</v>
      </c>
      <c r="AI30" s="147"/>
      <c r="AJ30" s="146"/>
      <c r="AK30" s="147">
        <v>1123</v>
      </c>
      <c r="AL30" s="146">
        <v>1264</v>
      </c>
      <c r="AM30" s="197">
        <v>66</v>
      </c>
    </row>
    <row r="31" spans="1:39" s="10" customFormat="1" ht="24" customHeight="1">
      <c r="A31" s="201">
        <v>69</v>
      </c>
      <c r="B31" s="183">
        <v>33364</v>
      </c>
      <c r="C31" s="183">
        <v>43802</v>
      </c>
      <c r="D31" s="182">
        <v>28</v>
      </c>
      <c r="E31" s="4" t="s">
        <v>58</v>
      </c>
      <c r="F31" s="143" t="s">
        <v>116</v>
      </c>
      <c r="G31" s="142">
        <v>27.935558774665406</v>
      </c>
      <c r="H31" s="11" t="s">
        <v>59</v>
      </c>
      <c r="I31" s="82" t="s">
        <v>60</v>
      </c>
      <c r="J31" s="147">
        <v>131767</v>
      </c>
      <c r="K31" s="146">
        <v>113675</v>
      </c>
      <c r="L31" s="147">
        <v>109156</v>
      </c>
      <c r="M31" s="146">
        <v>123143</v>
      </c>
      <c r="N31" s="147">
        <v>166154</v>
      </c>
      <c r="O31" s="146">
        <v>112542</v>
      </c>
      <c r="P31" s="147">
        <v>113549</v>
      </c>
      <c r="Q31" s="146">
        <v>106651</v>
      </c>
      <c r="R31" s="147">
        <v>516459</v>
      </c>
      <c r="S31" s="146">
        <v>380025</v>
      </c>
      <c r="T31" s="147">
        <v>83987</v>
      </c>
      <c r="U31" s="146">
        <v>165686</v>
      </c>
      <c r="V31" s="147">
        <v>720118</v>
      </c>
      <c r="W31" s="146">
        <v>987262</v>
      </c>
      <c r="X31" s="32">
        <v>69</v>
      </c>
      <c r="Y31" s="147">
        <v>1331</v>
      </c>
      <c r="Z31" s="146">
        <v>2224</v>
      </c>
      <c r="AA31" s="147">
        <v>5727</v>
      </c>
      <c r="AB31" s="146">
        <v>7201</v>
      </c>
      <c r="AC31" s="147">
        <v>2658</v>
      </c>
      <c r="AD31" s="146">
        <v>3829</v>
      </c>
      <c r="AE31" s="147"/>
      <c r="AF31" s="146"/>
      <c r="AG31" s="147">
        <v>14636</v>
      </c>
      <c r="AH31" s="146">
        <v>14461</v>
      </c>
      <c r="AI31" s="147"/>
      <c r="AJ31" s="146"/>
      <c r="AK31" s="147">
        <v>1317</v>
      </c>
      <c r="AL31" s="146">
        <v>1550</v>
      </c>
      <c r="AM31" s="200">
        <v>69</v>
      </c>
    </row>
    <row r="32" spans="1:39" s="10" customFormat="1" ht="24" customHeight="1">
      <c r="A32" s="196">
        <v>70</v>
      </c>
      <c r="B32" s="180">
        <v>23271</v>
      </c>
      <c r="C32" s="180">
        <v>43781</v>
      </c>
      <c r="D32" s="179">
        <v>56</v>
      </c>
      <c r="E32" s="4" t="s">
        <v>58</v>
      </c>
      <c r="F32" s="143" t="s">
        <v>116</v>
      </c>
      <c r="G32" s="142">
        <v>31.230379668017495</v>
      </c>
      <c r="H32" s="11" t="s">
        <v>59</v>
      </c>
      <c r="I32" s="82" t="s">
        <v>60</v>
      </c>
      <c r="J32" s="147"/>
      <c r="K32" s="146"/>
      <c r="L32" s="147">
        <v>76011</v>
      </c>
      <c r="M32" s="146">
        <v>214303</v>
      </c>
      <c r="N32" s="147"/>
      <c r="O32" s="146"/>
      <c r="P32" s="147">
        <v>78216</v>
      </c>
      <c r="Q32" s="146">
        <v>182679</v>
      </c>
      <c r="R32" s="147">
        <v>132779</v>
      </c>
      <c r="S32" s="146">
        <v>123427</v>
      </c>
      <c r="T32" s="147">
        <v>105191</v>
      </c>
      <c r="U32" s="146">
        <v>104527</v>
      </c>
      <c r="V32" s="147">
        <v>214124</v>
      </c>
      <c r="W32" s="146">
        <v>339582</v>
      </c>
      <c r="X32" s="195">
        <v>70</v>
      </c>
      <c r="Y32" s="147"/>
      <c r="Z32" s="146"/>
      <c r="AA32" s="147">
        <v>4052</v>
      </c>
      <c r="AB32" s="146">
        <v>4243</v>
      </c>
      <c r="AC32" s="147"/>
      <c r="AD32" s="146"/>
      <c r="AE32" s="147">
        <v>9478</v>
      </c>
      <c r="AF32" s="146">
        <v>17278</v>
      </c>
      <c r="AG32" s="147"/>
      <c r="AH32" s="146"/>
      <c r="AI32" s="147"/>
      <c r="AJ32" s="146"/>
      <c r="AK32" s="147"/>
      <c r="AL32" s="146"/>
      <c r="AM32" s="194">
        <v>70</v>
      </c>
    </row>
    <row r="33" spans="1:39" s="10" customFormat="1" ht="24" customHeight="1">
      <c r="A33" s="201">
        <v>75</v>
      </c>
      <c r="B33" s="183">
        <v>34336</v>
      </c>
      <c r="C33" s="183">
        <v>43813</v>
      </c>
      <c r="D33" s="182">
        <v>25</v>
      </c>
      <c r="E33" s="3" t="s">
        <v>61</v>
      </c>
      <c r="F33" s="143" t="s">
        <v>116</v>
      </c>
      <c r="G33" s="142">
        <v>23.235753777401481</v>
      </c>
      <c r="H33" s="11" t="s">
        <v>59</v>
      </c>
      <c r="I33" s="82" t="s">
        <v>60</v>
      </c>
      <c r="J33" s="147">
        <v>79239</v>
      </c>
      <c r="K33" s="146">
        <v>127101</v>
      </c>
      <c r="L33" s="147">
        <v>67293</v>
      </c>
      <c r="M33" s="146">
        <v>55798</v>
      </c>
      <c r="N33" s="147">
        <v>160568</v>
      </c>
      <c r="O33" s="146">
        <v>360134</v>
      </c>
      <c r="P33" s="147">
        <v>74835</v>
      </c>
      <c r="Q33" s="146">
        <v>148164</v>
      </c>
      <c r="R33" s="147">
        <v>176976</v>
      </c>
      <c r="S33" s="146">
        <v>291512</v>
      </c>
      <c r="T33" s="147">
        <v>81576</v>
      </c>
      <c r="U33" s="146">
        <v>70154</v>
      </c>
      <c r="V33" s="147">
        <v>220854</v>
      </c>
      <c r="W33" s="146">
        <v>377343</v>
      </c>
      <c r="X33" s="32">
        <v>75</v>
      </c>
      <c r="Y33" s="147">
        <v>675.5</v>
      </c>
      <c r="Z33" s="146">
        <v>663.9</v>
      </c>
      <c r="AA33" s="147">
        <v>2386</v>
      </c>
      <c r="AB33" s="146">
        <v>1714</v>
      </c>
      <c r="AC33" s="147">
        <v>1421</v>
      </c>
      <c r="AD33" s="146">
        <v>1735</v>
      </c>
      <c r="AE33" s="147"/>
      <c r="AF33" s="146"/>
      <c r="AG33" s="147">
        <v>3436</v>
      </c>
      <c r="AH33" s="146">
        <v>5653</v>
      </c>
      <c r="AI33" s="147"/>
      <c r="AJ33" s="146"/>
      <c r="AK33" s="147">
        <v>666.5</v>
      </c>
      <c r="AL33" s="146">
        <v>2263</v>
      </c>
      <c r="AM33" s="200">
        <v>75</v>
      </c>
    </row>
    <row r="34" spans="1:39" s="10" customFormat="1" ht="24" customHeight="1">
      <c r="A34" s="211">
        <v>77</v>
      </c>
      <c r="B34" s="210">
        <v>19213</v>
      </c>
      <c r="C34" s="210">
        <v>43734</v>
      </c>
      <c r="D34" s="209">
        <v>67</v>
      </c>
      <c r="E34" s="3" t="s">
        <v>61</v>
      </c>
      <c r="F34" s="143" t="s">
        <v>116</v>
      </c>
      <c r="G34" s="142">
        <v>29.135428681276434</v>
      </c>
      <c r="H34" s="5" t="s">
        <v>64</v>
      </c>
      <c r="I34" s="82" t="s">
        <v>60</v>
      </c>
      <c r="J34" s="147">
        <v>31075</v>
      </c>
      <c r="K34" s="146">
        <v>143509</v>
      </c>
      <c r="L34" s="147">
        <v>58916</v>
      </c>
      <c r="M34" s="146">
        <v>127043</v>
      </c>
      <c r="N34" s="147">
        <v>70902</v>
      </c>
      <c r="O34" s="146">
        <v>151934</v>
      </c>
      <c r="P34" s="147">
        <v>35064</v>
      </c>
      <c r="Q34" s="146">
        <v>81110</v>
      </c>
      <c r="R34" s="147">
        <v>73865</v>
      </c>
      <c r="S34" s="146">
        <v>169767</v>
      </c>
      <c r="T34" s="147">
        <v>13640</v>
      </c>
      <c r="U34" s="146">
        <v>23697</v>
      </c>
      <c r="V34" s="147">
        <v>66631</v>
      </c>
      <c r="W34" s="146">
        <v>72709</v>
      </c>
      <c r="X34" s="208">
        <v>77</v>
      </c>
      <c r="Y34" s="147">
        <v>2089</v>
      </c>
      <c r="Z34" s="146">
        <v>4064</v>
      </c>
      <c r="AA34" s="147">
        <v>2003</v>
      </c>
      <c r="AB34" s="146">
        <v>2936</v>
      </c>
      <c r="AC34" s="147">
        <v>645.4</v>
      </c>
      <c r="AD34" s="146">
        <v>1508</v>
      </c>
      <c r="AE34" s="147"/>
      <c r="AF34" s="146"/>
      <c r="AG34" s="147">
        <v>44805</v>
      </c>
      <c r="AH34" s="146">
        <v>79283</v>
      </c>
      <c r="AI34" s="147"/>
      <c r="AJ34" s="146"/>
      <c r="AK34" s="147">
        <v>18139</v>
      </c>
      <c r="AL34" s="146">
        <v>17085</v>
      </c>
      <c r="AM34" s="207">
        <v>77</v>
      </c>
    </row>
    <row r="35" spans="1:39" s="10" customFormat="1" ht="24" customHeight="1">
      <c r="A35" s="199">
        <v>81</v>
      </c>
      <c r="B35" s="190">
        <v>25576</v>
      </c>
      <c r="C35" s="190">
        <v>43770</v>
      </c>
      <c r="D35" s="189">
        <v>49</v>
      </c>
      <c r="E35" s="3" t="s">
        <v>61</v>
      </c>
      <c r="F35" s="143" t="s">
        <v>116</v>
      </c>
      <c r="G35" s="142">
        <v>20.171150559121141</v>
      </c>
      <c r="H35" s="11" t="s">
        <v>59</v>
      </c>
      <c r="I35" s="82" t="s">
        <v>60</v>
      </c>
      <c r="J35" s="147">
        <v>169836</v>
      </c>
      <c r="K35" s="146">
        <v>211290</v>
      </c>
      <c r="L35" s="147">
        <v>120460</v>
      </c>
      <c r="M35" s="146">
        <v>176232</v>
      </c>
      <c r="N35" s="147">
        <v>82512</v>
      </c>
      <c r="O35" s="146">
        <v>101873</v>
      </c>
      <c r="P35" s="147">
        <v>31027</v>
      </c>
      <c r="Q35" s="146">
        <v>80268</v>
      </c>
      <c r="R35" s="147">
        <v>305423</v>
      </c>
      <c r="S35" s="146">
        <v>333974</v>
      </c>
      <c r="T35" s="147">
        <v>115815</v>
      </c>
      <c r="U35" s="146">
        <v>169420</v>
      </c>
      <c r="V35" s="147">
        <v>286536</v>
      </c>
      <c r="W35" s="146">
        <v>252213</v>
      </c>
      <c r="X35" s="198">
        <v>81</v>
      </c>
      <c r="Y35" s="147">
        <v>9619</v>
      </c>
      <c r="Z35" s="146">
        <v>14110</v>
      </c>
      <c r="AA35" s="147">
        <v>5459</v>
      </c>
      <c r="AB35" s="146">
        <v>10044</v>
      </c>
      <c r="AC35" s="147">
        <v>572.5</v>
      </c>
      <c r="AD35" s="146">
        <v>3966</v>
      </c>
      <c r="AE35" s="147"/>
      <c r="AF35" s="146"/>
      <c r="AG35" s="147">
        <v>16844</v>
      </c>
      <c r="AH35" s="146">
        <v>19143</v>
      </c>
      <c r="AI35" s="147"/>
      <c r="AJ35" s="146"/>
      <c r="AK35" s="147">
        <v>7598</v>
      </c>
      <c r="AL35" s="146">
        <v>3739</v>
      </c>
      <c r="AM35" s="197">
        <v>81</v>
      </c>
    </row>
    <row r="36" spans="1:39" s="10" customFormat="1" ht="24" customHeight="1">
      <c r="A36" s="211">
        <v>83</v>
      </c>
      <c r="B36" s="210">
        <v>18549</v>
      </c>
      <c r="C36" s="210">
        <v>43766</v>
      </c>
      <c r="D36" s="209">
        <v>69</v>
      </c>
      <c r="E36" s="3" t="s">
        <v>61</v>
      </c>
      <c r="F36" s="143" t="s">
        <v>116</v>
      </c>
      <c r="G36" s="142">
        <v>27.018008999990982</v>
      </c>
      <c r="H36" s="5" t="s">
        <v>64</v>
      </c>
      <c r="I36" s="82" t="s">
        <v>60</v>
      </c>
      <c r="J36" s="147">
        <v>52550</v>
      </c>
      <c r="K36" s="146">
        <v>77620</v>
      </c>
      <c r="L36" s="147">
        <v>44574</v>
      </c>
      <c r="M36" s="146">
        <v>140952</v>
      </c>
      <c r="N36" s="147">
        <v>45892</v>
      </c>
      <c r="O36" s="146">
        <v>46363</v>
      </c>
      <c r="P36" s="147">
        <v>12681</v>
      </c>
      <c r="Q36" s="146">
        <v>69012</v>
      </c>
      <c r="R36" s="147">
        <v>40303</v>
      </c>
      <c r="S36" s="146">
        <v>61675</v>
      </c>
      <c r="T36" s="147">
        <v>4660</v>
      </c>
      <c r="U36" s="146">
        <v>9642</v>
      </c>
      <c r="V36" s="147">
        <v>48497</v>
      </c>
      <c r="W36" s="146">
        <v>48680</v>
      </c>
      <c r="X36" s="208">
        <v>83</v>
      </c>
      <c r="Y36" s="147">
        <v>369.1</v>
      </c>
      <c r="Z36" s="146">
        <v>441.9</v>
      </c>
      <c r="AA36" s="147">
        <v>2281</v>
      </c>
      <c r="AB36" s="146">
        <v>3071</v>
      </c>
      <c r="AC36" s="147">
        <v>366.1</v>
      </c>
      <c r="AD36" s="146">
        <v>837.1</v>
      </c>
      <c r="AE36" s="147"/>
      <c r="AF36" s="146"/>
      <c r="AG36" s="147">
        <v>60333</v>
      </c>
      <c r="AH36" s="146">
        <v>100100</v>
      </c>
      <c r="AI36" s="147"/>
      <c r="AJ36" s="146"/>
      <c r="AK36" s="147">
        <v>25137</v>
      </c>
      <c r="AL36" s="146">
        <v>24215</v>
      </c>
      <c r="AM36" s="207">
        <v>83</v>
      </c>
    </row>
    <row r="37" spans="1:39" s="10" customFormat="1" ht="24" customHeight="1">
      <c r="A37" s="201">
        <v>85</v>
      </c>
      <c r="B37" s="183">
        <v>35942</v>
      </c>
      <c r="C37" s="183">
        <v>43774</v>
      </c>
      <c r="D37" s="182">
        <v>21</v>
      </c>
      <c r="E37" s="3" t="s">
        <v>61</v>
      </c>
      <c r="F37" s="143" t="s">
        <v>116</v>
      </c>
      <c r="G37" s="142">
        <v>21.041891904000764</v>
      </c>
      <c r="H37" s="11" t="s">
        <v>59</v>
      </c>
      <c r="I37" s="82" t="s">
        <v>60</v>
      </c>
      <c r="J37" s="147">
        <v>172986</v>
      </c>
      <c r="K37" s="146">
        <v>240781</v>
      </c>
      <c r="L37" s="147">
        <v>237346</v>
      </c>
      <c r="M37" s="146">
        <v>286382</v>
      </c>
      <c r="N37" s="147">
        <v>333563</v>
      </c>
      <c r="O37" s="146">
        <v>387745</v>
      </c>
      <c r="P37" s="147">
        <v>264602</v>
      </c>
      <c r="Q37" s="146">
        <v>335266</v>
      </c>
      <c r="R37" s="147">
        <v>154220</v>
      </c>
      <c r="S37" s="146">
        <v>193464</v>
      </c>
      <c r="T37" s="147">
        <v>54323</v>
      </c>
      <c r="U37" s="146">
        <v>99314</v>
      </c>
      <c r="V37" s="147">
        <v>217007</v>
      </c>
      <c r="W37" s="146">
        <v>367279</v>
      </c>
      <c r="X37" s="32">
        <v>85</v>
      </c>
      <c r="Y37" s="147">
        <v>2552</v>
      </c>
      <c r="Z37" s="146">
        <v>2485</v>
      </c>
      <c r="AA37" s="147">
        <v>5102</v>
      </c>
      <c r="AB37" s="146">
        <v>5097</v>
      </c>
      <c r="AC37" s="147">
        <v>8215</v>
      </c>
      <c r="AD37" s="146">
        <v>9712</v>
      </c>
      <c r="AE37" s="147"/>
      <c r="AF37" s="146"/>
      <c r="AG37" s="147">
        <v>9004</v>
      </c>
      <c r="AH37" s="146">
        <v>8949</v>
      </c>
      <c r="AI37" s="147"/>
      <c r="AJ37" s="146"/>
      <c r="AK37" s="147">
        <v>5477</v>
      </c>
      <c r="AL37" s="146">
        <v>4567</v>
      </c>
      <c r="AM37" s="200">
        <v>85</v>
      </c>
    </row>
    <row r="38" spans="1:39" s="10" customFormat="1" ht="24" customHeight="1">
      <c r="A38" s="196">
        <v>86</v>
      </c>
      <c r="B38" s="180">
        <v>21556</v>
      </c>
      <c r="C38" s="180">
        <v>43739</v>
      </c>
      <c r="D38" s="179">
        <v>60</v>
      </c>
      <c r="E38" s="4" t="s">
        <v>58</v>
      </c>
      <c r="F38" s="143" t="s">
        <v>116</v>
      </c>
      <c r="G38" s="142">
        <v>33.22690500070032</v>
      </c>
      <c r="H38" s="11" t="s">
        <v>59</v>
      </c>
      <c r="I38" s="82" t="s">
        <v>60</v>
      </c>
      <c r="J38" s="147">
        <v>489547</v>
      </c>
      <c r="K38" s="146">
        <v>447429</v>
      </c>
      <c r="L38" s="147">
        <v>419045</v>
      </c>
      <c r="M38" s="146">
        <v>453355</v>
      </c>
      <c r="N38" s="147">
        <v>64833</v>
      </c>
      <c r="O38" s="146">
        <v>72854</v>
      </c>
      <c r="P38" s="147">
        <v>45718</v>
      </c>
      <c r="Q38" s="146">
        <v>60284</v>
      </c>
      <c r="R38" s="147">
        <v>255224</v>
      </c>
      <c r="S38" s="146">
        <v>341554</v>
      </c>
      <c r="T38" s="147">
        <v>140866</v>
      </c>
      <c r="U38" s="146">
        <v>91856</v>
      </c>
      <c r="V38" s="147">
        <v>238514</v>
      </c>
      <c r="W38" s="146">
        <v>214624</v>
      </c>
      <c r="X38" s="195">
        <v>86</v>
      </c>
      <c r="Y38" s="147">
        <v>5529</v>
      </c>
      <c r="Z38" s="146">
        <v>6208</v>
      </c>
      <c r="AA38" s="147">
        <v>11999</v>
      </c>
      <c r="AB38" s="146">
        <v>14354</v>
      </c>
      <c r="AC38" s="147">
        <v>536.79999999999995</v>
      </c>
      <c r="AD38" s="146">
        <v>4941</v>
      </c>
      <c r="AE38" s="147"/>
      <c r="AF38" s="146"/>
      <c r="AG38" s="147">
        <v>5489</v>
      </c>
      <c r="AH38" s="146">
        <v>6040</v>
      </c>
      <c r="AI38" s="147"/>
      <c r="AJ38" s="146"/>
      <c r="AK38" s="147">
        <v>3311</v>
      </c>
      <c r="AL38" s="146">
        <v>3576</v>
      </c>
      <c r="AM38" s="194">
        <v>86</v>
      </c>
    </row>
    <row r="39" spans="1:39" s="10" customFormat="1" ht="24" customHeight="1">
      <c r="A39" s="196">
        <v>89</v>
      </c>
      <c r="B39" s="180">
        <v>22209</v>
      </c>
      <c r="C39" s="180">
        <v>43739</v>
      </c>
      <c r="D39" s="179">
        <v>58</v>
      </c>
      <c r="E39" s="4" t="s">
        <v>58</v>
      </c>
      <c r="F39" s="143" t="s">
        <v>116</v>
      </c>
      <c r="G39" s="142">
        <v>31.695288876117651</v>
      </c>
      <c r="H39" s="11" t="s">
        <v>59</v>
      </c>
      <c r="I39" s="82" t="s">
        <v>60</v>
      </c>
      <c r="J39" s="147">
        <v>489634</v>
      </c>
      <c r="K39" s="146">
        <v>625131</v>
      </c>
      <c r="L39" s="147">
        <v>1154482</v>
      </c>
      <c r="M39" s="146">
        <v>1940338</v>
      </c>
      <c r="N39" s="147">
        <v>103711</v>
      </c>
      <c r="O39" s="146">
        <v>256352</v>
      </c>
      <c r="P39" s="147">
        <v>96693</v>
      </c>
      <c r="Q39" s="146">
        <v>277965</v>
      </c>
      <c r="R39" s="147">
        <v>300063</v>
      </c>
      <c r="S39" s="146">
        <v>463341</v>
      </c>
      <c r="T39" s="147">
        <v>219719</v>
      </c>
      <c r="U39" s="146">
        <v>434199</v>
      </c>
      <c r="V39" s="147">
        <v>225079</v>
      </c>
      <c r="W39" s="146">
        <v>230336</v>
      </c>
      <c r="X39" s="195">
        <v>89</v>
      </c>
      <c r="Y39" s="147">
        <v>2591</v>
      </c>
      <c r="Z39" s="146">
        <v>5942</v>
      </c>
      <c r="AA39" s="147">
        <v>5205</v>
      </c>
      <c r="AB39" s="146">
        <v>6266</v>
      </c>
      <c r="AC39" s="147">
        <v>396.3</v>
      </c>
      <c r="AD39" s="146">
        <v>942.2</v>
      </c>
      <c r="AE39" s="147"/>
      <c r="AF39" s="146"/>
      <c r="AG39" s="147">
        <v>2481</v>
      </c>
      <c r="AH39" s="146">
        <v>4808</v>
      </c>
      <c r="AI39" s="147"/>
      <c r="AJ39" s="146"/>
      <c r="AK39" s="147">
        <v>1751</v>
      </c>
      <c r="AL39" s="146">
        <v>2621</v>
      </c>
      <c r="AM39" s="194">
        <v>89</v>
      </c>
    </row>
    <row r="40" spans="1:39" ht="24" customHeight="1">
      <c r="A40" s="201">
        <v>99</v>
      </c>
      <c r="B40" s="183">
        <v>35046</v>
      </c>
      <c r="C40" s="183">
        <v>43853</v>
      </c>
      <c r="D40" s="182">
        <v>24</v>
      </c>
      <c r="E40" s="3" t="s">
        <v>61</v>
      </c>
      <c r="F40" s="143" t="s">
        <v>116</v>
      </c>
      <c r="G40" s="142">
        <v>19.880383574459554</v>
      </c>
      <c r="H40" s="11" t="s">
        <v>59</v>
      </c>
      <c r="I40" s="82" t="s">
        <v>60</v>
      </c>
      <c r="J40" s="147"/>
      <c r="K40" s="146"/>
      <c r="L40" s="147">
        <v>254070</v>
      </c>
      <c r="M40" s="146">
        <v>213899</v>
      </c>
      <c r="N40" s="147"/>
      <c r="O40" s="146"/>
      <c r="P40" s="147">
        <v>294307</v>
      </c>
      <c r="Q40" s="146">
        <v>241748</v>
      </c>
      <c r="R40" s="147">
        <v>129573</v>
      </c>
      <c r="S40" s="146">
        <v>112562</v>
      </c>
      <c r="T40" s="147">
        <v>167833</v>
      </c>
      <c r="U40" s="146">
        <v>195368</v>
      </c>
      <c r="V40" s="147">
        <v>296907</v>
      </c>
      <c r="W40" s="146">
        <v>301598</v>
      </c>
      <c r="X40" s="32">
        <v>99</v>
      </c>
      <c r="Y40" s="147"/>
      <c r="Z40" s="146"/>
      <c r="AA40" s="147">
        <v>3377</v>
      </c>
      <c r="AB40" s="146">
        <v>2936</v>
      </c>
      <c r="AC40" s="147"/>
      <c r="AD40" s="146"/>
      <c r="AE40" s="147">
        <v>1899</v>
      </c>
      <c r="AF40" s="146">
        <v>1704</v>
      </c>
      <c r="AG40" s="147"/>
      <c r="AH40" s="146"/>
      <c r="AI40" s="147"/>
      <c r="AJ40" s="146"/>
      <c r="AK40" s="147"/>
      <c r="AL40" s="146"/>
      <c r="AM40" s="200">
        <v>99</v>
      </c>
    </row>
    <row r="41" spans="1:39" ht="24" customHeight="1">
      <c r="A41" s="199">
        <v>100</v>
      </c>
      <c r="B41" s="190">
        <v>25574</v>
      </c>
      <c r="C41" s="190">
        <v>43760</v>
      </c>
      <c r="D41" s="189">
        <v>49</v>
      </c>
      <c r="E41" s="3" t="s">
        <v>61</v>
      </c>
      <c r="F41" s="143" t="s">
        <v>116</v>
      </c>
      <c r="G41" s="142">
        <v>33.371428571428574</v>
      </c>
      <c r="H41" s="11" t="s">
        <v>59</v>
      </c>
      <c r="I41" s="82" t="s">
        <v>60</v>
      </c>
      <c r="J41" s="147">
        <v>41895</v>
      </c>
      <c r="K41" s="146">
        <v>103413</v>
      </c>
      <c r="L41" s="147">
        <v>55861</v>
      </c>
      <c r="M41" s="146">
        <v>127881</v>
      </c>
      <c r="N41" s="147">
        <v>68554</v>
      </c>
      <c r="O41" s="146">
        <v>63958</v>
      </c>
      <c r="P41" s="147">
        <v>49928</v>
      </c>
      <c r="Q41" s="146">
        <v>122837</v>
      </c>
      <c r="R41" s="147">
        <v>122776</v>
      </c>
      <c r="S41" s="146">
        <v>206446</v>
      </c>
      <c r="T41" s="147">
        <v>127901</v>
      </c>
      <c r="U41" s="146">
        <v>150929</v>
      </c>
      <c r="V41" s="147">
        <v>108793</v>
      </c>
      <c r="W41" s="146">
        <v>152228</v>
      </c>
      <c r="X41" s="198">
        <v>100</v>
      </c>
      <c r="Y41" s="147">
        <v>2766</v>
      </c>
      <c r="Z41" s="146">
        <v>4990</v>
      </c>
      <c r="AA41" s="147">
        <v>2098</v>
      </c>
      <c r="AB41" s="146">
        <v>5411</v>
      </c>
      <c r="AC41" s="147">
        <v>6696</v>
      </c>
      <c r="AD41" s="146">
        <v>7607</v>
      </c>
      <c r="AE41" s="147"/>
      <c r="AF41" s="146"/>
      <c r="AG41" s="147">
        <v>4783</v>
      </c>
      <c r="AH41" s="146">
        <v>6469</v>
      </c>
      <c r="AI41" s="147"/>
      <c r="AJ41" s="146"/>
      <c r="AK41" s="147">
        <v>2673</v>
      </c>
      <c r="AL41" s="146">
        <v>4589</v>
      </c>
      <c r="AM41" s="197">
        <v>100</v>
      </c>
    </row>
    <row r="42" spans="1:39" ht="24" customHeight="1">
      <c r="A42" s="196">
        <v>108</v>
      </c>
      <c r="B42" s="180">
        <v>23017</v>
      </c>
      <c r="C42" s="180">
        <v>43840</v>
      </c>
      <c r="D42" s="179">
        <v>57</v>
      </c>
      <c r="E42" s="4" t="s">
        <v>58</v>
      </c>
      <c r="F42" s="143" t="s">
        <v>116</v>
      </c>
      <c r="G42" s="142">
        <v>23.3</v>
      </c>
      <c r="H42" s="11" t="s">
        <v>59</v>
      </c>
      <c r="I42" s="82" t="s">
        <v>60</v>
      </c>
      <c r="J42" s="147"/>
      <c r="K42" s="146"/>
      <c r="L42" s="147">
        <v>74244</v>
      </c>
      <c r="M42" s="146">
        <v>116371</v>
      </c>
      <c r="N42" s="147"/>
      <c r="O42" s="146"/>
      <c r="P42" s="147">
        <v>39785</v>
      </c>
      <c r="Q42" s="146">
        <v>97674</v>
      </c>
      <c r="R42" s="147"/>
      <c r="S42" s="146"/>
      <c r="T42" s="147"/>
      <c r="U42" s="146"/>
      <c r="V42" s="147">
        <v>163892</v>
      </c>
      <c r="W42" s="146">
        <v>139172</v>
      </c>
      <c r="X42" s="195">
        <v>108</v>
      </c>
      <c r="Y42" s="147"/>
      <c r="Z42" s="146"/>
      <c r="AA42" s="147">
        <v>9900</v>
      </c>
      <c r="AB42" s="146">
        <v>12136</v>
      </c>
      <c r="AC42" s="147"/>
      <c r="AD42" s="146"/>
      <c r="AE42" s="147">
        <v>2877</v>
      </c>
      <c r="AF42" s="146">
        <v>17823</v>
      </c>
      <c r="AG42" s="147"/>
      <c r="AH42" s="146"/>
      <c r="AI42" s="147"/>
      <c r="AJ42" s="146"/>
      <c r="AK42" s="147">
        <v>8092</v>
      </c>
      <c r="AL42" s="146">
        <v>12946</v>
      </c>
      <c r="AM42" s="194">
        <v>108</v>
      </c>
    </row>
    <row r="43" spans="1:39" ht="24" customHeight="1">
      <c r="A43" s="201">
        <v>118</v>
      </c>
      <c r="B43" s="183">
        <v>34605</v>
      </c>
      <c r="C43" s="183">
        <v>43754</v>
      </c>
      <c r="D43" s="182">
        <v>25</v>
      </c>
      <c r="E43" s="3" t="s">
        <v>61</v>
      </c>
      <c r="F43" s="143" t="s">
        <v>116</v>
      </c>
      <c r="G43" s="142">
        <v>21.26</v>
      </c>
      <c r="H43" s="11" t="s">
        <v>59</v>
      </c>
      <c r="I43" s="82" t="s">
        <v>60</v>
      </c>
      <c r="J43" s="147">
        <v>191451</v>
      </c>
      <c r="K43" s="146">
        <v>243673</v>
      </c>
      <c r="L43" s="147">
        <v>103524</v>
      </c>
      <c r="M43" s="146">
        <v>195690</v>
      </c>
      <c r="N43" s="147">
        <v>340474</v>
      </c>
      <c r="O43" s="146">
        <v>661231</v>
      </c>
      <c r="P43" s="147">
        <v>97044</v>
      </c>
      <c r="Q43" s="146">
        <v>401697</v>
      </c>
      <c r="R43" s="147">
        <v>362458</v>
      </c>
      <c r="S43" s="146">
        <v>457400</v>
      </c>
      <c r="T43" s="147">
        <v>299686</v>
      </c>
      <c r="U43" s="146">
        <v>242106</v>
      </c>
      <c r="V43" s="147">
        <v>152480</v>
      </c>
      <c r="W43" s="146">
        <v>198858</v>
      </c>
      <c r="X43" s="32">
        <v>118</v>
      </c>
      <c r="Y43" s="147">
        <v>2832</v>
      </c>
      <c r="Z43" s="146">
        <v>4410</v>
      </c>
      <c r="AA43" s="147">
        <v>2839</v>
      </c>
      <c r="AB43" s="146">
        <v>3489</v>
      </c>
      <c r="AC43" s="147">
        <v>5839</v>
      </c>
      <c r="AD43" s="146">
        <v>7820</v>
      </c>
      <c r="AE43" s="147"/>
      <c r="AF43" s="146"/>
      <c r="AG43" s="147">
        <v>30858</v>
      </c>
      <c r="AH43" s="146">
        <v>34597</v>
      </c>
      <c r="AI43" s="147"/>
      <c r="AJ43" s="146"/>
      <c r="AK43" s="147">
        <v>58656</v>
      </c>
      <c r="AL43" s="146">
        <v>32996</v>
      </c>
      <c r="AM43" s="200">
        <v>118</v>
      </c>
    </row>
    <row r="44" spans="1:39" ht="24" customHeight="1">
      <c r="A44" s="211">
        <v>124</v>
      </c>
      <c r="B44" s="210">
        <v>15637</v>
      </c>
      <c r="C44" s="210">
        <v>43746</v>
      </c>
      <c r="D44" s="209">
        <v>76</v>
      </c>
      <c r="E44" s="4" t="s">
        <v>58</v>
      </c>
      <c r="F44" s="143" t="s">
        <v>116</v>
      </c>
      <c r="G44" s="142">
        <v>25.994842293195799</v>
      </c>
      <c r="H44" s="5" t="s">
        <v>64</v>
      </c>
      <c r="I44" s="82" t="s">
        <v>60</v>
      </c>
      <c r="J44" s="147">
        <v>55962</v>
      </c>
      <c r="K44" s="146">
        <v>110991</v>
      </c>
      <c r="L44" s="147">
        <v>130440</v>
      </c>
      <c r="M44" s="146">
        <v>153901</v>
      </c>
      <c r="N44" s="147">
        <v>19169</v>
      </c>
      <c r="O44" s="146">
        <v>28140</v>
      </c>
      <c r="P44" s="147">
        <v>8932</v>
      </c>
      <c r="Q44" s="146">
        <v>22235</v>
      </c>
      <c r="R44" s="147">
        <v>133763</v>
      </c>
      <c r="S44" s="146">
        <v>207529</v>
      </c>
      <c r="T44" s="147">
        <v>51898</v>
      </c>
      <c r="U44" s="146">
        <v>109924</v>
      </c>
      <c r="V44" s="147">
        <v>135389</v>
      </c>
      <c r="W44" s="146">
        <v>150995</v>
      </c>
      <c r="X44" s="208">
        <v>124</v>
      </c>
      <c r="Y44" s="147">
        <v>3172</v>
      </c>
      <c r="Z44" s="146">
        <v>3779</v>
      </c>
      <c r="AA44" s="147">
        <v>1935</v>
      </c>
      <c r="AB44" s="146">
        <v>3708</v>
      </c>
      <c r="AC44" s="147">
        <v>1803</v>
      </c>
      <c r="AD44" s="146">
        <v>2077</v>
      </c>
      <c r="AE44" s="147"/>
      <c r="AF44" s="146"/>
      <c r="AG44" s="147">
        <v>5270</v>
      </c>
      <c r="AH44" s="146">
        <v>28023</v>
      </c>
      <c r="AI44" s="147"/>
      <c r="AJ44" s="146"/>
      <c r="AK44" s="147">
        <v>1220</v>
      </c>
      <c r="AL44" s="146">
        <v>1373</v>
      </c>
      <c r="AM44" s="207">
        <v>124</v>
      </c>
    </row>
    <row r="45" spans="1:39" ht="24" customHeight="1">
      <c r="A45" s="211">
        <v>125</v>
      </c>
      <c r="B45" s="210">
        <v>17950</v>
      </c>
      <c r="C45" s="210">
        <v>43734</v>
      </c>
      <c r="D45" s="209">
        <v>70</v>
      </c>
      <c r="E45" s="3" t="s">
        <v>61</v>
      </c>
      <c r="F45" s="143" t="s">
        <v>116</v>
      </c>
      <c r="G45" s="142">
        <v>35.707747279109121</v>
      </c>
      <c r="H45" s="5" t="s">
        <v>64</v>
      </c>
      <c r="I45" s="82" t="s">
        <v>60</v>
      </c>
      <c r="J45" s="147">
        <v>73076</v>
      </c>
      <c r="K45" s="146">
        <v>104720</v>
      </c>
      <c r="L45" s="147">
        <v>96252</v>
      </c>
      <c r="M45" s="146">
        <v>162571</v>
      </c>
      <c r="N45" s="147">
        <v>40685</v>
      </c>
      <c r="O45" s="146">
        <v>42294</v>
      </c>
      <c r="P45" s="147">
        <v>29153</v>
      </c>
      <c r="Q45" s="146">
        <v>62567</v>
      </c>
      <c r="R45" s="147">
        <v>100287</v>
      </c>
      <c r="S45" s="146">
        <v>157744</v>
      </c>
      <c r="T45" s="147">
        <v>15780</v>
      </c>
      <c r="U45" s="146">
        <v>23018</v>
      </c>
      <c r="V45" s="147">
        <v>86439</v>
      </c>
      <c r="W45" s="146">
        <v>74801</v>
      </c>
      <c r="X45" s="208">
        <v>125</v>
      </c>
      <c r="Y45" s="147">
        <v>17329</v>
      </c>
      <c r="Z45" s="146">
        <v>27163</v>
      </c>
      <c r="AA45" s="147">
        <v>8079</v>
      </c>
      <c r="AB45" s="146">
        <v>20639</v>
      </c>
      <c r="AC45" s="147">
        <v>370.2</v>
      </c>
      <c r="AD45" s="146">
        <v>10607</v>
      </c>
      <c r="AE45" s="147"/>
      <c r="AF45" s="146"/>
      <c r="AG45" s="147">
        <v>65923</v>
      </c>
      <c r="AH45" s="146">
        <v>64729</v>
      </c>
      <c r="AI45" s="147"/>
      <c r="AJ45" s="146"/>
      <c r="AK45" s="147">
        <v>57870</v>
      </c>
      <c r="AL45" s="146">
        <v>30546</v>
      </c>
      <c r="AM45" s="207">
        <v>125</v>
      </c>
    </row>
    <row r="46" spans="1:39" ht="24" customHeight="1">
      <c r="A46" s="211">
        <v>126</v>
      </c>
      <c r="B46" s="210">
        <v>19037</v>
      </c>
      <c r="C46" s="210">
        <v>43766</v>
      </c>
      <c r="D46" s="209">
        <v>67</v>
      </c>
      <c r="E46" s="4" t="s">
        <v>58</v>
      </c>
      <c r="F46" s="143" t="s">
        <v>116</v>
      </c>
      <c r="G46" s="142">
        <v>27.788319184423081</v>
      </c>
      <c r="H46" s="5" t="s">
        <v>64</v>
      </c>
      <c r="I46" s="82" t="s">
        <v>60</v>
      </c>
      <c r="J46" s="147">
        <v>81783</v>
      </c>
      <c r="K46" s="146">
        <v>138434</v>
      </c>
      <c r="L46" s="147">
        <v>42700</v>
      </c>
      <c r="M46" s="146">
        <v>148025</v>
      </c>
      <c r="N46" s="147">
        <v>83955</v>
      </c>
      <c r="O46" s="146">
        <v>131837</v>
      </c>
      <c r="P46" s="147">
        <v>21383</v>
      </c>
      <c r="Q46" s="146">
        <v>186947</v>
      </c>
      <c r="R46" s="147">
        <v>328106</v>
      </c>
      <c r="S46" s="146">
        <v>386394</v>
      </c>
      <c r="T46" s="147">
        <v>313496</v>
      </c>
      <c r="U46" s="146">
        <v>540676</v>
      </c>
      <c r="V46" s="147">
        <v>355136</v>
      </c>
      <c r="W46" s="146">
        <v>630198</v>
      </c>
      <c r="X46" s="208">
        <v>126</v>
      </c>
      <c r="Y46" s="147">
        <v>2016</v>
      </c>
      <c r="Z46" s="146">
        <v>1620</v>
      </c>
      <c r="AA46" s="147">
        <v>2532</v>
      </c>
      <c r="AB46" s="146">
        <v>2395</v>
      </c>
      <c r="AC46" s="147">
        <v>4105</v>
      </c>
      <c r="AD46" s="146">
        <v>4618</v>
      </c>
      <c r="AE46" s="147"/>
      <c r="AF46" s="146"/>
      <c r="AG46" s="147">
        <v>8233</v>
      </c>
      <c r="AH46" s="146">
        <v>8896</v>
      </c>
      <c r="AI46" s="147"/>
      <c r="AJ46" s="146"/>
      <c r="AK46" s="147">
        <v>1824</v>
      </c>
      <c r="AL46" s="146">
        <v>1700</v>
      </c>
      <c r="AM46" s="207">
        <v>126</v>
      </c>
    </row>
    <row r="47" spans="1:39" ht="24" customHeight="1">
      <c r="A47" s="199">
        <v>128</v>
      </c>
      <c r="B47" s="190">
        <v>29678</v>
      </c>
      <c r="C47" s="190">
        <v>43804</v>
      </c>
      <c r="D47" s="189">
        <v>38</v>
      </c>
      <c r="E47" s="3" t="s">
        <v>61</v>
      </c>
      <c r="F47" s="143" t="s">
        <v>117</v>
      </c>
      <c r="G47" s="142">
        <v>36.374961416558783</v>
      </c>
      <c r="H47" s="11" t="s">
        <v>59</v>
      </c>
      <c r="I47" s="82" t="s">
        <v>60</v>
      </c>
      <c r="J47" s="147">
        <v>103803</v>
      </c>
      <c r="K47" s="146">
        <v>245518</v>
      </c>
      <c r="L47" s="147">
        <v>124921</v>
      </c>
      <c r="M47" s="146">
        <v>313278</v>
      </c>
      <c r="N47" s="147">
        <v>145488</v>
      </c>
      <c r="O47" s="146">
        <v>585429</v>
      </c>
      <c r="P47" s="147">
        <v>88400</v>
      </c>
      <c r="Q47" s="146">
        <v>335964</v>
      </c>
      <c r="R47" s="147">
        <v>73320</v>
      </c>
      <c r="S47" s="146">
        <v>202104</v>
      </c>
      <c r="T47" s="147">
        <v>56272</v>
      </c>
      <c r="U47" s="146">
        <v>315769</v>
      </c>
      <c r="V47" s="147">
        <v>113629</v>
      </c>
      <c r="W47" s="146">
        <v>231967</v>
      </c>
      <c r="X47" s="198">
        <v>128</v>
      </c>
      <c r="Y47" s="147">
        <v>74257</v>
      </c>
      <c r="Z47" s="146">
        <v>130212</v>
      </c>
      <c r="AA47" s="147">
        <v>104021</v>
      </c>
      <c r="AB47" s="146">
        <v>276653</v>
      </c>
      <c r="AC47" s="147">
        <v>13600</v>
      </c>
      <c r="AD47" s="146">
        <v>23514</v>
      </c>
      <c r="AE47" s="147"/>
      <c r="AF47" s="146"/>
      <c r="AG47" s="147">
        <v>13686</v>
      </c>
      <c r="AH47" s="146">
        <v>19800</v>
      </c>
      <c r="AI47" s="147"/>
      <c r="AJ47" s="146"/>
      <c r="AK47" s="147">
        <v>5495</v>
      </c>
      <c r="AL47" s="146">
        <v>11726</v>
      </c>
      <c r="AM47" s="197">
        <v>128</v>
      </c>
    </row>
    <row r="48" spans="1:39" ht="24" customHeight="1">
      <c r="A48" s="201">
        <v>129</v>
      </c>
      <c r="B48" s="183">
        <v>34934</v>
      </c>
      <c r="C48" s="183">
        <v>43857</v>
      </c>
      <c r="D48" s="182">
        <v>24</v>
      </c>
      <c r="E48" s="3" t="s">
        <v>61</v>
      </c>
      <c r="F48" s="143" t="s">
        <v>118</v>
      </c>
      <c r="G48" s="142">
        <v>26.2</v>
      </c>
      <c r="H48" s="11" t="s">
        <v>59</v>
      </c>
      <c r="I48" s="82" t="s">
        <v>60</v>
      </c>
      <c r="J48" s="147"/>
      <c r="K48" s="146"/>
      <c r="L48" s="147">
        <v>209239</v>
      </c>
      <c r="M48" s="146">
        <v>242087</v>
      </c>
      <c r="N48" s="147"/>
      <c r="O48" s="146"/>
      <c r="P48" s="147">
        <v>80209</v>
      </c>
      <c r="Q48" s="146">
        <v>129002</v>
      </c>
      <c r="R48" s="147"/>
      <c r="S48" s="146"/>
      <c r="T48" s="147">
        <v>77159</v>
      </c>
      <c r="U48" s="146">
        <v>339147</v>
      </c>
      <c r="V48" s="147">
        <v>51199</v>
      </c>
      <c r="W48" s="146">
        <v>97774</v>
      </c>
      <c r="X48" s="32">
        <v>129</v>
      </c>
      <c r="Y48" s="147"/>
      <c r="Z48" s="146"/>
      <c r="AA48" s="147">
        <v>1386</v>
      </c>
      <c r="AB48" s="146">
        <v>1586</v>
      </c>
      <c r="AC48" s="147"/>
      <c r="AD48" s="146"/>
      <c r="AE48" s="147">
        <v>1647</v>
      </c>
      <c r="AF48" s="146">
        <v>6572</v>
      </c>
      <c r="AG48" s="147"/>
      <c r="AH48" s="146"/>
      <c r="AI48" s="147"/>
      <c r="AJ48" s="146"/>
      <c r="AK48" s="147">
        <v>1743</v>
      </c>
      <c r="AL48" s="146">
        <v>3014</v>
      </c>
      <c r="AM48" s="200">
        <v>129</v>
      </c>
    </row>
    <row r="49" spans="1:39" ht="24" customHeight="1">
      <c r="A49" s="206">
        <v>134</v>
      </c>
      <c r="B49" s="205">
        <v>17225</v>
      </c>
      <c r="C49" s="205">
        <v>43738</v>
      </c>
      <c r="D49" s="204">
        <v>72</v>
      </c>
      <c r="E49" s="3" t="s">
        <v>61</v>
      </c>
      <c r="F49" s="143" t="s">
        <v>119</v>
      </c>
      <c r="G49" s="142">
        <v>26.219684254651447</v>
      </c>
      <c r="H49" s="11" t="s">
        <v>59</v>
      </c>
      <c r="I49" s="82" t="s">
        <v>60</v>
      </c>
      <c r="J49" s="147">
        <v>63072</v>
      </c>
      <c r="K49" s="146">
        <v>79173</v>
      </c>
      <c r="L49" s="147">
        <v>69717</v>
      </c>
      <c r="M49" s="146">
        <v>51404</v>
      </c>
      <c r="N49" s="147">
        <v>180830</v>
      </c>
      <c r="O49" s="146">
        <v>133032</v>
      </c>
      <c r="P49" s="147">
        <v>22178</v>
      </c>
      <c r="Q49" s="146">
        <v>28915</v>
      </c>
      <c r="R49" s="147">
        <v>73904</v>
      </c>
      <c r="S49" s="146">
        <v>123202</v>
      </c>
      <c r="T49" s="147">
        <v>29639</v>
      </c>
      <c r="U49" s="146">
        <v>39203</v>
      </c>
      <c r="V49" s="147">
        <v>97875</v>
      </c>
      <c r="W49" s="146">
        <v>109054</v>
      </c>
      <c r="X49" s="203">
        <v>134</v>
      </c>
      <c r="Y49" s="147">
        <v>3667</v>
      </c>
      <c r="Z49" s="146">
        <v>6549</v>
      </c>
      <c r="AA49" s="147">
        <v>10855</v>
      </c>
      <c r="AB49" s="146">
        <v>9041</v>
      </c>
      <c r="AC49" s="147">
        <v>3251</v>
      </c>
      <c r="AD49" s="146">
        <v>5641</v>
      </c>
      <c r="AE49" s="147"/>
      <c r="AF49" s="146"/>
      <c r="AG49" s="147">
        <v>69181</v>
      </c>
      <c r="AH49" s="146">
        <v>74511</v>
      </c>
      <c r="AI49" s="147"/>
      <c r="AJ49" s="146"/>
      <c r="AK49" s="147">
        <v>16865</v>
      </c>
      <c r="AL49" s="146">
        <v>13690</v>
      </c>
      <c r="AM49" s="202">
        <v>134</v>
      </c>
    </row>
    <row r="50" spans="1:39" ht="24" customHeight="1">
      <c r="A50" s="211">
        <v>135</v>
      </c>
      <c r="B50" s="210">
        <v>17723</v>
      </c>
      <c r="C50" s="210">
        <v>43728</v>
      </c>
      <c r="D50" s="209">
        <v>71</v>
      </c>
      <c r="E50" s="4" t="s">
        <v>58</v>
      </c>
      <c r="F50" s="143" t="s">
        <v>116</v>
      </c>
      <c r="G50" s="142">
        <v>27.241452669921802</v>
      </c>
      <c r="H50" s="5" t="s">
        <v>64</v>
      </c>
      <c r="I50" s="82" t="s">
        <v>60</v>
      </c>
      <c r="J50" s="147">
        <v>138822</v>
      </c>
      <c r="K50" s="146">
        <v>129394</v>
      </c>
      <c r="L50" s="147">
        <v>248878</v>
      </c>
      <c r="M50" s="146">
        <v>283310</v>
      </c>
      <c r="N50" s="147">
        <v>40028</v>
      </c>
      <c r="O50" s="146">
        <v>54013</v>
      </c>
      <c r="P50" s="147">
        <v>22815</v>
      </c>
      <c r="Q50" s="146">
        <v>44713</v>
      </c>
      <c r="R50" s="147">
        <v>199514</v>
      </c>
      <c r="S50" s="146">
        <v>232688</v>
      </c>
      <c r="T50" s="147">
        <v>248172</v>
      </c>
      <c r="U50" s="146">
        <v>620812</v>
      </c>
      <c r="V50" s="147">
        <v>185476</v>
      </c>
      <c r="W50" s="146">
        <v>136946</v>
      </c>
      <c r="X50" s="208">
        <v>135</v>
      </c>
      <c r="Y50" s="147">
        <v>1782</v>
      </c>
      <c r="Z50" s="146">
        <v>2980</v>
      </c>
      <c r="AA50" s="147">
        <v>5974</v>
      </c>
      <c r="AB50" s="146">
        <v>13853</v>
      </c>
      <c r="AC50" s="147">
        <v>382.8</v>
      </c>
      <c r="AD50" s="146">
        <v>2248</v>
      </c>
      <c r="AE50" s="147"/>
      <c r="AF50" s="146"/>
      <c r="AG50" s="147">
        <v>12900</v>
      </c>
      <c r="AH50" s="146">
        <v>15888</v>
      </c>
      <c r="AI50" s="147"/>
      <c r="AJ50" s="146"/>
      <c r="AK50" s="147">
        <v>4960</v>
      </c>
      <c r="AL50" s="146">
        <v>6129</v>
      </c>
      <c r="AM50" s="207">
        <v>135</v>
      </c>
    </row>
    <row r="51" spans="1:39" ht="24" customHeight="1">
      <c r="A51" s="201">
        <v>136</v>
      </c>
      <c r="B51" s="183">
        <v>33119</v>
      </c>
      <c r="C51" s="183">
        <v>43843</v>
      </c>
      <c r="D51" s="182">
        <v>29</v>
      </c>
      <c r="E51" s="3" t="s">
        <v>61</v>
      </c>
      <c r="F51" s="143" t="s">
        <v>118</v>
      </c>
      <c r="G51" s="142">
        <v>25.593620325657014</v>
      </c>
      <c r="H51" s="11" t="s">
        <v>59</v>
      </c>
      <c r="I51" s="82" t="s">
        <v>60</v>
      </c>
      <c r="J51" s="147"/>
      <c r="K51" s="146"/>
      <c r="L51" s="147">
        <v>137027</v>
      </c>
      <c r="M51" s="146">
        <v>122976</v>
      </c>
      <c r="N51" s="147"/>
      <c r="O51" s="146"/>
      <c r="P51" s="147">
        <v>34690</v>
      </c>
      <c r="Q51" s="146">
        <v>65960</v>
      </c>
      <c r="R51" s="147">
        <v>82523</v>
      </c>
      <c r="S51" s="146">
        <v>83018</v>
      </c>
      <c r="T51" s="147">
        <v>74799</v>
      </c>
      <c r="U51" s="146">
        <v>165797</v>
      </c>
      <c r="V51" s="147">
        <v>155547</v>
      </c>
      <c r="W51" s="146">
        <v>157332</v>
      </c>
      <c r="X51" s="32">
        <v>136</v>
      </c>
      <c r="Y51" s="147"/>
      <c r="Z51" s="146"/>
      <c r="AA51" s="147">
        <v>1576</v>
      </c>
      <c r="AB51" s="146">
        <v>1530</v>
      </c>
      <c r="AC51" s="147"/>
      <c r="AD51" s="146"/>
      <c r="AE51" s="147">
        <v>1095</v>
      </c>
      <c r="AF51" s="146">
        <v>1383</v>
      </c>
      <c r="AG51" s="147"/>
      <c r="AH51" s="146"/>
      <c r="AI51" s="147"/>
      <c r="AJ51" s="146"/>
      <c r="AK51" s="147">
        <v>5143</v>
      </c>
      <c r="AL51" s="146">
        <v>5147</v>
      </c>
      <c r="AM51" s="200">
        <v>136</v>
      </c>
    </row>
    <row r="52" spans="1:39" ht="24" customHeight="1">
      <c r="A52" s="206">
        <v>139</v>
      </c>
      <c r="B52" s="205">
        <v>19925</v>
      </c>
      <c r="C52" s="205">
        <v>43834</v>
      </c>
      <c r="D52" s="204">
        <v>65</v>
      </c>
      <c r="E52" s="3" t="s">
        <v>61</v>
      </c>
      <c r="F52" s="143" t="s">
        <v>116</v>
      </c>
      <c r="G52" s="142">
        <v>28.190748616809067</v>
      </c>
      <c r="H52" s="11" t="s">
        <v>59</v>
      </c>
      <c r="I52" s="82" t="s">
        <v>60</v>
      </c>
      <c r="J52" s="147"/>
      <c r="K52" s="146"/>
      <c r="L52" s="147">
        <v>172213</v>
      </c>
      <c r="M52" s="146">
        <v>300817</v>
      </c>
      <c r="N52" s="147"/>
      <c r="O52" s="146"/>
      <c r="P52" s="147">
        <v>111953</v>
      </c>
      <c r="Q52" s="146">
        <v>270005</v>
      </c>
      <c r="R52" s="147">
        <v>61127</v>
      </c>
      <c r="S52" s="146">
        <v>131522</v>
      </c>
      <c r="T52" s="147">
        <v>39157</v>
      </c>
      <c r="U52" s="146">
        <v>107982</v>
      </c>
      <c r="V52" s="147">
        <v>94749</v>
      </c>
      <c r="W52" s="146">
        <v>170232</v>
      </c>
      <c r="X52" s="203">
        <v>139</v>
      </c>
      <c r="Y52" s="147"/>
      <c r="Z52" s="146"/>
      <c r="AA52" s="147">
        <v>2091</v>
      </c>
      <c r="AB52" s="146">
        <v>3891</v>
      </c>
      <c r="AC52" s="147"/>
      <c r="AD52" s="146"/>
      <c r="AE52" s="147">
        <v>3662</v>
      </c>
      <c r="AF52" s="146">
        <v>8427</v>
      </c>
      <c r="AG52" s="147"/>
      <c r="AH52" s="146"/>
      <c r="AI52" s="147"/>
      <c r="AJ52" s="146"/>
      <c r="AK52" s="147">
        <v>5711</v>
      </c>
      <c r="AL52" s="146">
        <v>9762</v>
      </c>
      <c r="AM52" s="202">
        <v>139</v>
      </c>
    </row>
    <row r="53" spans="1:39" ht="24" customHeight="1">
      <c r="A53" s="206">
        <v>140</v>
      </c>
      <c r="B53" s="205">
        <v>19555</v>
      </c>
      <c r="C53" s="205">
        <v>43834</v>
      </c>
      <c r="D53" s="204">
        <v>66</v>
      </c>
      <c r="E53" s="4" t="s">
        <v>58</v>
      </c>
      <c r="F53" s="143" t="s">
        <v>118</v>
      </c>
      <c r="G53" s="142">
        <v>29.012131567340255</v>
      </c>
      <c r="H53" s="11" t="s">
        <v>59</v>
      </c>
      <c r="I53" s="82" t="s">
        <v>60</v>
      </c>
      <c r="J53" s="147"/>
      <c r="K53" s="146"/>
      <c r="L53" s="147">
        <v>142716</v>
      </c>
      <c r="M53" s="146">
        <v>325173</v>
      </c>
      <c r="N53" s="147"/>
      <c r="O53" s="146"/>
      <c r="P53" s="147">
        <v>247415</v>
      </c>
      <c r="Q53" s="146">
        <v>1693111</v>
      </c>
      <c r="R53" s="147">
        <v>199934</v>
      </c>
      <c r="S53" s="146">
        <v>212102</v>
      </c>
      <c r="T53" s="147">
        <v>146382</v>
      </c>
      <c r="U53" s="146">
        <v>309241</v>
      </c>
      <c r="V53" s="147">
        <v>340085</v>
      </c>
      <c r="W53" s="146">
        <v>485631</v>
      </c>
      <c r="X53" s="203">
        <v>140</v>
      </c>
      <c r="Y53" s="147"/>
      <c r="Z53" s="146"/>
      <c r="AA53" s="147">
        <v>2466</v>
      </c>
      <c r="AB53" s="146">
        <v>3538</v>
      </c>
      <c r="AC53" s="147"/>
      <c r="AD53" s="146"/>
      <c r="AE53" s="147">
        <v>1453</v>
      </c>
      <c r="AF53" s="146">
        <v>3218</v>
      </c>
      <c r="AG53" s="147"/>
      <c r="AH53" s="146"/>
      <c r="AI53" s="147"/>
      <c r="AJ53" s="146"/>
      <c r="AK53" s="147">
        <v>3342</v>
      </c>
      <c r="AL53" s="146">
        <v>2638</v>
      </c>
      <c r="AM53" s="202">
        <v>140</v>
      </c>
    </row>
    <row r="54" spans="1:39" ht="24" customHeight="1">
      <c r="A54" s="211">
        <v>141</v>
      </c>
      <c r="B54" s="210">
        <v>16919</v>
      </c>
      <c r="C54" s="210">
        <v>43731</v>
      </c>
      <c r="D54" s="209">
        <v>73</v>
      </c>
      <c r="E54" s="3" t="s">
        <v>61</v>
      </c>
      <c r="F54" s="143" t="s">
        <v>116</v>
      </c>
      <c r="G54" s="142">
        <v>29.171045981198862</v>
      </c>
      <c r="H54" s="5" t="s">
        <v>64</v>
      </c>
      <c r="I54" s="82" t="s">
        <v>60</v>
      </c>
      <c r="J54" s="147">
        <v>150822</v>
      </c>
      <c r="K54" s="146">
        <v>282936</v>
      </c>
      <c r="L54" s="147">
        <v>164877</v>
      </c>
      <c r="M54" s="146">
        <v>906676</v>
      </c>
      <c r="N54" s="147">
        <v>80015</v>
      </c>
      <c r="O54" s="146">
        <v>111222</v>
      </c>
      <c r="P54" s="147">
        <v>31578</v>
      </c>
      <c r="Q54" s="146">
        <v>154467</v>
      </c>
      <c r="R54" s="147">
        <v>112210</v>
      </c>
      <c r="S54" s="146">
        <v>206358</v>
      </c>
      <c r="T54" s="147">
        <v>78954</v>
      </c>
      <c r="U54" s="146">
        <v>252911</v>
      </c>
      <c r="V54" s="147">
        <v>111830</v>
      </c>
      <c r="W54" s="146">
        <v>124265</v>
      </c>
      <c r="X54" s="208">
        <v>141</v>
      </c>
      <c r="Y54" s="147">
        <v>7868</v>
      </c>
      <c r="Z54" s="146">
        <v>14554</v>
      </c>
      <c r="AA54" s="147">
        <v>19324</v>
      </c>
      <c r="AB54" s="146">
        <v>25328</v>
      </c>
      <c r="AC54" s="147">
        <v>1483</v>
      </c>
      <c r="AD54" s="146">
        <v>2264</v>
      </c>
      <c r="AE54" s="147"/>
      <c r="AF54" s="146"/>
      <c r="AG54" s="147">
        <v>2518</v>
      </c>
      <c r="AH54" s="146">
        <v>4212</v>
      </c>
      <c r="AI54" s="147"/>
      <c r="AJ54" s="146"/>
      <c r="AK54" s="147">
        <v>9665</v>
      </c>
      <c r="AL54" s="146">
        <v>8493</v>
      </c>
      <c r="AM54" s="207">
        <v>141</v>
      </c>
    </row>
    <row r="55" spans="1:39" ht="24" customHeight="1">
      <c r="A55" s="211">
        <v>146</v>
      </c>
      <c r="B55" s="210">
        <v>17845</v>
      </c>
      <c r="C55" s="210">
        <v>43735</v>
      </c>
      <c r="D55" s="209">
        <v>70</v>
      </c>
      <c r="E55" s="4" t="s">
        <v>58</v>
      </c>
      <c r="F55" s="143" t="s">
        <v>116</v>
      </c>
      <c r="G55" s="142">
        <v>29.026309315233192</v>
      </c>
      <c r="H55" s="5" t="s">
        <v>64</v>
      </c>
      <c r="I55" s="82" t="s">
        <v>60</v>
      </c>
      <c r="J55" s="147">
        <v>361356</v>
      </c>
      <c r="K55" s="146">
        <v>358093</v>
      </c>
      <c r="L55" s="147">
        <v>482617</v>
      </c>
      <c r="M55" s="146">
        <v>579313</v>
      </c>
      <c r="N55" s="147">
        <v>151586</v>
      </c>
      <c r="O55" s="146">
        <v>234854</v>
      </c>
      <c r="P55" s="147">
        <v>114693</v>
      </c>
      <c r="Q55" s="146">
        <v>169852</v>
      </c>
      <c r="R55" s="147">
        <v>135209</v>
      </c>
      <c r="S55" s="146">
        <v>281824</v>
      </c>
      <c r="T55" s="147">
        <v>109381</v>
      </c>
      <c r="U55" s="146">
        <v>173969</v>
      </c>
      <c r="V55" s="147">
        <v>424024</v>
      </c>
      <c r="W55" s="146">
        <v>339915</v>
      </c>
      <c r="X55" s="208">
        <v>146</v>
      </c>
      <c r="Y55" s="147">
        <v>20078</v>
      </c>
      <c r="Z55" s="146">
        <v>24602</v>
      </c>
      <c r="AA55" s="147">
        <v>26258</v>
      </c>
      <c r="AB55" s="146">
        <v>26741</v>
      </c>
      <c r="AC55" s="147">
        <v>71731</v>
      </c>
      <c r="AD55" s="146">
        <v>104192</v>
      </c>
      <c r="AE55" s="147"/>
      <c r="AF55" s="146"/>
      <c r="AG55" s="147">
        <v>48261</v>
      </c>
      <c r="AH55" s="146">
        <v>51789</v>
      </c>
      <c r="AI55" s="147"/>
      <c r="AJ55" s="146"/>
      <c r="AK55" s="147">
        <v>54826</v>
      </c>
      <c r="AL55" s="146">
        <v>58774</v>
      </c>
      <c r="AM55" s="207">
        <v>146</v>
      </c>
    </row>
    <row r="56" spans="1:39" ht="24" customHeight="1">
      <c r="A56" s="211">
        <v>147</v>
      </c>
      <c r="B56" s="210">
        <v>18298</v>
      </c>
      <c r="C56" s="210">
        <v>43738</v>
      </c>
      <c r="D56" s="209">
        <v>69</v>
      </c>
      <c r="E56" s="4" t="s">
        <v>58</v>
      </c>
      <c r="F56" s="143" t="s">
        <v>116</v>
      </c>
      <c r="G56" s="142">
        <v>21.22724713829987</v>
      </c>
      <c r="H56" s="5" t="s">
        <v>64</v>
      </c>
      <c r="I56" s="82" t="s">
        <v>60</v>
      </c>
      <c r="J56" s="147">
        <v>129563</v>
      </c>
      <c r="K56" s="146">
        <v>231817</v>
      </c>
      <c r="L56" s="147">
        <v>93865</v>
      </c>
      <c r="M56" s="146">
        <v>125096</v>
      </c>
      <c r="N56" s="147">
        <v>80672</v>
      </c>
      <c r="O56" s="146">
        <v>97874</v>
      </c>
      <c r="P56" s="147">
        <v>4395</v>
      </c>
      <c r="Q56" s="146">
        <v>10463</v>
      </c>
      <c r="R56" s="147">
        <v>294929</v>
      </c>
      <c r="S56" s="146">
        <v>259910</v>
      </c>
      <c r="T56" s="147">
        <v>149949</v>
      </c>
      <c r="U56" s="146">
        <v>140913</v>
      </c>
      <c r="V56" s="147">
        <v>247911</v>
      </c>
      <c r="W56" s="146">
        <v>214442</v>
      </c>
      <c r="X56" s="208">
        <v>147</v>
      </c>
      <c r="Y56" s="147">
        <v>10650</v>
      </c>
      <c r="Z56" s="146">
        <v>15491</v>
      </c>
      <c r="AA56" s="147">
        <v>5363</v>
      </c>
      <c r="AB56" s="146">
        <v>7902</v>
      </c>
      <c r="AC56" s="147">
        <v>3353</v>
      </c>
      <c r="AD56" s="146">
        <v>4520</v>
      </c>
      <c r="AE56" s="147">
        <v>1651</v>
      </c>
      <c r="AF56" s="146">
        <v>6420</v>
      </c>
      <c r="AG56" s="147">
        <v>15623</v>
      </c>
      <c r="AH56" s="146">
        <v>17401</v>
      </c>
      <c r="AI56" s="147"/>
      <c r="AJ56" s="146"/>
      <c r="AK56" s="147">
        <v>11263</v>
      </c>
      <c r="AL56" s="146">
        <v>11806</v>
      </c>
      <c r="AM56" s="207">
        <v>147</v>
      </c>
    </row>
    <row r="57" spans="1:39" ht="24" customHeight="1">
      <c r="A57" s="211">
        <v>148</v>
      </c>
      <c r="B57" s="210">
        <v>17640</v>
      </c>
      <c r="C57" s="210">
        <v>43732</v>
      </c>
      <c r="D57" s="209">
        <v>71</v>
      </c>
      <c r="E57" s="4" t="s">
        <v>58</v>
      </c>
      <c r="F57" s="143" t="s">
        <v>116</v>
      </c>
      <c r="G57" s="142">
        <v>30.567482085677248</v>
      </c>
      <c r="H57" s="5" t="s">
        <v>64</v>
      </c>
      <c r="I57" s="82" t="s">
        <v>60</v>
      </c>
      <c r="J57" s="147">
        <v>79992</v>
      </c>
      <c r="K57" s="146">
        <v>198999</v>
      </c>
      <c r="L57" s="147">
        <v>32164</v>
      </c>
      <c r="M57" s="146">
        <v>72498</v>
      </c>
      <c r="N57" s="147">
        <v>62513</v>
      </c>
      <c r="O57" s="146">
        <v>153667</v>
      </c>
      <c r="P57" s="147">
        <v>6522</v>
      </c>
      <c r="Q57" s="146">
        <v>22189</v>
      </c>
      <c r="R57" s="147">
        <v>169482</v>
      </c>
      <c r="S57" s="146">
        <v>278093</v>
      </c>
      <c r="T57" s="147">
        <v>142857</v>
      </c>
      <c r="U57" s="146">
        <v>132020</v>
      </c>
      <c r="V57" s="147">
        <v>135756</v>
      </c>
      <c r="W57" s="146">
        <v>239620</v>
      </c>
      <c r="X57" s="208">
        <v>148</v>
      </c>
      <c r="Y57" s="147">
        <v>3373</v>
      </c>
      <c r="Z57" s="146">
        <v>3788</v>
      </c>
      <c r="AA57" s="147">
        <v>381.1</v>
      </c>
      <c r="AB57" s="146">
        <v>366</v>
      </c>
      <c r="AC57" s="147">
        <v>2589</v>
      </c>
      <c r="AD57" s="146">
        <v>3148</v>
      </c>
      <c r="AE57" s="147">
        <v>1547</v>
      </c>
      <c r="AF57" s="146">
        <v>2009</v>
      </c>
      <c r="AG57" s="147">
        <v>8038</v>
      </c>
      <c r="AH57" s="146">
        <v>8590</v>
      </c>
      <c r="AI57" s="147"/>
      <c r="AJ57" s="146"/>
      <c r="AK57" s="147">
        <v>2197</v>
      </c>
      <c r="AL57" s="146">
        <v>2231</v>
      </c>
      <c r="AM57" s="207">
        <v>148</v>
      </c>
    </row>
    <row r="58" spans="1:39" ht="24" customHeight="1">
      <c r="A58" s="206">
        <v>149</v>
      </c>
      <c r="B58" s="205">
        <v>18768</v>
      </c>
      <c r="C58" s="205">
        <v>43747</v>
      </c>
      <c r="D58" s="204">
        <v>68</v>
      </c>
      <c r="E58" s="4" t="s">
        <v>58</v>
      </c>
      <c r="F58" s="143" t="s">
        <v>116</v>
      </c>
      <c r="G58" s="142">
        <v>21.999564654165518</v>
      </c>
      <c r="H58" s="11" t="s">
        <v>59</v>
      </c>
      <c r="I58" s="82" t="s">
        <v>60</v>
      </c>
      <c r="J58" s="147">
        <v>122133</v>
      </c>
      <c r="K58" s="146">
        <v>75173</v>
      </c>
      <c r="L58" s="147">
        <v>39052</v>
      </c>
      <c r="M58" s="146">
        <v>76655</v>
      </c>
      <c r="N58" s="147">
        <v>160918</v>
      </c>
      <c r="O58" s="146">
        <v>86367</v>
      </c>
      <c r="P58" s="147">
        <v>6181</v>
      </c>
      <c r="Q58" s="146">
        <v>32808</v>
      </c>
      <c r="R58" s="147">
        <v>130026</v>
      </c>
      <c r="S58" s="146">
        <v>86206</v>
      </c>
      <c r="T58" s="147">
        <v>33386</v>
      </c>
      <c r="U58" s="146">
        <v>67197</v>
      </c>
      <c r="V58" s="147">
        <v>108581</v>
      </c>
      <c r="W58" s="146">
        <v>263463</v>
      </c>
      <c r="X58" s="203">
        <v>149</v>
      </c>
      <c r="Y58" s="147">
        <v>12672</v>
      </c>
      <c r="Z58" s="146">
        <v>13693</v>
      </c>
      <c r="AA58" s="147">
        <v>3034</v>
      </c>
      <c r="AB58" s="146">
        <v>3105</v>
      </c>
      <c r="AC58" s="147">
        <v>15659</v>
      </c>
      <c r="AD58" s="146">
        <v>18135</v>
      </c>
      <c r="AE58" s="147">
        <v>3082</v>
      </c>
      <c r="AF58" s="146">
        <v>4202</v>
      </c>
      <c r="AG58" s="147">
        <v>38635</v>
      </c>
      <c r="AH58" s="146">
        <v>41978</v>
      </c>
      <c r="AI58" s="147"/>
      <c r="AJ58" s="146"/>
      <c r="AK58" s="147">
        <v>11078</v>
      </c>
      <c r="AL58" s="146">
        <v>10391</v>
      </c>
      <c r="AM58" s="202">
        <v>149</v>
      </c>
    </row>
    <row r="59" spans="1:39" ht="24" customHeight="1">
      <c r="A59" s="206">
        <v>151</v>
      </c>
      <c r="B59" s="205">
        <v>18470</v>
      </c>
      <c r="C59" s="205">
        <v>43780</v>
      </c>
      <c r="D59" s="204">
        <v>69</v>
      </c>
      <c r="E59" s="3" t="s">
        <v>61</v>
      </c>
      <c r="F59" s="143" t="s">
        <v>116</v>
      </c>
      <c r="G59" s="142">
        <v>29.970664182398806</v>
      </c>
      <c r="H59" s="11" t="s">
        <v>59</v>
      </c>
      <c r="I59" s="82" t="s">
        <v>60</v>
      </c>
      <c r="J59" s="147">
        <v>49602</v>
      </c>
      <c r="K59" s="146">
        <v>46528</v>
      </c>
      <c r="L59" s="147">
        <v>13607</v>
      </c>
      <c r="M59" s="146">
        <v>20673</v>
      </c>
      <c r="N59" s="147">
        <v>60946</v>
      </c>
      <c r="O59" s="146">
        <v>102375</v>
      </c>
      <c r="P59" s="147">
        <v>8385</v>
      </c>
      <c r="Q59" s="146">
        <v>21416</v>
      </c>
      <c r="R59" s="147">
        <v>33884</v>
      </c>
      <c r="S59" s="146">
        <v>41017</v>
      </c>
      <c r="T59" s="147">
        <v>2302</v>
      </c>
      <c r="U59" s="146">
        <v>5892</v>
      </c>
      <c r="V59" s="147">
        <v>14917</v>
      </c>
      <c r="W59" s="146">
        <v>23877</v>
      </c>
      <c r="X59" s="203">
        <v>151</v>
      </c>
      <c r="Y59" s="147">
        <v>9305</v>
      </c>
      <c r="Z59" s="146">
        <v>11290</v>
      </c>
      <c r="AA59" s="147">
        <v>195.2</v>
      </c>
      <c r="AB59" s="146">
        <v>136</v>
      </c>
      <c r="AC59" s="147">
        <v>895.5</v>
      </c>
      <c r="AD59" s="146">
        <v>1194</v>
      </c>
      <c r="AE59" s="147">
        <v>365.5</v>
      </c>
      <c r="AF59" s="146">
        <v>449.4</v>
      </c>
      <c r="AG59" s="147">
        <v>1010</v>
      </c>
      <c r="AH59" s="146">
        <v>957.6</v>
      </c>
      <c r="AI59" s="147"/>
      <c r="AJ59" s="146"/>
      <c r="AK59" s="147">
        <v>931.2</v>
      </c>
      <c r="AL59" s="146">
        <v>1075</v>
      </c>
      <c r="AM59" s="202">
        <v>151</v>
      </c>
    </row>
    <row r="60" spans="1:39" ht="24" customHeight="1">
      <c r="A60" s="199">
        <v>155</v>
      </c>
      <c r="B60" s="190">
        <v>29689</v>
      </c>
      <c r="C60" s="190">
        <v>43769</v>
      </c>
      <c r="D60" s="189">
        <v>38</v>
      </c>
      <c r="E60" s="4" t="s">
        <v>58</v>
      </c>
      <c r="F60" s="143" t="s">
        <v>116</v>
      </c>
      <c r="G60" s="142">
        <v>49.209660774079545</v>
      </c>
      <c r="H60" s="11" t="s">
        <v>59</v>
      </c>
      <c r="I60" s="82" t="s">
        <v>60</v>
      </c>
      <c r="J60" s="147">
        <v>90995</v>
      </c>
      <c r="K60" s="146">
        <v>1343532</v>
      </c>
      <c r="L60" s="147">
        <v>74641</v>
      </c>
      <c r="M60" s="146">
        <v>358402</v>
      </c>
      <c r="N60" s="147">
        <v>84703</v>
      </c>
      <c r="O60" s="146">
        <v>507652</v>
      </c>
      <c r="P60" s="147">
        <v>7748</v>
      </c>
      <c r="Q60" s="146">
        <v>100060</v>
      </c>
      <c r="R60" s="147">
        <v>489412</v>
      </c>
      <c r="S60" s="146">
        <v>800180</v>
      </c>
      <c r="T60" s="147">
        <v>423788</v>
      </c>
      <c r="U60" s="146">
        <v>556646</v>
      </c>
      <c r="V60" s="147">
        <v>337469</v>
      </c>
      <c r="W60" s="146">
        <v>712157</v>
      </c>
      <c r="X60" s="198">
        <v>155</v>
      </c>
      <c r="Y60" s="147">
        <v>6707</v>
      </c>
      <c r="Z60" s="146">
        <v>13588</v>
      </c>
      <c r="AA60" s="147">
        <v>1983</v>
      </c>
      <c r="AB60" s="146">
        <v>2353</v>
      </c>
      <c r="AC60" s="147">
        <v>507.4</v>
      </c>
      <c r="AD60" s="146">
        <v>1715</v>
      </c>
      <c r="AE60" s="147">
        <v>1209</v>
      </c>
      <c r="AF60" s="146">
        <v>2619</v>
      </c>
      <c r="AG60" s="147">
        <v>4396</v>
      </c>
      <c r="AH60" s="146">
        <v>5304</v>
      </c>
      <c r="AI60" s="147"/>
      <c r="AJ60" s="146"/>
      <c r="AK60" s="147">
        <v>32459</v>
      </c>
      <c r="AL60" s="146">
        <v>24983</v>
      </c>
      <c r="AM60" s="197">
        <v>155</v>
      </c>
    </row>
    <row r="61" spans="1:39" ht="24" customHeight="1">
      <c r="A61" s="196">
        <v>157</v>
      </c>
      <c r="B61" s="180">
        <v>20774</v>
      </c>
      <c r="C61" s="180">
        <v>43746</v>
      </c>
      <c r="D61" s="179">
        <v>62</v>
      </c>
      <c r="E61" s="4" t="s">
        <v>58</v>
      </c>
      <c r="F61" s="143" t="s">
        <v>116</v>
      </c>
      <c r="G61" s="142">
        <v>24.943449059311227</v>
      </c>
      <c r="H61" s="11" t="s">
        <v>59</v>
      </c>
      <c r="I61" s="82" t="s">
        <v>60</v>
      </c>
      <c r="J61" s="147">
        <v>64233</v>
      </c>
      <c r="K61" s="146">
        <v>81354</v>
      </c>
      <c r="L61" s="147">
        <v>7989</v>
      </c>
      <c r="M61" s="146">
        <v>10311</v>
      </c>
      <c r="N61" s="147">
        <v>237018</v>
      </c>
      <c r="O61" s="146">
        <v>256514</v>
      </c>
      <c r="P61" s="147">
        <v>57753</v>
      </c>
      <c r="Q61" s="146">
        <v>67345</v>
      </c>
      <c r="R61" s="147">
        <v>279657</v>
      </c>
      <c r="S61" s="146">
        <v>319159</v>
      </c>
      <c r="T61" s="147">
        <v>185196</v>
      </c>
      <c r="U61" s="146">
        <v>181574</v>
      </c>
      <c r="V61" s="147">
        <v>303513</v>
      </c>
      <c r="W61" s="146">
        <v>383971</v>
      </c>
      <c r="X61" s="195">
        <v>157</v>
      </c>
      <c r="Y61" s="147">
        <v>6441</v>
      </c>
      <c r="Z61" s="146">
        <v>6956</v>
      </c>
      <c r="AA61" s="147">
        <v>255.8</v>
      </c>
      <c r="AB61" s="146">
        <v>163</v>
      </c>
      <c r="AC61" s="147">
        <v>3840</v>
      </c>
      <c r="AD61" s="146">
        <v>3767</v>
      </c>
      <c r="AE61" s="147">
        <v>999.9</v>
      </c>
      <c r="AF61" s="146">
        <v>1014</v>
      </c>
      <c r="AG61" s="147">
        <v>20278</v>
      </c>
      <c r="AH61" s="146">
        <v>21657</v>
      </c>
      <c r="AI61" s="147"/>
      <c r="AJ61" s="146"/>
      <c r="AK61" s="147">
        <v>7234</v>
      </c>
      <c r="AL61" s="146">
        <v>7301</v>
      </c>
      <c r="AM61" s="194">
        <v>157</v>
      </c>
    </row>
    <row r="62" spans="1:39" ht="24" customHeight="1">
      <c r="A62" s="201">
        <v>161</v>
      </c>
      <c r="B62" s="183">
        <v>33793</v>
      </c>
      <c r="C62" s="183">
        <v>43760</v>
      </c>
      <c r="D62" s="182">
        <v>27</v>
      </c>
      <c r="E62" s="4" t="s">
        <v>58</v>
      </c>
      <c r="F62" s="143" t="s">
        <v>116</v>
      </c>
      <c r="G62" s="142">
        <v>26.873469387755101</v>
      </c>
      <c r="H62" s="11" t="s">
        <v>59</v>
      </c>
      <c r="I62" s="82" t="s">
        <v>60</v>
      </c>
      <c r="J62" s="147">
        <v>557842</v>
      </c>
      <c r="K62" s="146">
        <v>710141</v>
      </c>
      <c r="L62" s="147">
        <v>150573</v>
      </c>
      <c r="M62" s="146">
        <v>172059</v>
      </c>
      <c r="N62" s="147">
        <v>189769</v>
      </c>
      <c r="O62" s="146">
        <v>236612</v>
      </c>
      <c r="P62" s="147">
        <v>11484</v>
      </c>
      <c r="Q62" s="146">
        <v>44288</v>
      </c>
      <c r="R62" s="147">
        <v>503296</v>
      </c>
      <c r="S62" s="146">
        <v>602550</v>
      </c>
      <c r="T62" s="147">
        <v>147679</v>
      </c>
      <c r="U62" s="146">
        <v>252567</v>
      </c>
      <c r="V62" s="147">
        <v>605959</v>
      </c>
      <c r="W62" s="146">
        <v>697243</v>
      </c>
      <c r="X62" s="32">
        <v>161</v>
      </c>
      <c r="Y62" s="147">
        <v>13361</v>
      </c>
      <c r="Z62" s="146">
        <v>14612</v>
      </c>
      <c r="AA62" s="147">
        <v>192.8</v>
      </c>
      <c r="AB62" s="146">
        <v>294.5</v>
      </c>
      <c r="AC62" s="147">
        <v>1564</v>
      </c>
      <c r="AD62" s="146">
        <v>2222</v>
      </c>
      <c r="AE62" s="147">
        <v>137.69999999999999</v>
      </c>
      <c r="AF62" s="146">
        <v>261.89999999999998</v>
      </c>
      <c r="AG62" s="147">
        <v>2230</v>
      </c>
      <c r="AH62" s="146">
        <v>2517</v>
      </c>
      <c r="AI62" s="147"/>
      <c r="AJ62" s="146"/>
      <c r="AK62" s="147">
        <v>1916</v>
      </c>
      <c r="AL62" s="146">
        <v>2371</v>
      </c>
      <c r="AM62" s="200">
        <v>161</v>
      </c>
    </row>
    <row r="63" spans="1:39" ht="24" customHeight="1">
      <c r="A63" s="211">
        <v>162</v>
      </c>
      <c r="B63" s="210">
        <v>16022</v>
      </c>
      <c r="C63" s="210">
        <v>43762</v>
      </c>
      <c r="D63" s="209">
        <v>75</v>
      </c>
      <c r="E63" s="3" t="s">
        <v>61</v>
      </c>
      <c r="F63" s="143" t="s">
        <v>116</v>
      </c>
      <c r="G63" s="142">
        <v>24.724766487345089</v>
      </c>
      <c r="H63" s="5" t="s">
        <v>64</v>
      </c>
      <c r="I63" s="82" t="s">
        <v>60</v>
      </c>
      <c r="J63" s="147">
        <v>116899</v>
      </c>
      <c r="K63" s="146">
        <v>390479</v>
      </c>
      <c r="L63" s="147">
        <v>32211</v>
      </c>
      <c r="M63" s="146">
        <v>116968</v>
      </c>
      <c r="N63" s="147">
        <v>129565</v>
      </c>
      <c r="O63" s="146">
        <v>231732</v>
      </c>
      <c r="P63" s="147">
        <v>19309</v>
      </c>
      <c r="Q63" s="146">
        <v>45639</v>
      </c>
      <c r="R63" s="147">
        <v>153802</v>
      </c>
      <c r="S63" s="146">
        <v>238999</v>
      </c>
      <c r="T63" s="147">
        <v>187497</v>
      </c>
      <c r="U63" s="146">
        <v>221597</v>
      </c>
      <c r="V63" s="147">
        <v>162392</v>
      </c>
      <c r="W63" s="146">
        <v>211297</v>
      </c>
      <c r="X63" s="208">
        <v>162</v>
      </c>
      <c r="Y63" s="147">
        <v>5533</v>
      </c>
      <c r="Z63" s="146">
        <v>5703</v>
      </c>
      <c r="AA63" s="147">
        <v>3851</v>
      </c>
      <c r="AB63" s="146">
        <v>7144</v>
      </c>
      <c r="AC63" s="147">
        <v>11256</v>
      </c>
      <c r="AD63" s="146">
        <v>19076</v>
      </c>
      <c r="AE63" s="147">
        <v>2809</v>
      </c>
      <c r="AF63" s="146">
        <v>5361</v>
      </c>
      <c r="AG63" s="147">
        <v>18780</v>
      </c>
      <c r="AH63" s="146">
        <v>27421</v>
      </c>
      <c r="AI63" s="147"/>
      <c r="AJ63" s="146"/>
      <c r="AK63" s="147">
        <v>18209</v>
      </c>
      <c r="AL63" s="146">
        <v>22117</v>
      </c>
      <c r="AM63" s="207">
        <v>162</v>
      </c>
    </row>
    <row r="64" spans="1:39" ht="24" customHeight="1">
      <c r="A64" s="196">
        <v>166</v>
      </c>
      <c r="B64" s="180">
        <v>23242</v>
      </c>
      <c r="C64" s="180">
        <v>43741</v>
      </c>
      <c r="D64" s="179">
        <v>56</v>
      </c>
      <c r="E64" s="4" t="s">
        <v>58</v>
      </c>
      <c r="F64" s="143" t="s">
        <v>116</v>
      </c>
      <c r="G64" s="142">
        <v>30.778021975148093</v>
      </c>
      <c r="H64" s="11" t="s">
        <v>59</v>
      </c>
      <c r="I64" s="82" t="s">
        <v>60</v>
      </c>
      <c r="J64" s="147">
        <v>141565</v>
      </c>
      <c r="K64" s="146">
        <v>311040</v>
      </c>
      <c r="L64" s="147">
        <v>82652</v>
      </c>
      <c r="M64" s="146">
        <v>126844</v>
      </c>
      <c r="N64" s="147">
        <v>338328</v>
      </c>
      <c r="O64" s="146">
        <v>361415</v>
      </c>
      <c r="P64" s="147">
        <v>85309</v>
      </c>
      <c r="Q64" s="146">
        <v>90140</v>
      </c>
      <c r="R64" s="147">
        <v>337127</v>
      </c>
      <c r="S64" s="146">
        <v>357107</v>
      </c>
      <c r="T64" s="147">
        <v>117072</v>
      </c>
      <c r="U64" s="146">
        <v>177443</v>
      </c>
      <c r="V64" s="147">
        <v>288439</v>
      </c>
      <c r="W64" s="146">
        <v>358085</v>
      </c>
      <c r="X64" s="195">
        <v>166</v>
      </c>
      <c r="Y64" s="147">
        <v>5431</v>
      </c>
      <c r="Z64" s="146">
        <v>11859</v>
      </c>
      <c r="AA64" s="147">
        <v>5986</v>
      </c>
      <c r="AB64" s="146">
        <v>6781</v>
      </c>
      <c r="AC64" s="147">
        <v>24755</v>
      </c>
      <c r="AD64" s="146">
        <v>40457</v>
      </c>
      <c r="AE64" s="147">
        <v>25530</v>
      </c>
      <c r="AF64" s="146">
        <v>33492</v>
      </c>
      <c r="AG64" s="147">
        <v>18740</v>
      </c>
      <c r="AH64" s="146">
        <v>21147</v>
      </c>
      <c r="AI64" s="147"/>
      <c r="AJ64" s="146"/>
      <c r="AK64" s="147">
        <v>14477</v>
      </c>
      <c r="AL64" s="146">
        <v>18576</v>
      </c>
      <c r="AM64" s="194">
        <v>166</v>
      </c>
    </row>
    <row r="65" spans="1:39" ht="24" customHeight="1">
      <c r="A65" s="211">
        <v>169</v>
      </c>
      <c r="B65" s="210">
        <v>15907</v>
      </c>
      <c r="C65" s="210">
        <v>43734</v>
      </c>
      <c r="D65" s="209">
        <v>76</v>
      </c>
      <c r="E65" s="4" t="s">
        <v>58</v>
      </c>
      <c r="F65" s="143" t="s">
        <v>116</v>
      </c>
      <c r="G65" s="142">
        <v>24.423979720383993</v>
      </c>
      <c r="H65" s="5" t="s">
        <v>64</v>
      </c>
      <c r="I65" s="82" t="s">
        <v>60</v>
      </c>
      <c r="J65" s="147">
        <v>243895</v>
      </c>
      <c r="K65" s="146">
        <v>341593</v>
      </c>
      <c r="L65" s="147">
        <v>123427</v>
      </c>
      <c r="M65" s="146">
        <v>121760</v>
      </c>
      <c r="N65" s="147">
        <v>139699</v>
      </c>
      <c r="O65" s="146">
        <v>247457</v>
      </c>
      <c r="P65" s="147">
        <v>26069</v>
      </c>
      <c r="Q65" s="146">
        <v>42198</v>
      </c>
      <c r="R65" s="147">
        <v>165272</v>
      </c>
      <c r="S65" s="146">
        <v>246938</v>
      </c>
      <c r="T65" s="147">
        <v>277624</v>
      </c>
      <c r="U65" s="146">
        <v>233999</v>
      </c>
      <c r="V65" s="147">
        <v>174135</v>
      </c>
      <c r="W65" s="146">
        <v>273562</v>
      </c>
      <c r="X65" s="208">
        <v>169</v>
      </c>
      <c r="Y65" s="147">
        <v>3427</v>
      </c>
      <c r="Z65" s="146">
        <v>4025</v>
      </c>
      <c r="AA65" s="147">
        <v>769</v>
      </c>
      <c r="AB65" s="146">
        <v>1120</v>
      </c>
      <c r="AC65" s="147">
        <v>2481</v>
      </c>
      <c r="AD65" s="146">
        <v>2606</v>
      </c>
      <c r="AE65" s="147">
        <v>1386</v>
      </c>
      <c r="AF65" s="146">
        <v>1509</v>
      </c>
      <c r="AG65" s="147">
        <v>6429</v>
      </c>
      <c r="AH65" s="146">
        <v>7004</v>
      </c>
      <c r="AI65" s="147"/>
      <c r="AJ65" s="146"/>
      <c r="AK65" s="147">
        <v>11207</v>
      </c>
      <c r="AL65" s="146">
        <v>11508</v>
      </c>
      <c r="AM65" s="207">
        <v>169</v>
      </c>
    </row>
    <row r="66" spans="1:39" ht="24" customHeight="1">
      <c r="A66" s="211">
        <v>170</v>
      </c>
      <c r="B66" s="210">
        <v>18281</v>
      </c>
      <c r="C66" s="210">
        <v>43734</v>
      </c>
      <c r="D66" s="209">
        <v>69</v>
      </c>
      <c r="E66" s="3" t="s">
        <v>61</v>
      </c>
      <c r="F66" s="143" t="s">
        <v>116</v>
      </c>
      <c r="G66" s="142">
        <v>32.551338110391249</v>
      </c>
      <c r="H66" s="5" t="s">
        <v>64</v>
      </c>
      <c r="I66" s="82" t="s">
        <v>60</v>
      </c>
      <c r="J66" s="147">
        <v>920720</v>
      </c>
      <c r="K66" s="146">
        <v>1129622</v>
      </c>
      <c r="L66" s="147">
        <v>187589</v>
      </c>
      <c r="M66" s="146">
        <v>202463</v>
      </c>
      <c r="N66" s="147">
        <v>177783</v>
      </c>
      <c r="O66" s="146">
        <v>325512</v>
      </c>
      <c r="P66" s="147">
        <v>121088</v>
      </c>
      <c r="Q66" s="146">
        <v>150152</v>
      </c>
      <c r="R66" s="147">
        <v>299596</v>
      </c>
      <c r="S66" s="146">
        <v>343363</v>
      </c>
      <c r="T66" s="147">
        <v>381795</v>
      </c>
      <c r="U66" s="146">
        <v>382386</v>
      </c>
      <c r="V66" s="147">
        <v>278303</v>
      </c>
      <c r="W66" s="146">
        <v>335901</v>
      </c>
      <c r="X66" s="208">
        <v>170</v>
      </c>
      <c r="Y66" s="147">
        <v>4051</v>
      </c>
      <c r="Z66" s="146">
        <v>4269</v>
      </c>
      <c r="AA66" s="147">
        <v>334.5</v>
      </c>
      <c r="AB66" s="146">
        <v>272.39999999999998</v>
      </c>
      <c r="AC66" s="147">
        <v>4864</v>
      </c>
      <c r="AD66" s="146">
        <v>7700</v>
      </c>
      <c r="AE66" s="147">
        <v>699.7</v>
      </c>
      <c r="AF66" s="146">
        <v>1174</v>
      </c>
      <c r="AG66" s="147">
        <v>15721</v>
      </c>
      <c r="AH66" s="146">
        <v>15699</v>
      </c>
      <c r="AI66" s="147"/>
      <c r="AJ66" s="146"/>
      <c r="AK66" s="147">
        <v>5840</v>
      </c>
      <c r="AL66" s="146">
        <v>5085</v>
      </c>
      <c r="AM66" s="207">
        <v>170</v>
      </c>
    </row>
    <row r="67" spans="1:39" ht="24" customHeight="1">
      <c r="A67" s="211">
        <v>171</v>
      </c>
      <c r="B67" s="210">
        <v>14078</v>
      </c>
      <c r="C67" s="210">
        <v>43732</v>
      </c>
      <c r="D67" s="209">
        <v>81</v>
      </c>
      <c r="E67" s="3" t="s">
        <v>61</v>
      </c>
      <c r="F67" s="143" t="s">
        <v>120</v>
      </c>
      <c r="G67" s="142">
        <v>26.953124999999996</v>
      </c>
      <c r="H67" s="5" t="s">
        <v>64</v>
      </c>
      <c r="I67" s="82" t="s">
        <v>60</v>
      </c>
      <c r="J67" s="147">
        <v>367155</v>
      </c>
      <c r="K67" s="146">
        <v>372244</v>
      </c>
      <c r="L67" s="147">
        <v>117008</v>
      </c>
      <c r="M67" s="146">
        <v>114373</v>
      </c>
      <c r="N67" s="147">
        <v>163226</v>
      </c>
      <c r="O67" s="146">
        <v>135986</v>
      </c>
      <c r="P67" s="147">
        <v>24060</v>
      </c>
      <c r="Q67" s="146">
        <v>45538</v>
      </c>
      <c r="R67" s="147">
        <v>725606</v>
      </c>
      <c r="S67" s="146">
        <v>723259</v>
      </c>
      <c r="T67" s="147"/>
      <c r="U67" s="146"/>
      <c r="V67" s="147">
        <v>556248</v>
      </c>
      <c r="W67" s="146">
        <v>580001</v>
      </c>
      <c r="X67" s="208">
        <v>171</v>
      </c>
      <c r="Y67" s="147">
        <v>14747</v>
      </c>
      <c r="Z67" s="146">
        <v>13941</v>
      </c>
      <c r="AA67" s="147">
        <v>9357</v>
      </c>
      <c r="AB67" s="146">
        <v>7137</v>
      </c>
      <c r="AC67" s="147">
        <v>4406</v>
      </c>
      <c r="AD67" s="146">
        <v>4171</v>
      </c>
      <c r="AE67" s="147">
        <v>1903</v>
      </c>
      <c r="AF67" s="146">
        <v>1635</v>
      </c>
      <c r="AG67" s="147">
        <v>4950</v>
      </c>
      <c r="AH67" s="146">
        <v>4506</v>
      </c>
      <c r="AI67" s="147"/>
      <c r="AJ67" s="146"/>
      <c r="AK67" s="147">
        <v>4477</v>
      </c>
      <c r="AL67" s="146">
        <v>3698</v>
      </c>
      <c r="AM67" s="207">
        <v>171</v>
      </c>
    </row>
    <row r="68" spans="1:39" ht="24" customHeight="1">
      <c r="A68" s="196">
        <v>175</v>
      </c>
      <c r="B68" s="180">
        <v>23488</v>
      </c>
      <c r="C68" s="180">
        <v>43740</v>
      </c>
      <c r="D68" s="179">
        <v>55</v>
      </c>
      <c r="E68" s="4" t="s">
        <v>58</v>
      </c>
      <c r="F68" s="143" t="s">
        <v>117</v>
      </c>
      <c r="G68" s="142">
        <v>30.433564204215319</v>
      </c>
      <c r="H68" s="11" t="s">
        <v>59</v>
      </c>
      <c r="I68" s="82" t="s">
        <v>60</v>
      </c>
      <c r="J68" s="147">
        <v>138581</v>
      </c>
      <c r="K68" s="146">
        <v>486052</v>
      </c>
      <c r="L68" s="147">
        <v>161470</v>
      </c>
      <c r="M68" s="146">
        <v>191823</v>
      </c>
      <c r="N68" s="147">
        <v>327652</v>
      </c>
      <c r="O68" s="146">
        <v>416203</v>
      </c>
      <c r="P68" s="147">
        <v>76972</v>
      </c>
      <c r="Q68" s="146">
        <v>128337</v>
      </c>
      <c r="R68" s="147">
        <v>229498</v>
      </c>
      <c r="S68" s="146">
        <v>279692</v>
      </c>
      <c r="T68" s="147">
        <v>129451</v>
      </c>
      <c r="U68" s="146">
        <v>134650</v>
      </c>
      <c r="V68" s="147">
        <v>188631</v>
      </c>
      <c r="W68" s="146">
        <v>258598</v>
      </c>
      <c r="X68" s="195">
        <v>175</v>
      </c>
      <c r="Y68" s="147">
        <v>523.79999999999995</v>
      </c>
      <c r="Z68" s="146">
        <v>1224</v>
      </c>
      <c r="AA68" s="147">
        <v>2929</v>
      </c>
      <c r="AB68" s="146">
        <v>4061</v>
      </c>
      <c r="AC68" s="147">
        <v>5463</v>
      </c>
      <c r="AD68" s="146">
        <v>7222</v>
      </c>
      <c r="AE68" s="147">
        <v>2628</v>
      </c>
      <c r="AF68" s="146">
        <v>7424</v>
      </c>
      <c r="AG68" s="147">
        <v>19228</v>
      </c>
      <c r="AH68" s="146">
        <v>24631</v>
      </c>
      <c r="AI68" s="147"/>
      <c r="AJ68" s="146"/>
      <c r="AK68" s="147">
        <v>5029</v>
      </c>
      <c r="AL68" s="146">
        <v>5400</v>
      </c>
      <c r="AM68" s="194">
        <v>175</v>
      </c>
    </row>
    <row r="69" spans="1:39" ht="24" customHeight="1">
      <c r="A69" s="211">
        <v>177</v>
      </c>
      <c r="B69" s="210">
        <v>17736</v>
      </c>
      <c r="C69" s="210">
        <v>43733</v>
      </c>
      <c r="D69" s="209">
        <v>71</v>
      </c>
      <c r="E69" s="4" t="s">
        <v>58</v>
      </c>
      <c r="F69" s="143" t="s">
        <v>116</v>
      </c>
      <c r="G69" s="142">
        <v>23.031835777349784</v>
      </c>
      <c r="H69" s="5" t="s">
        <v>64</v>
      </c>
      <c r="I69" s="82" t="s">
        <v>60</v>
      </c>
      <c r="J69" s="147">
        <v>117539</v>
      </c>
      <c r="K69" s="146">
        <v>188901</v>
      </c>
      <c r="L69" s="147">
        <v>53262</v>
      </c>
      <c r="M69" s="146">
        <v>80471</v>
      </c>
      <c r="N69" s="147">
        <v>168339</v>
      </c>
      <c r="O69" s="146">
        <v>252202</v>
      </c>
      <c r="P69" s="147">
        <v>19574</v>
      </c>
      <c r="Q69" s="146">
        <v>32849</v>
      </c>
      <c r="R69" s="147">
        <v>322744</v>
      </c>
      <c r="S69" s="146">
        <v>431919</v>
      </c>
      <c r="T69" s="147"/>
      <c r="U69" s="146"/>
      <c r="V69" s="147">
        <v>289951</v>
      </c>
      <c r="W69" s="146">
        <v>388994</v>
      </c>
      <c r="X69" s="208">
        <v>177</v>
      </c>
      <c r="Y69" s="147">
        <v>6044</v>
      </c>
      <c r="Z69" s="146">
        <v>10584</v>
      </c>
      <c r="AA69" s="147">
        <v>856.9</v>
      </c>
      <c r="AB69" s="146">
        <v>1567</v>
      </c>
      <c r="AC69" s="147">
        <v>8837</v>
      </c>
      <c r="AD69" s="146">
        <v>13986</v>
      </c>
      <c r="AE69" s="147">
        <v>1597</v>
      </c>
      <c r="AF69" s="146">
        <v>2941</v>
      </c>
      <c r="AG69" s="147">
        <v>14738</v>
      </c>
      <c r="AH69" s="146">
        <v>19137</v>
      </c>
      <c r="AI69" s="147"/>
      <c r="AJ69" s="146"/>
      <c r="AK69" s="147">
        <v>9848</v>
      </c>
      <c r="AL69" s="146">
        <v>11612</v>
      </c>
      <c r="AM69" s="207">
        <v>177</v>
      </c>
    </row>
    <row r="70" spans="1:39" ht="24" customHeight="1">
      <c r="A70" s="206">
        <v>179</v>
      </c>
      <c r="B70" s="205">
        <v>19896</v>
      </c>
      <c r="C70" s="205">
        <v>43746</v>
      </c>
      <c r="D70" s="204">
        <v>65</v>
      </c>
      <c r="E70" s="3" t="s">
        <v>61</v>
      </c>
      <c r="F70" s="143" t="s">
        <v>116</v>
      </c>
      <c r="G70" s="142">
        <v>39.619178813318001</v>
      </c>
      <c r="H70" s="11" t="s">
        <v>59</v>
      </c>
      <c r="I70" s="82" t="s">
        <v>60</v>
      </c>
      <c r="J70" s="147">
        <v>172554</v>
      </c>
      <c r="K70" s="146">
        <v>359076</v>
      </c>
      <c r="L70" s="147">
        <v>45907</v>
      </c>
      <c r="M70" s="146">
        <v>124671</v>
      </c>
      <c r="N70" s="147">
        <v>80367</v>
      </c>
      <c r="O70" s="146">
        <v>148204</v>
      </c>
      <c r="P70" s="147">
        <v>6450</v>
      </c>
      <c r="Q70" s="146">
        <v>32532</v>
      </c>
      <c r="R70" s="147">
        <v>194702</v>
      </c>
      <c r="S70" s="146">
        <v>396820</v>
      </c>
      <c r="T70" s="147">
        <v>71989</v>
      </c>
      <c r="U70" s="146">
        <v>252265</v>
      </c>
      <c r="V70" s="147">
        <v>169828</v>
      </c>
      <c r="W70" s="146">
        <v>325283</v>
      </c>
      <c r="X70" s="203">
        <v>179</v>
      </c>
      <c r="Y70" s="147">
        <v>8002</v>
      </c>
      <c r="Z70" s="146">
        <v>9021</v>
      </c>
      <c r="AA70" s="147">
        <v>92.32</v>
      </c>
      <c r="AB70" s="146">
        <v>462.3</v>
      </c>
      <c r="AC70" s="147">
        <v>4342</v>
      </c>
      <c r="AD70" s="146">
        <v>4454</v>
      </c>
      <c r="AE70" s="147">
        <v>156.80000000000001</v>
      </c>
      <c r="AF70" s="146">
        <v>219.2</v>
      </c>
      <c r="AG70" s="147">
        <v>5811</v>
      </c>
      <c r="AH70" s="146">
        <v>6500</v>
      </c>
      <c r="AI70" s="147"/>
      <c r="AJ70" s="146"/>
      <c r="AK70" s="147">
        <v>6274</v>
      </c>
      <c r="AL70" s="146">
        <v>6200</v>
      </c>
      <c r="AM70" s="202">
        <v>179</v>
      </c>
    </row>
    <row r="71" spans="1:39" ht="24" customHeight="1">
      <c r="A71" s="199">
        <v>181</v>
      </c>
      <c r="B71" s="190">
        <v>26567</v>
      </c>
      <c r="C71" s="190">
        <v>43773</v>
      </c>
      <c r="D71" s="189">
        <v>47</v>
      </c>
      <c r="E71" s="3" t="s">
        <v>61</v>
      </c>
      <c r="F71" s="143" t="s">
        <v>116</v>
      </c>
      <c r="G71" s="142">
        <v>59.87970594787258</v>
      </c>
      <c r="H71" s="11" t="s">
        <v>59</v>
      </c>
      <c r="I71" s="82" t="s">
        <v>60</v>
      </c>
      <c r="J71" s="147">
        <v>155598</v>
      </c>
      <c r="K71" s="146">
        <v>464227</v>
      </c>
      <c r="L71" s="147">
        <v>60307</v>
      </c>
      <c r="M71" s="146">
        <v>107468</v>
      </c>
      <c r="N71" s="147">
        <v>230137</v>
      </c>
      <c r="O71" s="146">
        <v>561226</v>
      </c>
      <c r="P71" s="147">
        <v>26087</v>
      </c>
      <c r="Q71" s="146">
        <v>82585</v>
      </c>
      <c r="R71" s="147">
        <v>464117</v>
      </c>
      <c r="S71" s="146">
        <v>894401</v>
      </c>
      <c r="T71" s="147"/>
      <c r="U71" s="146"/>
      <c r="V71" s="147">
        <v>254099</v>
      </c>
      <c r="W71" s="146">
        <v>849641</v>
      </c>
      <c r="X71" s="198">
        <v>181</v>
      </c>
      <c r="Y71" s="147">
        <v>32915</v>
      </c>
      <c r="Z71" s="146">
        <v>37940</v>
      </c>
      <c r="AA71" s="147">
        <v>17936</v>
      </c>
      <c r="AB71" s="146">
        <v>20096</v>
      </c>
      <c r="AC71" s="147">
        <v>76910</v>
      </c>
      <c r="AD71" s="146">
        <v>91800</v>
      </c>
      <c r="AE71" s="147">
        <v>17452</v>
      </c>
      <c r="AF71" s="146">
        <v>20471</v>
      </c>
      <c r="AG71" s="147">
        <v>27770</v>
      </c>
      <c r="AH71" s="146">
        <v>34288</v>
      </c>
      <c r="AI71" s="147"/>
      <c r="AJ71" s="146"/>
      <c r="AK71" s="147">
        <v>21791</v>
      </c>
      <c r="AL71" s="146">
        <v>23258</v>
      </c>
      <c r="AM71" s="197">
        <v>181</v>
      </c>
    </row>
    <row r="72" spans="1:39" ht="24" customHeight="1">
      <c r="A72" s="211">
        <v>184</v>
      </c>
      <c r="B72" s="210">
        <v>18672</v>
      </c>
      <c r="C72" s="210">
        <v>43739</v>
      </c>
      <c r="D72" s="209">
        <v>68</v>
      </c>
      <c r="E72" s="4" t="s">
        <v>58</v>
      </c>
      <c r="F72" s="143" t="s">
        <v>116</v>
      </c>
      <c r="G72" s="142">
        <v>29.265873015873019</v>
      </c>
      <c r="H72" s="5" t="s">
        <v>64</v>
      </c>
      <c r="I72" s="82" t="s">
        <v>60</v>
      </c>
      <c r="J72" s="147">
        <v>91839</v>
      </c>
      <c r="K72" s="146">
        <v>190448</v>
      </c>
      <c r="L72" s="147">
        <v>62558</v>
      </c>
      <c r="M72" s="146">
        <v>128911</v>
      </c>
      <c r="N72" s="147">
        <v>40315</v>
      </c>
      <c r="O72" s="146">
        <v>107431</v>
      </c>
      <c r="P72" s="147">
        <v>8274</v>
      </c>
      <c r="Q72" s="146">
        <v>29672</v>
      </c>
      <c r="R72" s="147">
        <v>177814</v>
      </c>
      <c r="S72" s="146">
        <v>230124</v>
      </c>
      <c r="T72" s="147"/>
      <c r="U72" s="146"/>
      <c r="V72" s="147">
        <v>177758</v>
      </c>
      <c r="W72" s="146">
        <v>223287</v>
      </c>
      <c r="X72" s="208">
        <v>184</v>
      </c>
      <c r="Y72" s="147">
        <v>2147</v>
      </c>
      <c r="Z72" s="146">
        <v>6127</v>
      </c>
      <c r="AA72" s="147">
        <v>5964</v>
      </c>
      <c r="AB72" s="146">
        <v>10227</v>
      </c>
      <c r="AC72" s="147">
        <v>1709</v>
      </c>
      <c r="AD72" s="146">
        <v>5337</v>
      </c>
      <c r="AE72" s="147">
        <v>1678</v>
      </c>
      <c r="AF72" s="146">
        <v>4526</v>
      </c>
      <c r="AG72" s="147">
        <v>17458</v>
      </c>
      <c r="AH72" s="146">
        <v>18845</v>
      </c>
      <c r="AI72" s="147"/>
      <c r="AJ72" s="146"/>
      <c r="AK72" s="147">
        <v>6828</v>
      </c>
      <c r="AL72" s="146">
        <v>6571</v>
      </c>
      <c r="AM72" s="207">
        <v>184</v>
      </c>
    </row>
    <row r="73" spans="1:39" ht="24" customHeight="1">
      <c r="A73" s="211">
        <v>185</v>
      </c>
      <c r="B73" s="210">
        <v>18381</v>
      </c>
      <c r="C73" s="210">
        <v>43755</v>
      </c>
      <c r="D73" s="209">
        <v>69</v>
      </c>
      <c r="E73" s="3" t="s">
        <v>61</v>
      </c>
      <c r="F73" s="143" t="s">
        <v>116</v>
      </c>
      <c r="G73" s="142">
        <v>32.253760437725475</v>
      </c>
      <c r="H73" s="5" t="s">
        <v>64</v>
      </c>
      <c r="I73" s="82" t="s">
        <v>60</v>
      </c>
      <c r="J73" s="147">
        <v>143911</v>
      </c>
      <c r="K73" s="146">
        <v>187784</v>
      </c>
      <c r="L73" s="147">
        <v>35113</v>
      </c>
      <c r="M73" s="146">
        <v>105011</v>
      </c>
      <c r="N73" s="147">
        <v>84370</v>
      </c>
      <c r="O73" s="146">
        <v>126624</v>
      </c>
      <c r="P73" s="147">
        <v>13695</v>
      </c>
      <c r="Q73" s="146">
        <v>72747</v>
      </c>
      <c r="R73" s="147">
        <v>122827</v>
      </c>
      <c r="S73" s="146">
        <v>132757</v>
      </c>
      <c r="T73" s="147"/>
      <c r="U73" s="146"/>
      <c r="V73" s="147">
        <v>153871</v>
      </c>
      <c r="W73" s="146">
        <v>156184</v>
      </c>
      <c r="X73" s="208">
        <v>185</v>
      </c>
      <c r="Y73" s="147">
        <v>28009</v>
      </c>
      <c r="Z73" s="146">
        <v>35978</v>
      </c>
      <c r="AA73" s="147">
        <v>6949</v>
      </c>
      <c r="AB73" s="146">
        <v>8560</v>
      </c>
      <c r="AC73" s="147">
        <v>3699</v>
      </c>
      <c r="AD73" s="146">
        <v>4062</v>
      </c>
      <c r="AE73" s="147">
        <v>660.9</v>
      </c>
      <c r="AF73" s="146">
        <v>597.20000000000005</v>
      </c>
      <c r="AG73" s="147">
        <v>51755</v>
      </c>
      <c r="AH73" s="146">
        <v>65676</v>
      </c>
      <c r="AI73" s="147"/>
      <c r="AJ73" s="146"/>
      <c r="AK73" s="147">
        <v>25633</v>
      </c>
      <c r="AL73" s="146">
        <v>21609</v>
      </c>
      <c r="AM73" s="207">
        <v>185</v>
      </c>
    </row>
    <row r="74" spans="1:39" ht="24" customHeight="1">
      <c r="A74" s="206">
        <v>188</v>
      </c>
      <c r="B74" s="205">
        <v>17960</v>
      </c>
      <c r="C74" s="205">
        <v>43739</v>
      </c>
      <c r="D74" s="204">
        <v>70</v>
      </c>
      <c r="E74" s="3" t="s">
        <v>61</v>
      </c>
      <c r="F74" s="143" t="s">
        <v>116</v>
      </c>
      <c r="G74" s="142">
        <v>22.822214286307503</v>
      </c>
      <c r="H74" s="11" t="s">
        <v>59</v>
      </c>
      <c r="I74" s="82" t="s">
        <v>60</v>
      </c>
      <c r="J74" s="147">
        <v>140010</v>
      </c>
      <c r="K74" s="146">
        <v>211155</v>
      </c>
      <c r="L74" s="147">
        <v>45637</v>
      </c>
      <c r="M74" s="146">
        <v>98984</v>
      </c>
      <c r="N74" s="147">
        <v>42821</v>
      </c>
      <c r="O74" s="146">
        <v>78989</v>
      </c>
      <c r="P74" s="147">
        <v>2248</v>
      </c>
      <c r="Q74" s="146">
        <v>16576</v>
      </c>
      <c r="R74" s="147">
        <v>131243</v>
      </c>
      <c r="S74" s="146">
        <v>213776</v>
      </c>
      <c r="T74" s="147">
        <v>125080</v>
      </c>
      <c r="U74" s="146">
        <v>240602</v>
      </c>
      <c r="V74" s="147">
        <v>93338</v>
      </c>
      <c r="W74" s="146">
        <v>133913</v>
      </c>
      <c r="X74" s="203">
        <v>188</v>
      </c>
      <c r="Y74" s="147">
        <v>33787</v>
      </c>
      <c r="Z74" s="146">
        <v>120720</v>
      </c>
      <c r="AA74" s="147">
        <v>435.6</v>
      </c>
      <c r="AB74" s="146">
        <v>376.3</v>
      </c>
      <c r="AC74" s="147">
        <v>2725</v>
      </c>
      <c r="AD74" s="146">
        <v>4819</v>
      </c>
      <c r="AE74" s="147">
        <v>276</v>
      </c>
      <c r="AF74" s="146">
        <v>1026</v>
      </c>
      <c r="AG74" s="147">
        <v>4976</v>
      </c>
      <c r="AH74" s="146">
        <v>5192</v>
      </c>
      <c r="AI74" s="147"/>
      <c r="AJ74" s="146"/>
      <c r="AK74" s="147">
        <v>2037</v>
      </c>
      <c r="AL74" s="146">
        <v>2702</v>
      </c>
      <c r="AM74" s="202">
        <v>188</v>
      </c>
    </row>
    <row r="75" spans="1:39" ht="24" customHeight="1">
      <c r="A75" s="196">
        <v>190</v>
      </c>
      <c r="B75" s="180">
        <v>21674</v>
      </c>
      <c r="C75" s="180">
        <v>43745</v>
      </c>
      <c r="D75" s="179">
        <v>60</v>
      </c>
      <c r="E75" s="4" t="s">
        <v>58</v>
      </c>
      <c r="F75" s="143" t="s">
        <v>116</v>
      </c>
      <c r="G75" s="142">
        <v>27.806142635423328</v>
      </c>
      <c r="H75" s="11" t="s">
        <v>59</v>
      </c>
      <c r="I75" s="82" t="s">
        <v>60</v>
      </c>
      <c r="J75" s="147">
        <v>299039</v>
      </c>
      <c r="K75" s="146">
        <v>335206</v>
      </c>
      <c r="L75" s="147">
        <v>62435</v>
      </c>
      <c r="M75" s="146">
        <v>93841</v>
      </c>
      <c r="N75" s="147">
        <v>102339</v>
      </c>
      <c r="O75" s="146">
        <v>154549</v>
      </c>
      <c r="P75" s="147">
        <v>18350</v>
      </c>
      <c r="Q75" s="146">
        <v>37718</v>
      </c>
      <c r="R75" s="147">
        <v>532564</v>
      </c>
      <c r="S75" s="146">
        <v>580141</v>
      </c>
      <c r="T75" s="147">
        <v>766398</v>
      </c>
      <c r="U75" s="146">
        <v>980874</v>
      </c>
      <c r="V75" s="147">
        <v>506925</v>
      </c>
      <c r="W75" s="146">
        <v>578950</v>
      </c>
      <c r="X75" s="195">
        <v>190</v>
      </c>
      <c r="Y75" s="147">
        <v>22901</v>
      </c>
      <c r="Z75" s="146">
        <v>25930</v>
      </c>
      <c r="AA75" s="147">
        <v>285.89999999999998</v>
      </c>
      <c r="AB75" s="146">
        <v>253.9</v>
      </c>
      <c r="AC75" s="147">
        <v>1634</v>
      </c>
      <c r="AD75" s="146">
        <v>2778</v>
      </c>
      <c r="AE75" s="147">
        <v>501</v>
      </c>
      <c r="AF75" s="146">
        <v>1081</v>
      </c>
      <c r="AG75" s="147">
        <v>8867</v>
      </c>
      <c r="AH75" s="146">
        <v>9133</v>
      </c>
      <c r="AI75" s="147"/>
      <c r="AJ75" s="146"/>
      <c r="AK75" s="147">
        <v>12827</v>
      </c>
      <c r="AL75" s="146">
        <v>14726</v>
      </c>
      <c r="AM75" s="194">
        <v>190</v>
      </c>
    </row>
    <row r="76" spans="1:39" ht="24" customHeight="1">
      <c r="A76" s="199">
        <v>194</v>
      </c>
      <c r="B76" s="190">
        <v>32367</v>
      </c>
      <c r="C76" s="190">
        <v>43760</v>
      </c>
      <c r="D76" s="189">
        <v>31</v>
      </c>
      <c r="E76" s="4" t="s">
        <v>58</v>
      </c>
      <c r="F76" s="143" t="s">
        <v>116</v>
      </c>
      <c r="G76" s="142">
        <v>27.903579254930605</v>
      </c>
      <c r="H76" s="11" t="s">
        <v>59</v>
      </c>
      <c r="I76" s="82" t="s">
        <v>60</v>
      </c>
      <c r="J76" s="147">
        <v>185093</v>
      </c>
      <c r="K76" s="146">
        <v>218502</v>
      </c>
      <c r="L76" s="147">
        <v>81523</v>
      </c>
      <c r="M76" s="146">
        <v>106222</v>
      </c>
      <c r="N76" s="147">
        <v>161657</v>
      </c>
      <c r="O76" s="146">
        <v>211148</v>
      </c>
      <c r="P76" s="147">
        <v>36519</v>
      </c>
      <c r="Q76" s="146">
        <v>50383</v>
      </c>
      <c r="R76" s="147">
        <v>319401</v>
      </c>
      <c r="S76" s="146">
        <v>346118</v>
      </c>
      <c r="T76" s="147">
        <v>101981</v>
      </c>
      <c r="U76" s="146">
        <v>133504</v>
      </c>
      <c r="V76" s="147">
        <v>574356</v>
      </c>
      <c r="W76" s="146">
        <v>571450</v>
      </c>
      <c r="X76" s="198">
        <v>194</v>
      </c>
      <c r="Y76" s="147">
        <v>1576</v>
      </c>
      <c r="Z76" s="146">
        <v>1631</v>
      </c>
      <c r="AA76" s="147">
        <v>1287</v>
      </c>
      <c r="AB76" s="146">
        <v>1564</v>
      </c>
      <c r="AC76" s="147">
        <v>4534</v>
      </c>
      <c r="AD76" s="146">
        <v>4545</v>
      </c>
      <c r="AE76" s="147">
        <v>453.9</v>
      </c>
      <c r="AF76" s="146">
        <v>296.8</v>
      </c>
      <c r="AG76" s="147">
        <v>13454</v>
      </c>
      <c r="AH76" s="146">
        <v>13196</v>
      </c>
      <c r="AI76" s="147"/>
      <c r="AJ76" s="146"/>
      <c r="AK76" s="147">
        <v>12995</v>
      </c>
      <c r="AL76" s="146">
        <v>13063</v>
      </c>
      <c r="AM76" s="197">
        <v>194</v>
      </c>
    </row>
    <row r="77" spans="1:39" ht="24" customHeight="1">
      <c r="A77" s="211">
        <v>196</v>
      </c>
      <c r="B77" s="210">
        <v>19270</v>
      </c>
      <c r="C77" s="210">
        <v>43748</v>
      </c>
      <c r="D77" s="209">
        <v>67</v>
      </c>
      <c r="E77" s="4" t="s">
        <v>58</v>
      </c>
      <c r="F77" s="143" t="s">
        <v>118</v>
      </c>
      <c r="G77" s="142">
        <v>33.023273363965906</v>
      </c>
      <c r="H77" s="5" t="s">
        <v>64</v>
      </c>
      <c r="I77" s="82" t="s">
        <v>60</v>
      </c>
      <c r="J77" s="147">
        <v>69468</v>
      </c>
      <c r="K77" s="146">
        <v>100997</v>
      </c>
      <c r="L77" s="147">
        <v>23299</v>
      </c>
      <c r="M77" s="146">
        <v>36626</v>
      </c>
      <c r="N77" s="147">
        <v>120498</v>
      </c>
      <c r="O77" s="146">
        <v>148241</v>
      </c>
      <c r="P77" s="147">
        <v>10398</v>
      </c>
      <c r="Q77" s="146">
        <v>20816</v>
      </c>
      <c r="R77" s="147">
        <v>131511</v>
      </c>
      <c r="S77" s="146">
        <v>152449</v>
      </c>
      <c r="T77" s="147">
        <v>210569</v>
      </c>
      <c r="U77" s="146">
        <v>171543</v>
      </c>
      <c r="V77" s="147">
        <v>135499</v>
      </c>
      <c r="W77" s="146">
        <v>153646</v>
      </c>
      <c r="X77" s="208">
        <v>196</v>
      </c>
      <c r="Y77" s="147">
        <v>15809</v>
      </c>
      <c r="Z77" s="146">
        <v>15157</v>
      </c>
      <c r="AA77" s="147">
        <v>2107</v>
      </c>
      <c r="AB77" s="146">
        <v>1832</v>
      </c>
      <c r="AC77" s="147">
        <v>10816</v>
      </c>
      <c r="AD77" s="146">
        <v>12464</v>
      </c>
      <c r="AE77" s="147">
        <v>3114</v>
      </c>
      <c r="AF77" s="146">
        <v>8518</v>
      </c>
      <c r="AG77" s="147">
        <v>12980</v>
      </c>
      <c r="AH77" s="146">
        <v>12860</v>
      </c>
      <c r="AI77" s="147"/>
      <c r="AJ77" s="146"/>
      <c r="AK77" s="147">
        <v>11487</v>
      </c>
      <c r="AL77" s="146">
        <v>10583</v>
      </c>
      <c r="AM77" s="207">
        <v>196</v>
      </c>
    </row>
    <row r="78" spans="1:39" ht="24" customHeight="1">
      <c r="A78" s="196">
        <v>203</v>
      </c>
      <c r="B78" s="180">
        <v>20206</v>
      </c>
      <c r="C78" s="180">
        <v>43740</v>
      </c>
      <c r="D78" s="179">
        <v>64</v>
      </c>
      <c r="E78" s="4" t="s">
        <v>58</v>
      </c>
      <c r="F78" s="143" t="s">
        <v>63</v>
      </c>
      <c r="G78" s="142">
        <v>23.918654325382697</v>
      </c>
      <c r="H78" s="11" t="s">
        <v>59</v>
      </c>
      <c r="I78" s="82" t="s">
        <v>60</v>
      </c>
      <c r="J78" s="147">
        <v>165214</v>
      </c>
      <c r="K78" s="146">
        <v>445579</v>
      </c>
      <c r="L78" s="147">
        <v>110183</v>
      </c>
      <c r="M78" s="146">
        <v>291826</v>
      </c>
      <c r="N78" s="147">
        <v>196582</v>
      </c>
      <c r="O78" s="146">
        <v>238420</v>
      </c>
      <c r="P78" s="147">
        <v>19564</v>
      </c>
      <c r="Q78" s="146">
        <v>85334</v>
      </c>
      <c r="R78" s="147">
        <v>406551</v>
      </c>
      <c r="S78" s="146">
        <v>480360</v>
      </c>
      <c r="T78" s="147">
        <v>337466</v>
      </c>
      <c r="U78" s="146">
        <v>797731</v>
      </c>
      <c r="V78" s="147">
        <v>211179</v>
      </c>
      <c r="W78" s="146">
        <v>315534</v>
      </c>
      <c r="X78" s="195">
        <v>203</v>
      </c>
      <c r="Y78" s="147">
        <v>2183</v>
      </c>
      <c r="Z78" s="146">
        <v>2107</v>
      </c>
      <c r="AA78" s="147">
        <v>260.89999999999998</v>
      </c>
      <c r="AB78" s="146">
        <v>216.3</v>
      </c>
      <c r="AC78" s="147">
        <v>1503</v>
      </c>
      <c r="AD78" s="146">
        <v>3436</v>
      </c>
      <c r="AE78" s="147">
        <v>878.5</v>
      </c>
      <c r="AF78" s="146">
        <v>317.39999999999998</v>
      </c>
      <c r="AG78" s="147">
        <v>2997</v>
      </c>
      <c r="AH78" s="146">
        <v>3249</v>
      </c>
      <c r="AI78" s="147"/>
      <c r="AJ78" s="146"/>
      <c r="AK78" s="147">
        <v>1724</v>
      </c>
      <c r="AL78" s="146">
        <v>1934</v>
      </c>
      <c r="AM78" s="194">
        <v>203</v>
      </c>
    </row>
    <row r="79" spans="1:39" ht="24" customHeight="1">
      <c r="A79" s="199">
        <v>207</v>
      </c>
      <c r="B79" s="190">
        <v>30791</v>
      </c>
      <c r="C79" s="190">
        <v>43777</v>
      </c>
      <c r="D79" s="189">
        <v>35</v>
      </c>
      <c r="E79" s="4" t="s">
        <v>58</v>
      </c>
      <c r="F79" s="143" t="s">
        <v>116</v>
      </c>
      <c r="G79" s="142">
        <v>25.78576142072254</v>
      </c>
      <c r="H79" s="11" t="s">
        <v>59</v>
      </c>
      <c r="I79" s="82" t="s">
        <v>60</v>
      </c>
      <c r="J79" s="147">
        <v>285865</v>
      </c>
      <c r="K79" s="146">
        <v>285865</v>
      </c>
      <c r="L79" s="147">
        <v>261778</v>
      </c>
      <c r="M79" s="146">
        <v>567078</v>
      </c>
      <c r="N79" s="147">
        <v>204807</v>
      </c>
      <c r="O79" s="146">
        <v>279318</v>
      </c>
      <c r="P79" s="147">
        <v>56824</v>
      </c>
      <c r="Q79" s="146">
        <v>96495</v>
      </c>
      <c r="R79" s="147">
        <v>231250</v>
      </c>
      <c r="S79" s="146">
        <v>321365</v>
      </c>
      <c r="T79" s="147">
        <v>59475</v>
      </c>
      <c r="U79" s="146">
        <v>94007</v>
      </c>
      <c r="V79" s="147">
        <v>319560</v>
      </c>
      <c r="W79" s="146">
        <v>446806</v>
      </c>
      <c r="X79" s="198">
        <v>207</v>
      </c>
      <c r="Y79" s="147">
        <v>18370</v>
      </c>
      <c r="Z79" s="146">
        <v>24291</v>
      </c>
      <c r="AA79" s="147">
        <v>3497</v>
      </c>
      <c r="AB79" s="146">
        <v>3593</v>
      </c>
      <c r="AC79" s="147">
        <v>25119</v>
      </c>
      <c r="AD79" s="146">
        <v>28235</v>
      </c>
      <c r="AE79" s="147">
        <v>1993</v>
      </c>
      <c r="AF79" s="146">
        <v>3132</v>
      </c>
      <c r="AG79" s="147">
        <v>12434</v>
      </c>
      <c r="AH79" s="146">
        <v>13928</v>
      </c>
      <c r="AI79" s="147"/>
      <c r="AJ79" s="146"/>
      <c r="AK79" s="147">
        <v>28308</v>
      </c>
      <c r="AL79" s="146">
        <v>24261</v>
      </c>
      <c r="AM79" s="197">
        <v>207</v>
      </c>
    </row>
    <row r="80" spans="1:39" ht="24" customHeight="1">
      <c r="A80" s="196">
        <v>208</v>
      </c>
      <c r="B80" s="180">
        <v>21671</v>
      </c>
      <c r="C80" s="180">
        <v>43739</v>
      </c>
      <c r="D80" s="179">
        <v>60</v>
      </c>
      <c r="E80" s="4" t="s">
        <v>58</v>
      </c>
      <c r="F80" s="143" t="s">
        <v>116</v>
      </c>
      <c r="G80" s="142">
        <v>30.223552575177457</v>
      </c>
      <c r="H80" s="11" t="s">
        <v>59</v>
      </c>
      <c r="I80" s="82" t="s">
        <v>60</v>
      </c>
      <c r="J80" s="147">
        <v>130793</v>
      </c>
      <c r="K80" s="146">
        <v>197297</v>
      </c>
      <c r="L80" s="147">
        <v>39152</v>
      </c>
      <c r="M80" s="146">
        <v>86665</v>
      </c>
      <c r="N80" s="147">
        <v>187294</v>
      </c>
      <c r="O80" s="146">
        <v>351096</v>
      </c>
      <c r="P80" s="147">
        <v>14573</v>
      </c>
      <c r="Q80" s="146">
        <v>80524</v>
      </c>
      <c r="R80" s="147">
        <v>140909</v>
      </c>
      <c r="S80" s="146">
        <v>151333</v>
      </c>
      <c r="T80" s="147">
        <v>198674</v>
      </c>
      <c r="U80" s="146">
        <v>167746</v>
      </c>
      <c r="V80" s="147">
        <v>103068</v>
      </c>
      <c r="W80" s="146">
        <v>136653</v>
      </c>
      <c r="X80" s="195">
        <v>208</v>
      </c>
      <c r="Y80" s="147">
        <v>18269</v>
      </c>
      <c r="Z80" s="146">
        <v>29165</v>
      </c>
      <c r="AA80" s="147">
        <v>246.1</v>
      </c>
      <c r="AB80" s="146">
        <v>289</v>
      </c>
      <c r="AC80" s="147">
        <v>10117</v>
      </c>
      <c r="AD80" s="146">
        <v>9426</v>
      </c>
      <c r="AE80" s="147">
        <v>417.9</v>
      </c>
      <c r="AF80" s="146">
        <v>449.6</v>
      </c>
      <c r="AG80" s="147">
        <v>15016</v>
      </c>
      <c r="AH80" s="146">
        <v>17396</v>
      </c>
      <c r="AI80" s="147"/>
      <c r="AJ80" s="146"/>
      <c r="AK80" s="147">
        <v>15129</v>
      </c>
      <c r="AL80" s="146">
        <v>17646</v>
      </c>
      <c r="AM80" s="194">
        <v>208</v>
      </c>
    </row>
    <row r="81" spans="1:39" ht="24" customHeight="1">
      <c r="A81" s="211">
        <v>209</v>
      </c>
      <c r="B81" s="210">
        <v>15035</v>
      </c>
      <c r="C81" s="210">
        <v>43742</v>
      </c>
      <c r="D81" s="209">
        <v>78</v>
      </c>
      <c r="E81" s="3" t="s">
        <v>61</v>
      </c>
      <c r="F81" s="143" t="s">
        <v>116</v>
      </c>
      <c r="G81" s="142">
        <v>25.434120485740277</v>
      </c>
      <c r="H81" s="5" t="s">
        <v>64</v>
      </c>
      <c r="I81" s="82" t="s">
        <v>60</v>
      </c>
      <c r="J81" s="147">
        <v>145451</v>
      </c>
      <c r="K81" s="146">
        <v>299102</v>
      </c>
      <c r="L81" s="147">
        <v>39818</v>
      </c>
      <c r="M81" s="146">
        <v>109833</v>
      </c>
      <c r="N81" s="147">
        <v>50073</v>
      </c>
      <c r="O81" s="146">
        <v>101764</v>
      </c>
      <c r="P81" s="147">
        <v>1198</v>
      </c>
      <c r="Q81" s="146">
        <v>14162</v>
      </c>
      <c r="R81" s="147">
        <v>238835</v>
      </c>
      <c r="S81" s="146">
        <v>303375</v>
      </c>
      <c r="T81" s="147">
        <v>791262</v>
      </c>
      <c r="U81" s="146">
        <v>670486</v>
      </c>
      <c r="V81" s="147">
        <v>315279</v>
      </c>
      <c r="W81" s="146">
        <v>391419</v>
      </c>
      <c r="X81" s="208">
        <v>209</v>
      </c>
      <c r="Y81" s="147">
        <v>4876</v>
      </c>
      <c r="Z81" s="146">
        <v>5097</v>
      </c>
      <c r="AA81" s="147">
        <v>3601</v>
      </c>
      <c r="AB81" s="146">
        <v>4522</v>
      </c>
      <c r="AC81" s="147">
        <v>2478</v>
      </c>
      <c r="AD81" s="146">
        <v>2591</v>
      </c>
      <c r="AE81" s="147">
        <v>250.5</v>
      </c>
      <c r="AF81" s="146">
        <v>501.9</v>
      </c>
      <c r="AG81" s="147">
        <v>7317</v>
      </c>
      <c r="AH81" s="146">
        <v>8469</v>
      </c>
      <c r="AI81" s="147"/>
      <c r="AJ81" s="146"/>
      <c r="AK81" s="147">
        <v>8276</v>
      </c>
      <c r="AL81" s="146">
        <v>9469</v>
      </c>
      <c r="AM81" s="207">
        <v>209</v>
      </c>
    </row>
    <row r="82" spans="1:39" ht="24" customHeight="1">
      <c r="A82" s="201">
        <v>211</v>
      </c>
      <c r="B82" s="183">
        <v>34560</v>
      </c>
      <c r="C82" s="183">
        <v>43806</v>
      </c>
      <c r="D82" s="182">
        <v>25</v>
      </c>
      <c r="E82" s="4" t="s">
        <v>58</v>
      </c>
      <c r="F82" s="143" t="s">
        <v>116</v>
      </c>
      <c r="G82" s="142">
        <v>30.720315634023233</v>
      </c>
      <c r="H82" s="11" t="s">
        <v>59</v>
      </c>
      <c r="I82" s="82" t="s">
        <v>60</v>
      </c>
      <c r="J82" s="147">
        <v>246987</v>
      </c>
      <c r="K82" s="146">
        <v>401931</v>
      </c>
      <c r="L82" s="147">
        <v>125770</v>
      </c>
      <c r="M82" s="146">
        <v>244309</v>
      </c>
      <c r="N82" s="147">
        <v>198413</v>
      </c>
      <c r="O82" s="146">
        <v>338773</v>
      </c>
      <c r="P82" s="147">
        <v>18425</v>
      </c>
      <c r="Q82" s="146">
        <v>52962</v>
      </c>
      <c r="R82" s="147">
        <v>205620</v>
      </c>
      <c r="S82" s="146">
        <v>311534</v>
      </c>
      <c r="T82" s="147">
        <v>196338</v>
      </c>
      <c r="U82" s="146">
        <v>126290</v>
      </c>
      <c r="V82" s="147">
        <v>236234</v>
      </c>
      <c r="W82" s="146">
        <v>372523</v>
      </c>
      <c r="X82" s="32">
        <v>211</v>
      </c>
      <c r="Y82" s="147">
        <v>2876</v>
      </c>
      <c r="Z82" s="146">
        <v>3064</v>
      </c>
      <c r="AA82" s="147">
        <v>1012</v>
      </c>
      <c r="AB82" s="146">
        <v>752.8</v>
      </c>
      <c r="AC82" s="147">
        <v>3167</v>
      </c>
      <c r="AD82" s="146">
        <v>3833</v>
      </c>
      <c r="AE82" s="147">
        <v>1753</v>
      </c>
      <c r="AF82" s="146">
        <v>1277</v>
      </c>
      <c r="AG82" s="147">
        <v>6252</v>
      </c>
      <c r="AH82" s="146">
        <v>7231</v>
      </c>
      <c r="AI82" s="147"/>
      <c r="AJ82" s="146"/>
      <c r="AK82" s="147">
        <v>5482</v>
      </c>
      <c r="AL82" s="146">
        <v>5924</v>
      </c>
      <c r="AM82" s="200">
        <v>211</v>
      </c>
    </row>
    <row r="83" spans="1:39" ht="24" customHeight="1">
      <c r="A83" s="199">
        <v>213</v>
      </c>
      <c r="B83" s="190">
        <v>31305</v>
      </c>
      <c r="C83" s="190">
        <v>43781</v>
      </c>
      <c r="D83" s="189">
        <v>34</v>
      </c>
      <c r="E83" s="4" t="s">
        <v>58</v>
      </c>
      <c r="F83" s="143" t="s">
        <v>116</v>
      </c>
      <c r="G83" s="142">
        <v>33.040766317665408</v>
      </c>
      <c r="H83" s="11" t="s">
        <v>59</v>
      </c>
      <c r="I83" s="82" t="s">
        <v>60</v>
      </c>
      <c r="J83" s="147">
        <v>345574</v>
      </c>
      <c r="K83" s="146">
        <v>345574</v>
      </c>
      <c r="L83" s="147">
        <v>290363</v>
      </c>
      <c r="M83" s="146">
        <v>1137529</v>
      </c>
      <c r="N83" s="147">
        <v>246120</v>
      </c>
      <c r="O83" s="146">
        <v>402597</v>
      </c>
      <c r="P83" s="147">
        <v>36028</v>
      </c>
      <c r="Q83" s="146">
        <v>107175</v>
      </c>
      <c r="R83" s="147">
        <v>268891</v>
      </c>
      <c r="S83" s="146">
        <v>427723</v>
      </c>
      <c r="T83" s="147">
        <v>65103</v>
      </c>
      <c r="U83" s="146">
        <v>148226</v>
      </c>
      <c r="V83" s="147">
        <v>555695</v>
      </c>
      <c r="W83" s="146">
        <v>770272</v>
      </c>
      <c r="X83" s="198">
        <v>213</v>
      </c>
      <c r="Y83" s="147">
        <v>4899</v>
      </c>
      <c r="Z83" s="146">
        <v>5527</v>
      </c>
      <c r="AA83" s="147">
        <v>4655</v>
      </c>
      <c r="AB83" s="146">
        <v>4469</v>
      </c>
      <c r="AC83" s="147">
        <v>18243</v>
      </c>
      <c r="AD83" s="146">
        <v>19879</v>
      </c>
      <c r="AE83" s="147">
        <v>4675</v>
      </c>
      <c r="AF83" s="146">
        <v>4821</v>
      </c>
      <c r="AG83" s="147">
        <v>6713</v>
      </c>
      <c r="AH83" s="146">
        <v>7068</v>
      </c>
      <c r="AI83" s="147"/>
      <c r="AJ83" s="146"/>
      <c r="AK83" s="147">
        <v>6054</v>
      </c>
      <c r="AL83" s="146">
        <v>6218</v>
      </c>
      <c r="AM83" s="197">
        <v>213</v>
      </c>
    </row>
    <row r="84" spans="1:39" ht="24" customHeight="1">
      <c r="A84" s="196">
        <v>214</v>
      </c>
      <c r="B84" s="180">
        <v>21188</v>
      </c>
      <c r="C84" s="180">
        <v>43738</v>
      </c>
      <c r="D84" s="179">
        <v>61</v>
      </c>
      <c r="E84" s="3" t="s">
        <v>61</v>
      </c>
      <c r="F84" s="143" t="s">
        <v>116</v>
      </c>
      <c r="G84" s="142">
        <v>22.958376502512319</v>
      </c>
      <c r="H84" s="11" t="s">
        <v>59</v>
      </c>
      <c r="I84" s="82" t="s">
        <v>60</v>
      </c>
      <c r="J84" s="147">
        <v>164470</v>
      </c>
      <c r="K84" s="146">
        <v>180830</v>
      </c>
      <c r="L84" s="147">
        <v>51765</v>
      </c>
      <c r="M84" s="146">
        <v>70822</v>
      </c>
      <c r="N84" s="147">
        <v>101766</v>
      </c>
      <c r="O84" s="146">
        <v>114879</v>
      </c>
      <c r="P84" s="147">
        <v>11527</v>
      </c>
      <c r="Q84" s="146">
        <v>18565</v>
      </c>
      <c r="R84" s="147">
        <v>338322</v>
      </c>
      <c r="S84" s="146">
        <v>365954</v>
      </c>
      <c r="T84" s="147">
        <v>73571</v>
      </c>
      <c r="U84" s="146">
        <v>93832</v>
      </c>
      <c r="V84" s="147">
        <v>282604</v>
      </c>
      <c r="W84" s="146">
        <v>325601</v>
      </c>
      <c r="X84" s="195">
        <v>214</v>
      </c>
      <c r="Y84" s="147">
        <v>19013</v>
      </c>
      <c r="Z84" s="146">
        <v>18074</v>
      </c>
      <c r="AA84" s="147">
        <v>1040</v>
      </c>
      <c r="AB84" s="146">
        <v>1360</v>
      </c>
      <c r="AC84" s="147">
        <v>8003</v>
      </c>
      <c r="AD84" s="146">
        <v>7597</v>
      </c>
      <c r="AE84" s="147">
        <v>244.3</v>
      </c>
      <c r="AF84" s="146">
        <v>247.7</v>
      </c>
      <c r="AG84" s="147">
        <v>7853</v>
      </c>
      <c r="AH84" s="146">
        <v>7310</v>
      </c>
      <c r="AI84" s="147"/>
      <c r="AJ84" s="146"/>
      <c r="AK84" s="147">
        <v>8257</v>
      </c>
      <c r="AL84" s="146">
        <v>7649</v>
      </c>
      <c r="AM84" s="194">
        <v>214</v>
      </c>
    </row>
    <row r="85" spans="1:39" ht="24" customHeight="1">
      <c r="A85" s="199">
        <v>215</v>
      </c>
      <c r="B85" s="190">
        <v>29668</v>
      </c>
      <c r="C85" s="190">
        <v>43773</v>
      </c>
      <c r="D85" s="189">
        <v>38</v>
      </c>
      <c r="E85" s="3" t="s">
        <v>61</v>
      </c>
      <c r="F85" s="143" t="s">
        <v>116</v>
      </c>
      <c r="G85" s="142">
        <v>24.420354153003352</v>
      </c>
      <c r="H85" s="11" t="s">
        <v>59</v>
      </c>
      <c r="I85" s="82" t="s">
        <v>60</v>
      </c>
      <c r="J85" s="147">
        <v>83507</v>
      </c>
      <c r="K85" s="146">
        <v>120433</v>
      </c>
      <c r="L85" s="147">
        <v>21078</v>
      </c>
      <c r="M85" s="146">
        <v>37202</v>
      </c>
      <c r="N85" s="147">
        <v>300264</v>
      </c>
      <c r="O85" s="146">
        <v>407970</v>
      </c>
      <c r="P85" s="147">
        <v>27840</v>
      </c>
      <c r="Q85" s="146">
        <v>52504</v>
      </c>
      <c r="R85" s="147">
        <v>142680</v>
      </c>
      <c r="S85" s="146">
        <v>204161</v>
      </c>
      <c r="T85" s="147">
        <v>42120</v>
      </c>
      <c r="U85" s="146">
        <v>31110</v>
      </c>
      <c r="V85" s="147">
        <v>89313</v>
      </c>
      <c r="W85" s="146">
        <v>130405</v>
      </c>
      <c r="X85" s="198">
        <v>215</v>
      </c>
      <c r="Y85" s="147">
        <v>6918</v>
      </c>
      <c r="Z85" s="146">
        <v>6498</v>
      </c>
      <c r="AA85" s="147">
        <v>1663</v>
      </c>
      <c r="AB85" s="146">
        <v>1598</v>
      </c>
      <c r="AC85" s="147">
        <v>5764</v>
      </c>
      <c r="AD85" s="146">
        <v>7822</v>
      </c>
      <c r="AE85" s="147">
        <v>1213</v>
      </c>
      <c r="AF85" s="146">
        <v>1712</v>
      </c>
      <c r="AG85" s="147">
        <v>11962</v>
      </c>
      <c r="AH85" s="146">
        <v>12769</v>
      </c>
      <c r="AI85" s="147"/>
      <c r="AJ85" s="146"/>
      <c r="AK85" s="147">
        <v>5617</v>
      </c>
      <c r="AL85" s="146">
        <v>5763</v>
      </c>
      <c r="AM85" s="197">
        <v>215</v>
      </c>
    </row>
    <row r="86" spans="1:39" ht="24" customHeight="1">
      <c r="A86" s="196">
        <v>217</v>
      </c>
      <c r="B86" s="180">
        <v>24173</v>
      </c>
      <c r="C86" s="180">
        <v>43810</v>
      </c>
      <c r="D86" s="179">
        <v>53</v>
      </c>
      <c r="E86" s="3" t="s">
        <v>61</v>
      </c>
      <c r="F86" s="143" t="s">
        <v>118</v>
      </c>
      <c r="G86" s="142">
        <v>31.99265381083563</v>
      </c>
      <c r="H86" s="11" t="s">
        <v>59</v>
      </c>
      <c r="I86" s="82" t="s">
        <v>60</v>
      </c>
      <c r="J86" s="147">
        <v>120807</v>
      </c>
      <c r="K86" s="146">
        <v>290464</v>
      </c>
      <c r="L86" s="147">
        <v>117633</v>
      </c>
      <c r="M86" s="146">
        <v>346929</v>
      </c>
      <c r="N86" s="147">
        <v>233584</v>
      </c>
      <c r="O86" s="146">
        <v>361127</v>
      </c>
      <c r="P86" s="147">
        <v>25314</v>
      </c>
      <c r="Q86" s="146">
        <v>60800</v>
      </c>
      <c r="R86" s="147">
        <v>215736</v>
      </c>
      <c r="S86" s="146">
        <v>322138</v>
      </c>
      <c r="T86" s="147">
        <v>96374</v>
      </c>
      <c r="U86" s="146">
        <v>145700</v>
      </c>
      <c r="V86" s="147">
        <v>234080</v>
      </c>
      <c r="W86" s="146">
        <v>359738</v>
      </c>
      <c r="X86" s="195">
        <v>217</v>
      </c>
      <c r="Y86" s="147">
        <v>6082</v>
      </c>
      <c r="Z86" s="146">
        <v>6299</v>
      </c>
      <c r="AA86" s="147">
        <v>319.60000000000002</v>
      </c>
      <c r="AB86" s="146">
        <v>423</v>
      </c>
      <c r="AC86" s="147">
        <v>3376</v>
      </c>
      <c r="AD86" s="146">
        <v>5969</v>
      </c>
      <c r="AE86" s="147">
        <v>2073</v>
      </c>
      <c r="AF86" s="146">
        <v>7918</v>
      </c>
      <c r="AG86" s="147">
        <v>12531</v>
      </c>
      <c r="AH86" s="146">
        <v>14201</v>
      </c>
      <c r="AI86" s="147"/>
      <c r="AJ86" s="146"/>
      <c r="AK86" s="147">
        <v>7747</v>
      </c>
      <c r="AL86" s="146">
        <v>8256</v>
      </c>
      <c r="AM86" s="194">
        <v>217</v>
      </c>
    </row>
    <row r="87" spans="1:39" ht="24" customHeight="1">
      <c r="A87" s="199">
        <v>219</v>
      </c>
      <c r="B87" s="190">
        <v>29035</v>
      </c>
      <c r="C87" s="190">
        <v>43776</v>
      </c>
      <c r="D87" s="189">
        <v>40</v>
      </c>
      <c r="E87" s="4" t="s">
        <v>58</v>
      </c>
      <c r="F87" s="143" t="s">
        <v>116</v>
      </c>
      <c r="G87" s="142">
        <v>31.710600907029484</v>
      </c>
      <c r="H87" s="11" t="s">
        <v>59</v>
      </c>
      <c r="I87" s="82" t="s">
        <v>60</v>
      </c>
      <c r="J87" s="147">
        <v>267460</v>
      </c>
      <c r="K87" s="146">
        <v>267460</v>
      </c>
      <c r="L87" s="147">
        <v>135067</v>
      </c>
      <c r="M87" s="146">
        <v>262466</v>
      </c>
      <c r="N87" s="147">
        <v>151247</v>
      </c>
      <c r="O87" s="146">
        <v>180607</v>
      </c>
      <c r="P87" s="147">
        <v>23977</v>
      </c>
      <c r="Q87" s="146">
        <v>60212</v>
      </c>
      <c r="R87" s="147">
        <v>370793</v>
      </c>
      <c r="S87" s="146">
        <v>431119</v>
      </c>
      <c r="T87" s="147">
        <v>84016</v>
      </c>
      <c r="U87" s="146">
        <v>191722</v>
      </c>
      <c r="V87" s="147">
        <v>323780</v>
      </c>
      <c r="W87" s="146">
        <v>422881</v>
      </c>
      <c r="X87" s="198">
        <v>219</v>
      </c>
      <c r="Y87" s="147">
        <v>11893</v>
      </c>
      <c r="Z87" s="146">
        <v>12771</v>
      </c>
      <c r="AA87" s="147">
        <v>443.3</v>
      </c>
      <c r="AB87" s="146">
        <v>487.2</v>
      </c>
      <c r="AC87" s="147">
        <v>6151</v>
      </c>
      <c r="AD87" s="146">
        <v>5971</v>
      </c>
      <c r="AE87" s="147">
        <v>1617</v>
      </c>
      <c r="AF87" s="146">
        <v>1128</v>
      </c>
      <c r="AG87" s="147">
        <v>23688</v>
      </c>
      <c r="AH87" s="146">
        <v>24212</v>
      </c>
      <c r="AI87" s="147"/>
      <c r="AJ87" s="146"/>
      <c r="AK87" s="147">
        <v>14346</v>
      </c>
      <c r="AL87" s="146">
        <v>15028</v>
      </c>
      <c r="AM87" s="197">
        <v>219</v>
      </c>
    </row>
    <row r="88" spans="1:39" ht="24" customHeight="1">
      <c r="A88" s="199">
        <v>220</v>
      </c>
      <c r="B88" s="190">
        <v>27562</v>
      </c>
      <c r="C88" s="190">
        <v>43787</v>
      </c>
      <c r="D88" s="189">
        <v>44</v>
      </c>
      <c r="E88" s="3" t="s">
        <v>61</v>
      </c>
      <c r="F88" s="143" t="s">
        <v>116</v>
      </c>
      <c r="G88" s="142">
        <v>45.712575634299398</v>
      </c>
      <c r="H88" s="11" t="s">
        <v>59</v>
      </c>
      <c r="I88" s="82" t="s">
        <v>60</v>
      </c>
      <c r="J88" s="147">
        <v>144232</v>
      </c>
      <c r="K88" s="146">
        <v>207621</v>
      </c>
      <c r="L88" s="147">
        <v>60159</v>
      </c>
      <c r="M88" s="146">
        <v>68998</v>
      </c>
      <c r="N88" s="147">
        <v>118433</v>
      </c>
      <c r="O88" s="146">
        <v>159782</v>
      </c>
      <c r="P88" s="147">
        <v>18462</v>
      </c>
      <c r="Q88" s="146">
        <v>39371</v>
      </c>
      <c r="R88" s="147">
        <v>108203</v>
      </c>
      <c r="S88" s="146">
        <v>165714</v>
      </c>
      <c r="T88" s="147"/>
      <c r="U88" s="146"/>
      <c r="V88" s="147">
        <v>120456</v>
      </c>
      <c r="W88" s="146">
        <v>237590</v>
      </c>
      <c r="X88" s="198">
        <v>220</v>
      </c>
      <c r="Y88" s="147">
        <v>22609</v>
      </c>
      <c r="Z88" s="146">
        <v>32236</v>
      </c>
      <c r="AA88" s="147">
        <v>9726</v>
      </c>
      <c r="AB88" s="146">
        <v>8614</v>
      </c>
      <c r="AC88" s="147">
        <v>9546</v>
      </c>
      <c r="AD88" s="146">
        <v>12867</v>
      </c>
      <c r="AE88" s="147">
        <v>1654</v>
      </c>
      <c r="AF88" s="146">
        <v>1083</v>
      </c>
      <c r="AG88" s="147">
        <v>4455</v>
      </c>
      <c r="AH88" s="146">
        <v>5590</v>
      </c>
      <c r="AI88" s="147"/>
      <c r="AJ88" s="146"/>
      <c r="AK88" s="147">
        <v>7490</v>
      </c>
      <c r="AL88" s="146">
        <v>8079</v>
      </c>
      <c r="AM88" s="197">
        <v>220</v>
      </c>
    </row>
    <row r="89" spans="1:39" ht="24" customHeight="1">
      <c r="A89" s="201">
        <v>221</v>
      </c>
      <c r="B89" s="183">
        <v>33371</v>
      </c>
      <c r="C89" s="183">
        <v>43802</v>
      </c>
      <c r="D89" s="182">
        <v>28</v>
      </c>
      <c r="E89" s="3" t="s">
        <v>61</v>
      </c>
      <c r="F89" s="143" t="s">
        <v>116</v>
      </c>
      <c r="G89" s="142">
        <v>22.06563591700737</v>
      </c>
      <c r="H89" s="11" t="s">
        <v>59</v>
      </c>
      <c r="I89" s="82" t="s">
        <v>60</v>
      </c>
      <c r="J89" s="147">
        <v>359147</v>
      </c>
      <c r="K89" s="146">
        <v>337494</v>
      </c>
      <c r="L89" s="147">
        <v>96367</v>
      </c>
      <c r="M89" s="146">
        <v>148208</v>
      </c>
      <c r="N89" s="147">
        <v>257337</v>
      </c>
      <c r="O89" s="146">
        <v>291846</v>
      </c>
      <c r="P89" s="147">
        <v>43870</v>
      </c>
      <c r="Q89" s="146">
        <v>90986</v>
      </c>
      <c r="R89" s="147">
        <v>439536</v>
      </c>
      <c r="S89" s="146">
        <v>503104</v>
      </c>
      <c r="T89" s="147">
        <v>107303</v>
      </c>
      <c r="U89" s="146">
        <v>194091</v>
      </c>
      <c r="V89" s="147">
        <v>307101</v>
      </c>
      <c r="W89" s="146">
        <v>344449</v>
      </c>
      <c r="X89" s="32">
        <v>221</v>
      </c>
      <c r="Y89" s="147">
        <v>6733</v>
      </c>
      <c r="Z89" s="146">
        <v>7968</v>
      </c>
      <c r="AA89" s="147">
        <v>2008</v>
      </c>
      <c r="AB89" s="146">
        <v>2450</v>
      </c>
      <c r="AC89" s="147">
        <v>4365</v>
      </c>
      <c r="AD89" s="146">
        <v>5076</v>
      </c>
      <c r="AE89" s="147">
        <v>561.5</v>
      </c>
      <c r="AF89" s="146">
        <v>851.5</v>
      </c>
      <c r="AG89" s="147">
        <v>5925</v>
      </c>
      <c r="AH89" s="146">
        <v>7337</v>
      </c>
      <c r="AI89" s="147"/>
      <c r="AJ89" s="146"/>
      <c r="AK89" s="147">
        <v>5213</v>
      </c>
      <c r="AL89" s="146">
        <v>6734</v>
      </c>
      <c r="AM89" s="200">
        <v>221</v>
      </c>
    </row>
    <row r="90" spans="1:39" ht="24" customHeight="1">
      <c r="A90" s="199">
        <v>222</v>
      </c>
      <c r="B90" s="190">
        <v>32325</v>
      </c>
      <c r="C90" s="190">
        <v>43805</v>
      </c>
      <c r="D90" s="189">
        <v>31</v>
      </c>
      <c r="E90" s="4" t="s">
        <v>58</v>
      </c>
      <c r="F90" s="143" t="s">
        <v>116</v>
      </c>
      <c r="G90" s="142">
        <v>27.584900896351471</v>
      </c>
      <c r="H90" s="11" t="s">
        <v>59</v>
      </c>
      <c r="I90" s="82" t="s">
        <v>60</v>
      </c>
      <c r="J90" s="147">
        <v>371749</v>
      </c>
      <c r="K90" s="146">
        <v>557607</v>
      </c>
      <c r="L90" s="147">
        <v>249088</v>
      </c>
      <c r="M90" s="146">
        <v>1074376</v>
      </c>
      <c r="N90" s="147">
        <v>52709</v>
      </c>
      <c r="O90" s="146">
        <v>233677</v>
      </c>
      <c r="P90" s="147">
        <v>7713</v>
      </c>
      <c r="Q90" s="146">
        <v>44888</v>
      </c>
      <c r="R90" s="147">
        <v>371967</v>
      </c>
      <c r="S90" s="146">
        <v>503104</v>
      </c>
      <c r="T90" s="147"/>
      <c r="U90" s="146"/>
      <c r="V90" s="147">
        <v>384337</v>
      </c>
      <c r="W90" s="146">
        <v>590932</v>
      </c>
      <c r="X90" s="198">
        <v>222</v>
      </c>
      <c r="Y90" s="147">
        <v>6487</v>
      </c>
      <c r="Z90" s="146">
        <v>9688</v>
      </c>
      <c r="AA90" s="147">
        <v>1155</v>
      </c>
      <c r="AB90" s="146">
        <v>2130</v>
      </c>
      <c r="AC90" s="147">
        <v>5182</v>
      </c>
      <c r="AD90" s="146">
        <v>5518</v>
      </c>
      <c r="AE90" s="147">
        <v>1463</v>
      </c>
      <c r="AF90" s="146">
        <v>3953</v>
      </c>
      <c r="AG90" s="147">
        <v>2963</v>
      </c>
      <c r="AH90" s="146">
        <v>3297</v>
      </c>
      <c r="AI90" s="147"/>
      <c r="AJ90" s="146"/>
      <c r="AK90" s="147">
        <v>4020</v>
      </c>
      <c r="AL90" s="146">
        <v>4312</v>
      </c>
      <c r="AM90" s="197">
        <v>222</v>
      </c>
    </row>
    <row r="91" spans="1:39" ht="24" customHeight="1">
      <c r="A91" s="196">
        <v>224</v>
      </c>
      <c r="B91" s="180">
        <v>21432</v>
      </c>
      <c r="C91" s="180">
        <v>43757</v>
      </c>
      <c r="D91" s="179">
        <v>61</v>
      </c>
      <c r="E91" s="3" t="s">
        <v>61</v>
      </c>
      <c r="F91" s="143" t="s">
        <v>116</v>
      </c>
      <c r="G91" s="142">
        <v>44.787100025195265</v>
      </c>
      <c r="H91" s="11" t="s">
        <v>59</v>
      </c>
      <c r="I91" s="82" t="s">
        <v>60</v>
      </c>
      <c r="J91" s="147">
        <v>157386</v>
      </c>
      <c r="K91" s="146">
        <v>157386</v>
      </c>
      <c r="L91" s="147">
        <v>154889</v>
      </c>
      <c r="M91" s="146">
        <v>255150</v>
      </c>
      <c r="N91" s="147">
        <v>138156</v>
      </c>
      <c r="O91" s="146">
        <v>252195</v>
      </c>
      <c r="P91" s="147">
        <v>25018</v>
      </c>
      <c r="Q91" s="146">
        <v>55721</v>
      </c>
      <c r="R91" s="147">
        <v>179340</v>
      </c>
      <c r="S91" s="146">
        <v>356642</v>
      </c>
      <c r="T91" s="147">
        <v>63722</v>
      </c>
      <c r="U91" s="146">
        <v>119497</v>
      </c>
      <c r="V91" s="147">
        <v>205538</v>
      </c>
      <c r="W91" s="146">
        <v>442172</v>
      </c>
      <c r="X91" s="195">
        <v>224</v>
      </c>
      <c r="Y91" s="147">
        <v>6878</v>
      </c>
      <c r="Z91" s="146">
        <v>7041</v>
      </c>
      <c r="AA91" s="147">
        <v>337.7</v>
      </c>
      <c r="AB91" s="146">
        <v>397.6</v>
      </c>
      <c r="AC91" s="147">
        <v>3121</v>
      </c>
      <c r="AD91" s="146">
        <v>4574</v>
      </c>
      <c r="AE91" s="147">
        <v>183.4</v>
      </c>
      <c r="AF91" s="146">
        <v>2213</v>
      </c>
      <c r="AG91" s="147">
        <v>2277</v>
      </c>
      <c r="AH91" s="146">
        <v>4573</v>
      </c>
      <c r="AI91" s="147"/>
      <c r="AJ91" s="146"/>
      <c r="AK91" s="147">
        <v>1268</v>
      </c>
      <c r="AL91" s="146">
        <v>4241</v>
      </c>
      <c r="AM91" s="194">
        <v>224</v>
      </c>
    </row>
    <row r="92" spans="1:39" ht="24" customHeight="1">
      <c r="A92" s="199">
        <v>225</v>
      </c>
      <c r="B92" s="190">
        <v>30940</v>
      </c>
      <c r="C92" s="190">
        <v>43802</v>
      </c>
      <c r="D92" s="189">
        <v>35</v>
      </c>
      <c r="E92" s="4" t="s">
        <v>58</v>
      </c>
      <c r="F92" s="143" t="s">
        <v>116</v>
      </c>
      <c r="G92" s="142">
        <v>25.312073220039494</v>
      </c>
      <c r="H92" s="11" t="s">
        <v>59</v>
      </c>
      <c r="I92" s="82" t="s">
        <v>60</v>
      </c>
      <c r="J92" s="147">
        <v>212002</v>
      </c>
      <c r="K92" s="146">
        <v>220027</v>
      </c>
      <c r="L92" s="147">
        <v>80999</v>
      </c>
      <c r="M92" s="146">
        <v>110854</v>
      </c>
      <c r="N92" s="147">
        <v>85732</v>
      </c>
      <c r="O92" s="146">
        <v>104063</v>
      </c>
      <c r="P92" s="147">
        <v>7458</v>
      </c>
      <c r="Q92" s="146">
        <v>17245</v>
      </c>
      <c r="R92" s="147">
        <v>119644</v>
      </c>
      <c r="S92" s="146">
        <v>135642</v>
      </c>
      <c r="T92" s="147">
        <v>116638</v>
      </c>
      <c r="U92" s="146">
        <v>137783</v>
      </c>
      <c r="V92" s="147">
        <v>315672</v>
      </c>
      <c r="W92" s="146">
        <v>355690</v>
      </c>
      <c r="X92" s="198">
        <v>225</v>
      </c>
      <c r="Y92" s="147">
        <v>5103</v>
      </c>
      <c r="Z92" s="146">
        <v>4839</v>
      </c>
      <c r="AA92" s="147">
        <v>4768</v>
      </c>
      <c r="AB92" s="146">
        <v>5356</v>
      </c>
      <c r="AC92" s="147">
        <v>7861</v>
      </c>
      <c r="AD92" s="146">
        <v>8538</v>
      </c>
      <c r="AE92" s="147">
        <v>206.7</v>
      </c>
      <c r="AF92" s="146">
        <v>947.6</v>
      </c>
      <c r="AG92" s="147">
        <v>7083</v>
      </c>
      <c r="AH92" s="146">
        <v>7453</v>
      </c>
      <c r="AI92" s="147"/>
      <c r="AJ92" s="146"/>
      <c r="AK92" s="147">
        <v>11003</v>
      </c>
      <c r="AL92" s="146">
        <v>10776</v>
      </c>
      <c r="AM92" s="197">
        <v>225</v>
      </c>
    </row>
    <row r="93" spans="1:39" ht="24" customHeight="1">
      <c r="A93" s="196">
        <v>227</v>
      </c>
      <c r="B93" s="180">
        <v>24871</v>
      </c>
      <c r="C93" s="180">
        <v>43775</v>
      </c>
      <c r="D93" s="179">
        <v>51</v>
      </c>
      <c r="E93" s="3" t="s">
        <v>61</v>
      </c>
      <c r="F93" s="143" t="s">
        <v>116</v>
      </c>
      <c r="G93" s="142">
        <v>33.536821636563047</v>
      </c>
      <c r="H93" s="11" t="s">
        <v>59</v>
      </c>
      <c r="I93" s="82" t="s">
        <v>60</v>
      </c>
      <c r="J93" s="147">
        <v>230927</v>
      </c>
      <c r="K93" s="146">
        <v>475953</v>
      </c>
      <c r="L93" s="147">
        <v>48755</v>
      </c>
      <c r="M93" s="146">
        <v>236313</v>
      </c>
      <c r="N93" s="147">
        <v>70182</v>
      </c>
      <c r="O93" s="146">
        <v>125664</v>
      </c>
      <c r="P93" s="147">
        <v>2148</v>
      </c>
      <c r="Q93" s="146">
        <v>38020</v>
      </c>
      <c r="R93" s="147">
        <v>262623</v>
      </c>
      <c r="S93" s="146">
        <v>309903</v>
      </c>
      <c r="T93" s="147"/>
      <c r="U93" s="146"/>
      <c r="V93" s="147">
        <v>205349</v>
      </c>
      <c r="W93" s="146">
        <v>259539</v>
      </c>
      <c r="X93" s="195">
        <v>227</v>
      </c>
      <c r="Y93" s="147">
        <v>6313</v>
      </c>
      <c r="Z93" s="146">
        <v>6930</v>
      </c>
      <c r="AA93" s="147">
        <v>13931</v>
      </c>
      <c r="AB93" s="146">
        <v>32563</v>
      </c>
      <c r="AC93" s="147">
        <v>11751</v>
      </c>
      <c r="AD93" s="146">
        <v>19045</v>
      </c>
      <c r="AE93" s="147">
        <v>2040</v>
      </c>
      <c r="AF93" s="146">
        <v>3160</v>
      </c>
      <c r="AG93" s="147">
        <v>6304</v>
      </c>
      <c r="AH93" s="146">
        <v>9213</v>
      </c>
      <c r="AI93" s="147"/>
      <c r="AJ93" s="146"/>
      <c r="AK93" s="147">
        <v>5585</v>
      </c>
      <c r="AL93" s="146">
        <v>9615</v>
      </c>
      <c r="AM93" s="194">
        <v>227</v>
      </c>
    </row>
    <row r="94" spans="1:39" ht="24" customHeight="1">
      <c r="A94" s="201">
        <v>232</v>
      </c>
      <c r="B94" s="183">
        <v>33782</v>
      </c>
      <c r="C94" s="183">
        <v>43787</v>
      </c>
      <c r="D94" s="182">
        <v>27</v>
      </c>
      <c r="E94" s="3" t="s">
        <v>61</v>
      </c>
      <c r="F94" s="143" t="s">
        <v>116</v>
      </c>
      <c r="G94" s="142">
        <v>24.79785579817629</v>
      </c>
      <c r="H94" s="11" t="s">
        <v>59</v>
      </c>
      <c r="I94" s="82" t="s">
        <v>60</v>
      </c>
      <c r="J94" s="147">
        <v>136162</v>
      </c>
      <c r="K94" s="146">
        <v>224672</v>
      </c>
      <c r="L94" s="147">
        <v>89070</v>
      </c>
      <c r="M94" s="146">
        <v>249369</v>
      </c>
      <c r="N94" s="147">
        <v>35804</v>
      </c>
      <c r="O94" s="146">
        <v>63677</v>
      </c>
      <c r="P94" s="147">
        <v>7398</v>
      </c>
      <c r="Q94" s="146">
        <v>15365</v>
      </c>
      <c r="R94" s="147">
        <v>126654</v>
      </c>
      <c r="S94" s="146">
        <v>163499</v>
      </c>
      <c r="T94" s="147">
        <v>47504</v>
      </c>
      <c r="U94" s="146">
        <v>58271</v>
      </c>
      <c r="V94" s="147">
        <v>216443</v>
      </c>
      <c r="W94" s="146">
        <v>281196</v>
      </c>
      <c r="X94" s="32">
        <v>232</v>
      </c>
      <c r="Y94" s="147">
        <v>22428</v>
      </c>
      <c r="Z94" s="146">
        <v>28312</v>
      </c>
      <c r="AA94" s="147">
        <v>5043</v>
      </c>
      <c r="AB94" s="146">
        <v>3995</v>
      </c>
      <c r="AC94" s="147">
        <v>15901</v>
      </c>
      <c r="AD94" s="146">
        <v>18327</v>
      </c>
      <c r="AE94" s="147">
        <v>3026</v>
      </c>
      <c r="AF94" s="146">
        <v>4279</v>
      </c>
      <c r="AG94" s="147">
        <v>67012</v>
      </c>
      <c r="AH94" s="146">
        <v>69297</v>
      </c>
      <c r="AI94" s="147"/>
      <c r="AJ94" s="146"/>
      <c r="AK94" s="147">
        <v>19856</v>
      </c>
      <c r="AL94" s="146">
        <v>20094</v>
      </c>
      <c r="AM94" s="200">
        <v>232</v>
      </c>
    </row>
    <row r="95" spans="1:39" ht="24" customHeight="1">
      <c r="A95" s="199">
        <v>236</v>
      </c>
      <c r="B95" s="190">
        <v>26638</v>
      </c>
      <c r="C95" s="190">
        <v>43858</v>
      </c>
      <c r="D95" s="189">
        <v>47</v>
      </c>
      <c r="E95" s="4" t="s">
        <v>58</v>
      </c>
      <c r="F95" s="143" t="s">
        <v>117</v>
      </c>
      <c r="G95" s="142">
        <v>35.469095956490364</v>
      </c>
      <c r="H95" s="11" t="s">
        <v>59</v>
      </c>
      <c r="I95" s="82" t="s">
        <v>60</v>
      </c>
      <c r="J95" s="147"/>
      <c r="K95" s="146"/>
      <c r="L95" s="147">
        <v>620862</v>
      </c>
      <c r="M95" s="146">
        <v>623174</v>
      </c>
      <c r="N95" s="147"/>
      <c r="O95" s="146"/>
      <c r="P95" s="147">
        <v>118736</v>
      </c>
      <c r="Q95" s="146">
        <v>475877</v>
      </c>
      <c r="R95" s="147"/>
      <c r="S95" s="146"/>
      <c r="T95" s="147"/>
      <c r="U95" s="146"/>
      <c r="V95" s="147">
        <v>248622</v>
      </c>
      <c r="W95" s="146">
        <v>856027</v>
      </c>
      <c r="X95" s="198">
        <v>236</v>
      </c>
      <c r="Y95" s="147"/>
      <c r="Z95" s="146"/>
      <c r="AA95" s="147">
        <v>16947</v>
      </c>
      <c r="AB95" s="146">
        <v>18665</v>
      </c>
      <c r="AC95" s="147"/>
      <c r="AD95" s="146"/>
      <c r="AE95" s="147">
        <v>2908</v>
      </c>
      <c r="AF95" s="146">
        <v>7868</v>
      </c>
      <c r="AG95" s="147"/>
      <c r="AH95" s="146"/>
      <c r="AI95" s="147"/>
      <c r="AJ95" s="146"/>
      <c r="AK95" s="147">
        <v>15561</v>
      </c>
      <c r="AL95" s="146">
        <v>47353</v>
      </c>
      <c r="AM95" s="197">
        <v>236</v>
      </c>
    </row>
    <row r="96" spans="1:39" ht="24" customHeight="1">
      <c r="A96" s="201">
        <v>238</v>
      </c>
      <c r="B96" s="183">
        <v>36206</v>
      </c>
      <c r="C96" s="183">
        <v>43804</v>
      </c>
      <c r="D96" s="182">
        <v>20</v>
      </c>
      <c r="E96" s="3" t="s">
        <v>61</v>
      </c>
      <c r="F96" s="143" t="s">
        <v>116</v>
      </c>
      <c r="G96" s="142">
        <v>28.494515933434101</v>
      </c>
      <c r="H96" s="11" t="s">
        <v>59</v>
      </c>
      <c r="I96" s="82" t="s">
        <v>60</v>
      </c>
      <c r="J96" s="147">
        <v>333912</v>
      </c>
      <c r="K96" s="146">
        <v>333912</v>
      </c>
      <c r="L96" s="147">
        <v>239775</v>
      </c>
      <c r="M96" s="146">
        <v>327778</v>
      </c>
      <c r="N96" s="147">
        <v>237378</v>
      </c>
      <c r="O96" s="146">
        <v>963782</v>
      </c>
      <c r="P96" s="147">
        <v>76733</v>
      </c>
      <c r="Q96" s="146">
        <v>223913</v>
      </c>
      <c r="R96" s="147">
        <v>300622</v>
      </c>
      <c r="S96" s="146">
        <v>448720</v>
      </c>
      <c r="T96" s="147">
        <v>252760</v>
      </c>
      <c r="U96" s="146"/>
      <c r="V96" s="147">
        <v>330986</v>
      </c>
      <c r="W96" s="146">
        <v>547459</v>
      </c>
      <c r="X96" s="32">
        <v>238</v>
      </c>
      <c r="Y96" s="147">
        <v>10057</v>
      </c>
      <c r="Z96" s="146">
        <v>16996</v>
      </c>
      <c r="AA96" s="147">
        <v>1743</v>
      </c>
      <c r="AB96" s="146">
        <v>1003</v>
      </c>
      <c r="AC96" s="147">
        <v>5934</v>
      </c>
      <c r="AD96" s="146">
        <v>18842</v>
      </c>
      <c r="AE96" s="147">
        <v>1228</v>
      </c>
      <c r="AF96" s="146">
        <v>10258</v>
      </c>
      <c r="AG96" s="147">
        <v>3580</v>
      </c>
      <c r="AH96" s="146">
        <v>7122</v>
      </c>
      <c r="AI96" s="147"/>
      <c r="AJ96" s="146"/>
      <c r="AK96" s="147">
        <v>3404</v>
      </c>
      <c r="AL96" s="146">
        <v>4468</v>
      </c>
      <c r="AM96" s="200">
        <v>238</v>
      </c>
    </row>
    <row r="97" spans="1:39" ht="24" customHeight="1">
      <c r="A97" s="201">
        <v>243</v>
      </c>
      <c r="B97" s="183">
        <v>34285</v>
      </c>
      <c r="C97" s="183">
        <v>43847</v>
      </c>
      <c r="D97" s="182">
        <v>26</v>
      </c>
      <c r="E97" s="3" t="s">
        <v>61</v>
      </c>
      <c r="F97" s="143" t="s">
        <v>121</v>
      </c>
      <c r="G97" s="142">
        <v>27.734966712536973</v>
      </c>
      <c r="H97" s="11" t="s">
        <v>59</v>
      </c>
      <c r="I97" s="82" t="s">
        <v>60</v>
      </c>
      <c r="J97" s="147"/>
      <c r="K97" s="146"/>
      <c r="L97" s="147">
        <v>138246</v>
      </c>
      <c r="M97" s="146">
        <v>158534</v>
      </c>
      <c r="N97" s="147"/>
      <c r="O97" s="146"/>
      <c r="P97" s="147">
        <v>39661</v>
      </c>
      <c r="Q97" s="146">
        <v>59905</v>
      </c>
      <c r="R97" s="147"/>
      <c r="S97" s="146"/>
      <c r="T97" s="147">
        <v>85468</v>
      </c>
      <c r="U97" s="146">
        <v>152601</v>
      </c>
      <c r="V97" s="147">
        <v>82646</v>
      </c>
      <c r="W97" s="146">
        <v>129022</v>
      </c>
      <c r="X97" s="32">
        <v>243</v>
      </c>
      <c r="Y97" s="147"/>
      <c r="Z97" s="146"/>
      <c r="AA97" s="147">
        <v>2825</v>
      </c>
      <c r="AB97" s="146">
        <v>3272</v>
      </c>
      <c r="AC97" s="147"/>
      <c r="AD97" s="146"/>
      <c r="AE97" s="147">
        <v>540.1</v>
      </c>
      <c r="AF97" s="146">
        <v>850.4</v>
      </c>
      <c r="AG97" s="147"/>
      <c r="AH97" s="146"/>
      <c r="AI97" s="147"/>
      <c r="AJ97" s="146"/>
      <c r="AK97" s="147">
        <v>1934</v>
      </c>
      <c r="AL97" s="146">
        <v>2440</v>
      </c>
      <c r="AM97" s="200">
        <v>243</v>
      </c>
    </row>
    <row r="98" spans="1:39" ht="24" customHeight="1">
      <c r="A98" s="199">
        <v>244</v>
      </c>
      <c r="B98" s="190">
        <v>31713</v>
      </c>
      <c r="C98" s="190">
        <v>43738</v>
      </c>
      <c r="D98" s="189">
        <v>32</v>
      </c>
      <c r="E98" s="3" t="s">
        <v>61</v>
      </c>
      <c r="F98" s="143" t="s">
        <v>117</v>
      </c>
      <c r="G98" s="142">
        <v>24.447278911564631</v>
      </c>
      <c r="H98" s="11" t="s">
        <v>59</v>
      </c>
      <c r="I98" s="82" t="s">
        <v>60</v>
      </c>
      <c r="J98" s="147">
        <v>253153</v>
      </c>
      <c r="K98" s="146">
        <v>287871</v>
      </c>
      <c r="L98" s="147">
        <v>100116</v>
      </c>
      <c r="M98" s="146">
        <v>138753</v>
      </c>
      <c r="N98" s="147">
        <v>434617</v>
      </c>
      <c r="O98" s="146">
        <v>367145</v>
      </c>
      <c r="P98" s="147">
        <v>39786</v>
      </c>
      <c r="Q98" s="146">
        <v>147521</v>
      </c>
      <c r="R98" s="147">
        <v>526469</v>
      </c>
      <c r="S98" s="146">
        <v>549719</v>
      </c>
      <c r="T98" s="147">
        <v>159402</v>
      </c>
      <c r="U98" s="146">
        <v>163147</v>
      </c>
      <c r="V98" s="147">
        <v>418024</v>
      </c>
      <c r="W98" s="146">
        <v>449113</v>
      </c>
      <c r="X98" s="198">
        <v>244</v>
      </c>
      <c r="Y98" s="147">
        <v>83003</v>
      </c>
      <c r="Z98" s="146">
        <v>7432</v>
      </c>
      <c r="AA98" s="147">
        <v>14675</v>
      </c>
      <c r="AB98" s="146">
        <v>8574</v>
      </c>
      <c r="AC98" s="147">
        <v>6989</v>
      </c>
      <c r="AD98" s="146">
        <v>4074</v>
      </c>
      <c r="AE98" s="147">
        <v>1732</v>
      </c>
      <c r="AF98" s="146">
        <v>2333</v>
      </c>
      <c r="AG98" s="147">
        <v>27853</v>
      </c>
      <c r="AH98" s="146">
        <v>7341</v>
      </c>
      <c r="AI98" s="147"/>
      <c r="AJ98" s="146"/>
      <c r="AK98" s="147">
        <v>11229</v>
      </c>
      <c r="AL98" s="146">
        <v>3887</v>
      </c>
      <c r="AM98" s="197">
        <v>244</v>
      </c>
    </row>
    <row r="99" spans="1:39" ht="24" customHeight="1">
      <c r="A99" s="199">
        <v>246</v>
      </c>
      <c r="B99" s="190">
        <v>25941</v>
      </c>
      <c r="C99" s="190">
        <v>43783</v>
      </c>
      <c r="D99" s="189">
        <v>48</v>
      </c>
      <c r="E99" s="3" t="s">
        <v>61</v>
      </c>
      <c r="F99" s="143" t="s">
        <v>116</v>
      </c>
      <c r="G99" s="142">
        <v>26.375690269370924</v>
      </c>
      <c r="H99" s="11" t="s">
        <v>59</v>
      </c>
      <c r="I99" s="82" t="s">
        <v>60</v>
      </c>
      <c r="J99" s="147">
        <v>102243</v>
      </c>
      <c r="K99" s="146">
        <v>121131</v>
      </c>
      <c r="L99" s="147">
        <v>39765</v>
      </c>
      <c r="M99" s="146">
        <v>78852</v>
      </c>
      <c r="N99" s="147">
        <v>231564</v>
      </c>
      <c r="O99" s="146">
        <v>223522</v>
      </c>
      <c r="P99" s="147">
        <v>104346</v>
      </c>
      <c r="Q99" s="146">
        <v>97044</v>
      </c>
      <c r="R99" s="147">
        <v>203265</v>
      </c>
      <c r="S99" s="146">
        <v>249059</v>
      </c>
      <c r="T99" s="147">
        <v>89043</v>
      </c>
      <c r="U99" s="146">
        <v>97551</v>
      </c>
      <c r="V99" s="147">
        <v>211816</v>
      </c>
      <c r="W99" s="146">
        <v>252511</v>
      </c>
      <c r="X99" s="198">
        <v>246</v>
      </c>
      <c r="Y99" s="147">
        <v>2137</v>
      </c>
      <c r="Z99" s="146">
        <v>1257</v>
      </c>
      <c r="AA99" s="147">
        <v>2023</v>
      </c>
      <c r="AB99" s="146">
        <v>2567</v>
      </c>
      <c r="AC99" s="147">
        <v>6451</v>
      </c>
      <c r="AD99" s="146">
        <v>3440</v>
      </c>
      <c r="AE99" s="147">
        <v>2124</v>
      </c>
      <c r="AF99" s="146">
        <v>2552</v>
      </c>
      <c r="AG99" s="147">
        <v>1115</v>
      </c>
      <c r="AH99" s="146">
        <v>1104</v>
      </c>
      <c r="AI99" s="147"/>
      <c r="AJ99" s="146"/>
      <c r="AK99" s="147">
        <v>582.4</v>
      </c>
      <c r="AL99" s="146">
        <v>439.8</v>
      </c>
      <c r="AM99" s="197">
        <v>246</v>
      </c>
    </row>
    <row r="100" spans="1:39" ht="24" customHeight="1">
      <c r="A100" s="196">
        <v>248</v>
      </c>
      <c r="B100" s="180">
        <v>20705</v>
      </c>
      <c r="C100" s="180">
        <v>43754</v>
      </c>
      <c r="D100" s="179">
        <v>63</v>
      </c>
      <c r="E100" s="3" t="s">
        <v>61</v>
      </c>
      <c r="F100" s="143" t="s">
        <v>116</v>
      </c>
      <c r="G100" s="142">
        <v>25.028025610207095</v>
      </c>
      <c r="H100" s="11" t="s">
        <v>59</v>
      </c>
      <c r="I100" s="82" t="s">
        <v>60</v>
      </c>
      <c r="J100" s="147">
        <v>258347</v>
      </c>
      <c r="K100" s="146">
        <v>181795</v>
      </c>
      <c r="L100" s="147">
        <v>163394</v>
      </c>
      <c r="M100" s="146">
        <v>162459</v>
      </c>
      <c r="N100" s="147">
        <v>205939</v>
      </c>
      <c r="O100" s="146">
        <v>158113</v>
      </c>
      <c r="P100" s="147">
        <v>18278</v>
      </c>
      <c r="Q100" s="146">
        <v>21816</v>
      </c>
      <c r="R100" s="147">
        <v>260152</v>
      </c>
      <c r="S100" s="146">
        <v>263013</v>
      </c>
      <c r="T100" s="147">
        <v>75715</v>
      </c>
      <c r="U100" s="146">
        <v>119970</v>
      </c>
      <c r="V100" s="147">
        <v>197172</v>
      </c>
      <c r="W100" s="146">
        <v>209327</v>
      </c>
      <c r="X100" s="195">
        <v>248</v>
      </c>
      <c r="Y100" s="147">
        <v>1714</v>
      </c>
      <c r="Z100" s="146">
        <v>880.5</v>
      </c>
      <c r="AA100" s="147">
        <v>666</v>
      </c>
      <c r="AB100" s="146">
        <v>1111</v>
      </c>
      <c r="AC100" s="147">
        <v>317.60000000000002</v>
      </c>
      <c r="AD100" s="146">
        <v>866</v>
      </c>
      <c r="AE100" s="147">
        <v>535</v>
      </c>
      <c r="AF100" s="146">
        <v>1134</v>
      </c>
      <c r="AG100" s="147">
        <v>2245</v>
      </c>
      <c r="AH100" s="146">
        <v>1417</v>
      </c>
      <c r="AI100" s="147"/>
      <c r="AJ100" s="146"/>
      <c r="AK100" s="147">
        <v>2120</v>
      </c>
      <c r="AL100" s="146">
        <v>1063</v>
      </c>
      <c r="AM100" s="194">
        <v>248</v>
      </c>
    </row>
    <row r="101" spans="1:39" ht="24" customHeight="1">
      <c r="A101" s="199">
        <v>249</v>
      </c>
      <c r="B101" s="190">
        <v>28210</v>
      </c>
      <c r="C101" s="190">
        <v>43837</v>
      </c>
      <c r="D101" s="189">
        <v>42</v>
      </c>
      <c r="E101" s="3" t="s">
        <v>61</v>
      </c>
      <c r="F101" s="143" t="s">
        <v>116</v>
      </c>
      <c r="G101" s="142">
        <v>31.953124999999993</v>
      </c>
      <c r="H101" s="11" t="s">
        <v>59</v>
      </c>
      <c r="I101" s="82" t="s">
        <v>60</v>
      </c>
      <c r="J101" s="147"/>
      <c r="K101" s="146"/>
      <c r="L101" s="147">
        <v>27897</v>
      </c>
      <c r="M101" s="146">
        <v>87381</v>
      </c>
      <c r="N101" s="147"/>
      <c r="O101" s="146"/>
      <c r="P101" s="147">
        <v>12128</v>
      </c>
      <c r="Q101" s="146">
        <v>50824</v>
      </c>
      <c r="R101" s="147"/>
      <c r="S101" s="146"/>
      <c r="T101" s="147">
        <v>165349</v>
      </c>
      <c r="U101" s="146">
        <v>236011</v>
      </c>
      <c r="V101" s="147">
        <v>74763</v>
      </c>
      <c r="W101" s="146">
        <v>259834</v>
      </c>
      <c r="X101" s="198">
        <v>249</v>
      </c>
      <c r="Y101" s="147"/>
      <c r="Z101" s="146"/>
      <c r="AA101" s="147">
        <v>2004</v>
      </c>
      <c r="AB101" s="146">
        <v>1612</v>
      </c>
      <c r="AC101" s="147"/>
      <c r="AD101" s="146"/>
      <c r="AE101" s="147">
        <v>1655</v>
      </c>
      <c r="AF101" s="146">
        <v>1194</v>
      </c>
      <c r="AG101" s="147"/>
      <c r="AH101" s="146"/>
      <c r="AI101" s="147"/>
      <c r="AJ101" s="146"/>
      <c r="AK101" s="147">
        <v>2050</v>
      </c>
      <c r="AL101" s="146">
        <v>4223</v>
      </c>
      <c r="AM101" s="197">
        <v>249</v>
      </c>
    </row>
    <row r="102" spans="1:39" ht="24" customHeight="1">
      <c r="A102" s="199">
        <v>251</v>
      </c>
      <c r="B102" s="190">
        <v>27033</v>
      </c>
      <c r="C102" s="190">
        <v>43813</v>
      </c>
      <c r="D102" s="189">
        <v>45</v>
      </c>
      <c r="E102" s="3" t="s">
        <v>61</v>
      </c>
      <c r="F102" s="143" t="s">
        <v>117</v>
      </c>
      <c r="G102" s="142">
        <v>59.105005275967244</v>
      </c>
      <c r="H102" s="11" t="s">
        <v>59</v>
      </c>
      <c r="I102" s="82" t="s">
        <v>60</v>
      </c>
      <c r="J102" s="147">
        <v>64209</v>
      </c>
      <c r="K102" s="146" t="s">
        <v>280</v>
      </c>
      <c r="L102" s="147">
        <v>20988</v>
      </c>
      <c r="M102" s="146">
        <v>208575</v>
      </c>
      <c r="N102" s="147">
        <v>37631</v>
      </c>
      <c r="O102" s="146" t="s">
        <v>280</v>
      </c>
      <c r="P102" s="147">
        <v>30581</v>
      </c>
      <c r="Q102" s="146">
        <v>182786</v>
      </c>
      <c r="R102" s="147">
        <v>148271</v>
      </c>
      <c r="S102" s="146" t="s">
        <v>280</v>
      </c>
      <c r="T102" s="147">
        <v>28003</v>
      </c>
      <c r="U102" s="146">
        <v>78320</v>
      </c>
      <c r="V102" s="147">
        <v>33008</v>
      </c>
      <c r="W102" s="146">
        <v>379659</v>
      </c>
      <c r="X102" s="198">
        <v>251</v>
      </c>
      <c r="Y102" s="147">
        <v>7867</v>
      </c>
      <c r="Z102" s="146" t="s">
        <v>280</v>
      </c>
      <c r="AA102" s="147">
        <v>8901</v>
      </c>
      <c r="AB102" s="146">
        <v>25760</v>
      </c>
      <c r="AC102" s="147">
        <v>8479</v>
      </c>
      <c r="AD102" s="146" t="s">
        <v>280</v>
      </c>
      <c r="AE102" s="147">
        <v>5020</v>
      </c>
      <c r="AF102" s="146">
        <v>7646</v>
      </c>
      <c r="AG102" s="147">
        <v>9316</v>
      </c>
      <c r="AH102" s="146" t="s">
        <v>280</v>
      </c>
      <c r="AI102" s="147"/>
      <c r="AJ102" s="146"/>
      <c r="AK102" s="147">
        <v>5488</v>
      </c>
      <c r="AL102" s="146">
        <v>9669</v>
      </c>
      <c r="AM102" s="197">
        <v>251</v>
      </c>
    </row>
    <row r="103" spans="1:39" ht="24" customHeight="1">
      <c r="A103" s="201">
        <v>252</v>
      </c>
      <c r="B103" s="183">
        <v>33665</v>
      </c>
      <c r="C103" s="183">
        <v>43805</v>
      </c>
      <c r="D103" s="182">
        <v>27</v>
      </c>
      <c r="E103" s="4" t="s">
        <v>58</v>
      </c>
      <c r="F103" s="143" t="s">
        <v>122</v>
      </c>
      <c r="G103" s="142">
        <v>25.306932047467601</v>
      </c>
      <c r="H103" s="11" t="s">
        <v>59</v>
      </c>
      <c r="I103" s="82" t="s">
        <v>60</v>
      </c>
      <c r="J103" s="147">
        <v>291823</v>
      </c>
      <c r="K103" s="146">
        <v>532562</v>
      </c>
      <c r="L103" s="147">
        <v>123925</v>
      </c>
      <c r="M103" s="146">
        <v>212984</v>
      </c>
      <c r="N103" s="147">
        <v>292677</v>
      </c>
      <c r="O103" s="146">
        <v>407217</v>
      </c>
      <c r="P103" s="147">
        <v>30750</v>
      </c>
      <c r="Q103" s="146">
        <v>83762</v>
      </c>
      <c r="R103" s="147">
        <v>688490</v>
      </c>
      <c r="S103" s="146">
        <v>872122</v>
      </c>
      <c r="T103" s="147">
        <v>138638</v>
      </c>
      <c r="U103" s="146">
        <v>195746</v>
      </c>
      <c r="V103" s="147">
        <v>659231</v>
      </c>
      <c r="W103" s="146">
        <v>705676</v>
      </c>
      <c r="X103" s="32">
        <v>252</v>
      </c>
      <c r="Y103" s="147">
        <v>3234</v>
      </c>
      <c r="Z103" s="146">
        <v>1254</v>
      </c>
      <c r="AA103" s="147">
        <v>2212</v>
      </c>
      <c r="AB103" s="146">
        <v>2613</v>
      </c>
      <c r="AC103" s="147">
        <v>12837</v>
      </c>
      <c r="AD103" s="146">
        <v>5433</v>
      </c>
      <c r="AE103" s="147">
        <v>3403</v>
      </c>
      <c r="AF103" s="146">
        <v>5175</v>
      </c>
      <c r="AG103" s="147">
        <v>34354</v>
      </c>
      <c r="AH103" s="146">
        <v>5642</v>
      </c>
      <c r="AI103" s="147"/>
      <c r="AJ103" s="146"/>
      <c r="AK103" s="147">
        <v>10390</v>
      </c>
      <c r="AL103" s="146">
        <v>3145</v>
      </c>
      <c r="AM103" s="200">
        <v>252</v>
      </c>
    </row>
    <row r="104" spans="1:39" ht="24" customHeight="1">
      <c r="A104" s="201">
        <v>253</v>
      </c>
      <c r="B104" s="183">
        <v>34255</v>
      </c>
      <c r="C104" s="183">
        <v>43745</v>
      </c>
      <c r="D104" s="182">
        <v>25</v>
      </c>
      <c r="E104" s="4" t="s">
        <v>58</v>
      </c>
      <c r="F104" s="143" t="s">
        <v>116</v>
      </c>
      <c r="G104" s="142">
        <v>22.57522921026619</v>
      </c>
      <c r="H104" s="11" t="s">
        <v>59</v>
      </c>
      <c r="I104" s="82" t="s">
        <v>60</v>
      </c>
      <c r="J104" s="147">
        <v>364067</v>
      </c>
      <c r="K104" s="146">
        <v>387745</v>
      </c>
      <c r="L104" s="147">
        <v>282550</v>
      </c>
      <c r="M104" s="146">
        <v>222694</v>
      </c>
      <c r="N104" s="147">
        <v>265597</v>
      </c>
      <c r="O104" s="146">
        <v>332891</v>
      </c>
      <c r="P104" s="147">
        <v>178776</v>
      </c>
      <c r="Q104" s="146">
        <v>153539</v>
      </c>
      <c r="R104" s="147">
        <v>292419</v>
      </c>
      <c r="S104" s="146">
        <v>338972</v>
      </c>
      <c r="T104" s="147"/>
      <c r="U104" s="146">
        <v>165562</v>
      </c>
      <c r="V104" s="147">
        <v>389182</v>
      </c>
      <c r="W104" s="146">
        <v>428227</v>
      </c>
      <c r="X104" s="32">
        <v>253</v>
      </c>
      <c r="Y104" s="147">
        <v>1269</v>
      </c>
      <c r="Z104" s="146">
        <v>797.3</v>
      </c>
      <c r="AA104" s="147">
        <v>2122</v>
      </c>
      <c r="AB104" s="146">
        <v>2398</v>
      </c>
      <c r="AC104" s="147">
        <v>683.6</v>
      </c>
      <c r="AD104" s="146">
        <v>1273</v>
      </c>
      <c r="AE104" s="147">
        <v>539.5</v>
      </c>
      <c r="AF104" s="146">
        <v>1090</v>
      </c>
      <c r="AG104" s="147">
        <v>17290</v>
      </c>
      <c r="AH104" s="146">
        <v>4181</v>
      </c>
      <c r="AI104" s="147"/>
      <c r="AJ104" s="146"/>
      <c r="AK104" s="147">
        <v>2785</v>
      </c>
      <c r="AL104" s="146">
        <v>1305</v>
      </c>
      <c r="AM104" s="200">
        <v>253</v>
      </c>
    </row>
    <row r="105" spans="1:39" ht="24" customHeight="1">
      <c r="A105" s="199">
        <v>260</v>
      </c>
      <c r="B105" s="190">
        <v>28235</v>
      </c>
      <c r="C105" s="190">
        <v>43861</v>
      </c>
      <c r="D105" s="189">
        <v>42</v>
      </c>
      <c r="E105" s="3" t="s">
        <v>61</v>
      </c>
      <c r="F105" s="143" t="s">
        <v>116</v>
      </c>
      <c r="G105" s="142">
        <v>20.35464793615002</v>
      </c>
      <c r="H105" s="11" t="s">
        <v>59</v>
      </c>
      <c r="I105" s="82" t="s">
        <v>60</v>
      </c>
      <c r="J105" s="147">
        <v>158572</v>
      </c>
      <c r="K105" s="146">
        <v>237075</v>
      </c>
      <c r="L105" s="147">
        <v>73735</v>
      </c>
      <c r="M105" s="146">
        <v>110698</v>
      </c>
      <c r="N105" s="147">
        <v>91493</v>
      </c>
      <c r="O105" s="146">
        <v>138094</v>
      </c>
      <c r="P105" s="147">
        <v>24113</v>
      </c>
      <c r="Q105" s="146">
        <v>98658</v>
      </c>
      <c r="R105" s="147">
        <v>318078</v>
      </c>
      <c r="S105" s="146">
        <v>405812</v>
      </c>
      <c r="T105" s="147">
        <v>89031</v>
      </c>
      <c r="U105" s="146">
        <v>287181</v>
      </c>
      <c r="V105" s="147">
        <v>331606</v>
      </c>
      <c r="W105" s="146">
        <v>495744</v>
      </c>
      <c r="X105" s="198">
        <v>260</v>
      </c>
      <c r="Y105" s="147">
        <v>1868</v>
      </c>
      <c r="Z105" s="146">
        <v>1651</v>
      </c>
      <c r="AA105" s="147"/>
      <c r="AB105" s="146"/>
      <c r="AC105" s="147">
        <v>3091</v>
      </c>
      <c r="AD105" s="146">
        <v>2155</v>
      </c>
      <c r="AE105" s="147"/>
      <c r="AF105" s="146"/>
      <c r="AG105" s="147">
        <v>5499</v>
      </c>
      <c r="AH105" s="146">
        <v>2332</v>
      </c>
      <c r="AI105" s="147"/>
      <c r="AJ105" s="146"/>
      <c r="AK105" s="147">
        <v>15301</v>
      </c>
      <c r="AL105" s="146">
        <v>3663</v>
      </c>
      <c r="AM105" s="197">
        <v>260</v>
      </c>
    </row>
    <row r="106" spans="1:39" ht="24" customHeight="1">
      <c r="A106" s="199">
        <v>262</v>
      </c>
      <c r="B106" s="190">
        <v>31760</v>
      </c>
      <c r="C106" s="190">
        <v>43789</v>
      </c>
      <c r="D106" s="189">
        <v>32</v>
      </c>
      <c r="E106" s="3" t="s">
        <v>61</v>
      </c>
      <c r="F106" s="143" t="s">
        <v>116</v>
      </c>
      <c r="G106" s="142">
        <v>25.828571428571426</v>
      </c>
      <c r="H106" s="11" t="s">
        <v>59</v>
      </c>
      <c r="I106" s="82" t="s">
        <v>60</v>
      </c>
      <c r="J106" s="147">
        <v>98441</v>
      </c>
      <c r="K106" s="146">
        <v>172757</v>
      </c>
      <c r="L106" s="147">
        <v>59594</v>
      </c>
      <c r="M106" s="146">
        <v>114968</v>
      </c>
      <c r="N106" s="147">
        <v>122918</v>
      </c>
      <c r="O106" s="146">
        <v>181569</v>
      </c>
      <c r="P106" s="147">
        <v>9985</v>
      </c>
      <c r="Q106" s="146">
        <v>22614</v>
      </c>
      <c r="R106" s="147">
        <v>302657</v>
      </c>
      <c r="S106" s="146">
        <v>422583</v>
      </c>
      <c r="T106" s="147">
        <v>163544</v>
      </c>
      <c r="U106" s="146">
        <v>158207</v>
      </c>
      <c r="V106" s="147">
        <v>221623</v>
      </c>
      <c r="W106" s="146">
        <v>346637</v>
      </c>
      <c r="X106" s="198">
        <v>262</v>
      </c>
      <c r="Y106" s="147">
        <v>4522</v>
      </c>
      <c r="Z106" s="146">
        <v>2710</v>
      </c>
      <c r="AA106" s="147">
        <v>1480</v>
      </c>
      <c r="AB106" s="146">
        <v>2030</v>
      </c>
      <c r="AC106" s="147">
        <v>978.7</v>
      </c>
      <c r="AD106" s="146">
        <v>664.8</v>
      </c>
      <c r="AE106" s="147">
        <v>1817</v>
      </c>
      <c r="AF106" s="146">
        <v>3409</v>
      </c>
      <c r="AG106" s="147">
        <v>455.6</v>
      </c>
      <c r="AH106" s="146">
        <v>253.8</v>
      </c>
      <c r="AI106" s="147"/>
      <c r="AJ106" s="146"/>
      <c r="AK106" s="147">
        <v>3369</v>
      </c>
      <c r="AL106" s="146">
        <v>1095</v>
      </c>
      <c r="AM106" s="197">
        <v>262</v>
      </c>
    </row>
    <row r="107" spans="1:39" ht="24" customHeight="1">
      <c r="A107" s="199">
        <v>263</v>
      </c>
      <c r="B107" s="190">
        <v>31789</v>
      </c>
      <c r="C107" s="190">
        <v>43760</v>
      </c>
      <c r="D107" s="189">
        <v>32</v>
      </c>
      <c r="E107" s="3" t="s">
        <v>61</v>
      </c>
      <c r="F107" s="143" t="s">
        <v>63</v>
      </c>
      <c r="G107" s="142">
        <v>22.126990545483338</v>
      </c>
      <c r="H107" s="11" t="s">
        <v>59</v>
      </c>
      <c r="I107" s="82" t="s">
        <v>60</v>
      </c>
      <c r="J107" s="147">
        <v>57524</v>
      </c>
      <c r="K107" s="146">
        <v>145616</v>
      </c>
      <c r="L107" s="147">
        <v>22429</v>
      </c>
      <c r="M107" s="146">
        <v>42832</v>
      </c>
      <c r="N107" s="147">
        <v>153441</v>
      </c>
      <c r="O107" s="146">
        <v>319510</v>
      </c>
      <c r="P107" s="147">
        <v>88564</v>
      </c>
      <c r="Q107" s="146">
        <v>182348</v>
      </c>
      <c r="R107" s="147">
        <v>139885</v>
      </c>
      <c r="S107" s="146">
        <v>215668</v>
      </c>
      <c r="T107" s="147">
        <v>129088</v>
      </c>
      <c r="U107" s="146">
        <v>169594</v>
      </c>
      <c r="V107" s="147">
        <v>248128</v>
      </c>
      <c r="W107" s="146">
        <v>414589</v>
      </c>
      <c r="X107" s="198">
        <v>263</v>
      </c>
      <c r="Y107" s="147">
        <v>521.5</v>
      </c>
      <c r="Z107" s="146">
        <v>591.1</v>
      </c>
      <c r="AA107" s="147">
        <v>4144</v>
      </c>
      <c r="AB107" s="146">
        <v>4532</v>
      </c>
      <c r="AC107" s="147" t="s">
        <v>280</v>
      </c>
      <c r="AD107" s="146" t="s">
        <v>280</v>
      </c>
      <c r="AE107" s="147">
        <v>474.8</v>
      </c>
      <c r="AF107" s="146">
        <v>840.1</v>
      </c>
      <c r="AG107" s="147">
        <v>487.6</v>
      </c>
      <c r="AH107" s="146">
        <v>1922</v>
      </c>
      <c r="AI107" s="147"/>
      <c r="AJ107" s="146"/>
      <c r="AK107" s="147">
        <v>1059</v>
      </c>
      <c r="AL107" s="146">
        <v>983.9</v>
      </c>
      <c r="AM107" s="197">
        <v>263</v>
      </c>
    </row>
    <row r="108" spans="1:39" ht="24" customHeight="1">
      <c r="A108" s="201">
        <v>264</v>
      </c>
      <c r="B108" s="183">
        <v>34315</v>
      </c>
      <c r="C108" s="183">
        <v>43768</v>
      </c>
      <c r="D108" s="182">
        <v>25</v>
      </c>
      <c r="E108" s="3" t="s">
        <v>61</v>
      </c>
      <c r="F108" s="143" t="s">
        <v>116</v>
      </c>
      <c r="G108" s="142">
        <v>24.043590916018896</v>
      </c>
      <c r="H108" s="11" t="s">
        <v>59</v>
      </c>
      <c r="I108" s="82" t="s">
        <v>60</v>
      </c>
      <c r="J108" s="147" t="s">
        <v>280</v>
      </c>
      <c r="K108" s="146">
        <v>367861</v>
      </c>
      <c r="L108" s="147">
        <v>26659</v>
      </c>
      <c r="M108" s="146">
        <v>59468</v>
      </c>
      <c r="N108" s="147" t="s">
        <v>280</v>
      </c>
      <c r="O108" s="146">
        <v>426250</v>
      </c>
      <c r="P108" s="147">
        <v>39174</v>
      </c>
      <c r="Q108" s="146">
        <v>105881</v>
      </c>
      <c r="R108" s="147" t="s">
        <v>280</v>
      </c>
      <c r="S108" s="146">
        <v>305989</v>
      </c>
      <c r="T108" s="147"/>
      <c r="U108" s="146">
        <v>60209</v>
      </c>
      <c r="V108" s="147">
        <v>128237</v>
      </c>
      <c r="W108" s="146">
        <v>196207</v>
      </c>
      <c r="X108" s="32">
        <v>264</v>
      </c>
      <c r="Y108" s="147" t="s">
        <v>280</v>
      </c>
      <c r="Z108" s="146">
        <v>978.7</v>
      </c>
      <c r="AA108" s="147">
        <v>383.1</v>
      </c>
      <c r="AB108" s="146">
        <v>1348</v>
      </c>
      <c r="AC108" s="147" t="s">
        <v>280</v>
      </c>
      <c r="AD108" s="146">
        <v>3289</v>
      </c>
      <c r="AE108" s="147">
        <v>547.70000000000005</v>
      </c>
      <c r="AF108" s="146">
        <v>789.5</v>
      </c>
      <c r="AG108" s="147" t="s">
        <v>280</v>
      </c>
      <c r="AH108" s="146">
        <v>782.2</v>
      </c>
      <c r="AI108" s="147"/>
      <c r="AJ108" s="146"/>
      <c r="AK108" s="147" t="s">
        <v>280</v>
      </c>
      <c r="AL108" s="146">
        <v>2491</v>
      </c>
      <c r="AM108" s="200">
        <v>264</v>
      </c>
    </row>
    <row r="109" spans="1:39" ht="24" customHeight="1">
      <c r="A109" s="184">
        <v>267</v>
      </c>
      <c r="B109" s="183">
        <v>35778</v>
      </c>
      <c r="C109" s="183">
        <v>43741</v>
      </c>
      <c r="D109" s="182">
        <v>21</v>
      </c>
      <c r="E109" s="4" t="s">
        <v>58</v>
      </c>
      <c r="F109" s="143" t="s">
        <v>117</v>
      </c>
      <c r="G109" s="142">
        <v>39.074074074074069</v>
      </c>
      <c r="H109" s="11" t="s">
        <v>59</v>
      </c>
      <c r="I109" s="141" t="s">
        <v>60</v>
      </c>
      <c r="J109" s="147"/>
      <c r="K109" s="146"/>
      <c r="L109" s="147">
        <v>146741</v>
      </c>
      <c r="M109" s="146">
        <v>183561</v>
      </c>
      <c r="N109" s="147"/>
      <c r="O109" s="146"/>
      <c r="P109" s="147">
        <v>330902</v>
      </c>
      <c r="Q109" s="146">
        <v>226656</v>
      </c>
      <c r="R109" s="147"/>
      <c r="S109" s="146"/>
      <c r="T109" s="147"/>
      <c r="U109" s="146"/>
      <c r="V109" s="147">
        <v>92251</v>
      </c>
      <c r="W109" s="146">
        <v>170366</v>
      </c>
      <c r="X109" s="186">
        <v>267</v>
      </c>
      <c r="Y109" s="147"/>
      <c r="Z109" s="146"/>
      <c r="AA109" s="147"/>
      <c r="AB109" s="146">
        <v>1987</v>
      </c>
      <c r="AC109" s="147"/>
      <c r="AD109" s="146"/>
      <c r="AE109" s="147"/>
      <c r="AF109" s="146">
        <v>15135</v>
      </c>
      <c r="AG109" s="147"/>
      <c r="AH109" s="146"/>
      <c r="AI109" s="147"/>
      <c r="AJ109" s="146"/>
      <c r="AK109" s="147"/>
      <c r="AL109" s="146"/>
      <c r="AM109" s="185">
        <v>267</v>
      </c>
    </row>
    <row r="110" spans="1:39" ht="24" customHeight="1">
      <c r="A110" s="211">
        <v>268</v>
      </c>
      <c r="B110" s="210">
        <v>19244</v>
      </c>
      <c r="C110" s="210">
        <v>43732</v>
      </c>
      <c r="D110" s="209">
        <v>67</v>
      </c>
      <c r="E110" s="3" t="s">
        <v>61</v>
      </c>
      <c r="F110" s="143" t="s">
        <v>116</v>
      </c>
      <c r="G110" s="142">
        <v>32.847023106763373</v>
      </c>
      <c r="H110" s="5" t="s">
        <v>64</v>
      </c>
      <c r="I110" s="141" t="s">
        <v>62</v>
      </c>
      <c r="J110" s="147">
        <v>154597</v>
      </c>
      <c r="K110" s="146">
        <v>207709</v>
      </c>
      <c r="L110" s="147">
        <v>110944</v>
      </c>
      <c r="M110" s="146">
        <v>133595</v>
      </c>
      <c r="N110" s="147">
        <v>145498</v>
      </c>
      <c r="O110" s="146">
        <v>561533</v>
      </c>
      <c r="P110" s="147">
        <v>17236</v>
      </c>
      <c r="Q110" s="146">
        <v>144566</v>
      </c>
      <c r="R110" s="147">
        <v>220020</v>
      </c>
      <c r="S110" s="146">
        <v>298050</v>
      </c>
      <c r="T110" s="147">
        <v>67355</v>
      </c>
      <c r="U110" s="146">
        <v>135619</v>
      </c>
      <c r="V110" s="147">
        <v>187841</v>
      </c>
      <c r="W110" s="146">
        <v>234873</v>
      </c>
      <c r="X110" s="208">
        <v>268</v>
      </c>
      <c r="Y110" s="147">
        <v>18492</v>
      </c>
      <c r="Z110" s="146">
        <v>6034</v>
      </c>
      <c r="AA110" s="147">
        <v>10176</v>
      </c>
      <c r="AB110" s="146">
        <v>13711</v>
      </c>
      <c r="AC110" s="147">
        <v>551.29999999999995</v>
      </c>
      <c r="AD110" s="146">
        <v>728.3</v>
      </c>
      <c r="AE110" s="147">
        <v>383.2</v>
      </c>
      <c r="AF110" s="146">
        <v>851.7</v>
      </c>
      <c r="AG110" s="147">
        <v>6225</v>
      </c>
      <c r="AH110" s="146">
        <v>2680</v>
      </c>
      <c r="AI110" s="147"/>
      <c r="AJ110" s="146"/>
      <c r="AK110" s="147">
        <v>2525</v>
      </c>
      <c r="AL110" s="146">
        <v>2344</v>
      </c>
      <c r="AM110" s="207">
        <v>268</v>
      </c>
    </row>
    <row r="111" spans="1:39" ht="24" customHeight="1">
      <c r="A111" s="211">
        <v>269</v>
      </c>
      <c r="B111" s="210">
        <v>17066</v>
      </c>
      <c r="C111" s="210">
        <v>43741</v>
      </c>
      <c r="D111" s="209">
        <v>73</v>
      </c>
      <c r="E111" s="3" t="s">
        <v>61</v>
      </c>
      <c r="F111" s="143" t="s">
        <v>116</v>
      </c>
      <c r="G111" s="142">
        <v>29.540012602394452</v>
      </c>
      <c r="H111" s="5" t="s">
        <v>64</v>
      </c>
      <c r="I111" s="141" t="s">
        <v>62</v>
      </c>
      <c r="J111" s="147">
        <v>133200</v>
      </c>
      <c r="K111" s="146">
        <v>252459</v>
      </c>
      <c r="L111" s="147">
        <v>25335</v>
      </c>
      <c r="M111" s="146">
        <v>57108</v>
      </c>
      <c r="N111" s="147">
        <v>39066</v>
      </c>
      <c r="O111" s="146">
        <v>79249</v>
      </c>
      <c r="P111" s="147">
        <v>15966</v>
      </c>
      <c r="Q111" s="146">
        <v>57347</v>
      </c>
      <c r="R111" s="147">
        <v>390652</v>
      </c>
      <c r="S111" s="146">
        <v>505590</v>
      </c>
      <c r="T111" s="147">
        <v>167862</v>
      </c>
      <c r="U111" s="146">
        <v>153996</v>
      </c>
      <c r="V111" s="147">
        <v>221035</v>
      </c>
      <c r="W111" s="146">
        <v>292252</v>
      </c>
      <c r="X111" s="208">
        <v>269</v>
      </c>
      <c r="Y111" s="147">
        <v>616.70000000000005</v>
      </c>
      <c r="Z111" s="146">
        <v>615.1</v>
      </c>
      <c r="AA111" s="147">
        <v>1908</v>
      </c>
      <c r="AB111" s="146">
        <v>2243</v>
      </c>
      <c r="AC111" s="147" t="s">
        <v>280</v>
      </c>
      <c r="AD111" s="146">
        <v>563.4</v>
      </c>
      <c r="AE111" s="147">
        <v>129</v>
      </c>
      <c r="AF111" s="146">
        <v>1445</v>
      </c>
      <c r="AG111" s="147">
        <v>19109</v>
      </c>
      <c r="AH111" s="146">
        <v>5055</v>
      </c>
      <c r="AI111" s="147"/>
      <c r="AJ111" s="146"/>
      <c r="AK111" s="147">
        <v>4209</v>
      </c>
      <c r="AL111" s="146">
        <v>1794</v>
      </c>
      <c r="AM111" s="207">
        <v>269</v>
      </c>
    </row>
    <row r="112" spans="1:39" ht="24" customHeight="1">
      <c r="A112" s="206">
        <v>270</v>
      </c>
      <c r="B112" s="205">
        <v>19944</v>
      </c>
      <c r="C112" s="205">
        <v>43759</v>
      </c>
      <c r="D112" s="204">
        <v>65</v>
      </c>
      <c r="E112" s="4" t="s">
        <v>58</v>
      </c>
      <c r="F112" s="143" t="s">
        <v>116</v>
      </c>
      <c r="G112" s="142">
        <v>28.821854484443854</v>
      </c>
      <c r="H112" s="11" t="s">
        <v>59</v>
      </c>
      <c r="I112" s="141" t="s">
        <v>62</v>
      </c>
      <c r="J112" s="147">
        <v>263811</v>
      </c>
      <c r="K112" s="146">
        <v>1059272</v>
      </c>
      <c r="L112" s="147">
        <v>116700</v>
      </c>
      <c r="M112" s="146">
        <v>409997</v>
      </c>
      <c r="N112" s="147">
        <v>154244</v>
      </c>
      <c r="O112" s="146">
        <v>193014</v>
      </c>
      <c r="P112" s="147">
        <v>10149</v>
      </c>
      <c r="Q112" s="146">
        <v>20743</v>
      </c>
      <c r="R112" s="147">
        <v>370706</v>
      </c>
      <c r="S112" s="146">
        <v>444087</v>
      </c>
      <c r="T112" s="147"/>
      <c r="U112" s="146">
        <v>150840</v>
      </c>
      <c r="V112" s="147">
        <v>514517</v>
      </c>
      <c r="W112" s="146">
        <v>606472</v>
      </c>
      <c r="X112" s="203">
        <v>270</v>
      </c>
      <c r="Y112" s="147">
        <v>30143</v>
      </c>
      <c r="Z112" s="146">
        <v>10747</v>
      </c>
      <c r="AA112" s="147">
        <v>17471</v>
      </c>
      <c r="AB112" s="146">
        <v>76155</v>
      </c>
      <c r="AC112" s="147">
        <v>3800</v>
      </c>
      <c r="AD112" s="146">
        <v>4174</v>
      </c>
      <c r="AE112" s="147">
        <v>1906</v>
      </c>
      <c r="AF112" s="146">
        <v>17025</v>
      </c>
      <c r="AG112" s="147">
        <v>29219</v>
      </c>
      <c r="AH112" s="146">
        <v>8654</v>
      </c>
      <c r="AI112" s="147"/>
      <c r="AJ112" s="146"/>
      <c r="AK112" s="147">
        <v>10672</v>
      </c>
      <c r="AL112" s="146">
        <v>5612</v>
      </c>
      <c r="AM112" s="202">
        <v>270</v>
      </c>
    </row>
    <row r="113" spans="1:39" ht="24" customHeight="1">
      <c r="A113" s="206">
        <v>271</v>
      </c>
      <c r="B113" s="205">
        <v>15700</v>
      </c>
      <c r="C113" s="205">
        <v>43763</v>
      </c>
      <c r="D113" s="204">
        <v>76</v>
      </c>
      <c r="E113" s="4" t="s">
        <v>58</v>
      </c>
      <c r="F113" s="143" t="s">
        <v>116</v>
      </c>
      <c r="G113" s="142">
        <v>26.387461888718057</v>
      </c>
      <c r="H113" s="11" t="s">
        <v>59</v>
      </c>
      <c r="I113" s="141" t="s">
        <v>62</v>
      </c>
      <c r="J113" s="147">
        <v>230826</v>
      </c>
      <c r="K113" s="146">
        <v>276247</v>
      </c>
      <c r="L113" s="147">
        <v>102068</v>
      </c>
      <c r="M113" s="146">
        <v>136162</v>
      </c>
      <c r="N113" s="147">
        <v>403993</v>
      </c>
      <c r="O113" s="146">
        <v>496830</v>
      </c>
      <c r="P113" s="147">
        <v>68053</v>
      </c>
      <c r="Q113" s="146">
        <v>170959</v>
      </c>
      <c r="R113" s="147">
        <v>183110</v>
      </c>
      <c r="S113" s="146">
        <v>216625</v>
      </c>
      <c r="T113" s="147">
        <v>145997</v>
      </c>
      <c r="U113" s="146">
        <v>104375</v>
      </c>
      <c r="V113" s="147">
        <v>160811</v>
      </c>
      <c r="W113" s="146">
        <v>186392</v>
      </c>
      <c r="X113" s="203">
        <v>271</v>
      </c>
      <c r="Y113" s="147">
        <v>7249</v>
      </c>
      <c r="Z113" s="146">
        <v>2974</v>
      </c>
      <c r="AA113" s="147">
        <v>7913</v>
      </c>
      <c r="AB113" s="146">
        <v>7140</v>
      </c>
      <c r="AC113" s="147">
        <v>4276</v>
      </c>
      <c r="AD113" s="146">
        <v>4307</v>
      </c>
      <c r="AE113" s="147">
        <v>3389</v>
      </c>
      <c r="AF113" s="146">
        <v>18908</v>
      </c>
      <c r="AG113" s="147">
        <v>37753</v>
      </c>
      <c r="AH113" s="146">
        <v>6634</v>
      </c>
      <c r="AI113" s="147"/>
      <c r="AJ113" s="146"/>
      <c r="AK113" s="147">
        <v>8856</v>
      </c>
      <c r="AL113" s="146">
        <v>4041</v>
      </c>
      <c r="AM113" s="202">
        <v>271</v>
      </c>
    </row>
    <row r="114" spans="1:39" ht="24" customHeight="1">
      <c r="A114" s="196">
        <v>272</v>
      </c>
      <c r="B114" s="180">
        <v>23444</v>
      </c>
      <c r="C114" s="180">
        <v>43745</v>
      </c>
      <c r="D114" s="179">
        <v>55</v>
      </c>
      <c r="E114" s="4" t="s">
        <v>58</v>
      </c>
      <c r="F114" s="143" t="s">
        <v>123</v>
      </c>
      <c r="G114" s="142">
        <v>29.345299586776861</v>
      </c>
      <c r="H114" s="11" t="s">
        <v>59</v>
      </c>
      <c r="I114" s="141" t="s">
        <v>62</v>
      </c>
      <c r="J114" s="147">
        <v>151568</v>
      </c>
      <c r="K114" s="146">
        <v>309233</v>
      </c>
      <c r="L114" s="147">
        <v>117758</v>
      </c>
      <c r="M114" s="146">
        <v>175733</v>
      </c>
      <c r="N114" s="147">
        <v>270675</v>
      </c>
      <c r="O114" s="146">
        <v>347134</v>
      </c>
      <c r="P114" s="147">
        <v>35996</v>
      </c>
      <c r="Q114" s="146">
        <v>56866</v>
      </c>
      <c r="R114" s="147">
        <v>226711</v>
      </c>
      <c r="S114" s="146">
        <v>354508</v>
      </c>
      <c r="T114" s="147">
        <v>137373</v>
      </c>
      <c r="U114" s="146">
        <v>117575</v>
      </c>
      <c r="V114" s="147">
        <v>237277</v>
      </c>
      <c r="W114" s="146">
        <v>359184</v>
      </c>
      <c r="X114" s="195">
        <v>272</v>
      </c>
      <c r="Y114" s="147"/>
      <c r="Z114" s="146">
        <v>248</v>
      </c>
      <c r="AA114" s="147">
        <v>689.9</v>
      </c>
      <c r="AB114" s="146">
        <v>1188</v>
      </c>
      <c r="AC114" s="147">
        <v>3043</v>
      </c>
      <c r="AD114" s="146">
        <v>5699</v>
      </c>
      <c r="AE114" s="147">
        <v>911.8</v>
      </c>
      <c r="AF114" s="146">
        <v>9554</v>
      </c>
      <c r="AG114" s="147">
        <v>18182</v>
      </c>
      <c r="AH114" s="146">
        <v>5442</v>
      </c>
      <c r="AI114" s="147"/>
      <c r="AJ114" s="146"/>
      <c r="AK114" s="147">
        <v>21874</v>
      </c>
      <c r="AL114" s="146">
        <v>4778</v>
      </c>
      <c r="AM114" s="194">
        <v>272</v>
      </c>
    </row>
    <row r="115" spans="1:39" ht="24" customHeight="1">
      <c r="A115" s="211">
        <v>273</v>
      </c>
      <c r="B115" s="210">
        <v>17212</v>
      </c>
      <c r="C115" s="210">
        <v>43733</v>
      </c>
      <c r="D115" s="209">
        <v>72</v>
      </c>
      <c r="E115" s="4" t="s">
        <v>58</v>
      </c>
      <c r="F115" s="143" t="s">
        <v>116</v>
      </c>
      <c r="G115" s="142">
        <v>29.33244153248997</v>
      </c>
      <c r="H115" s="5" t="s">
        <v>64</v>
      </c>
      <c r="I115" s="141" t="s">
        <v>62</v>
      </c>
      <c r="J115" s="147">
        <v>131345</v>
      </c>
      <c r="K115" s="146">
        <v>127809</v>
      </c>
      <c r="L115" s="147">
        <v>24042</v>
      </c>
      <c r="M115" s="146">
        <v>35497</v>
      </c>
      <c r="N115" s="147">
        <v>35783</v>
      </c>
      <c r="O115" s="146">
        <v>37883</v>
      </c>
      <c r="P115" s="147">
        <v>25761</v>
      </c>
      <c r="Q115" s="146">
        <v>25383</v>
      </c>
      <c r="R115" s="147">
        <v>366298</v>
      </c>
      <c r="S115" s="146">
        <v>380236</v>
      </c>
      <c r="T115" s="147"/>
      <c r="U115" s="146">
        <v>227507</v>
      </c>
      <c r="V115" s="147">
        <v>194526</v>
      </c>
      <c r="W115" s="146">
        <v>199490</v>
      </c>
      <c r="X115" s="208">
        <v>273</v>
      </c>
      <c r="Y115" s="147">
        <v>1838</v>
      </c>
      <c r="Z115" s="146">
        <v>1154</v>
      </c>
      <c r="AA115" s="147">
        <v>2912</v>
      </c>
      <c r="AB115" s="146">
        <v>4186</v>
      </c>
      <c r="AC115" s="147">
        <v>739.6</v>
      </c>
      <c r="AD115" s="146">
        <v>695.6</v>
      </c>
      <c r="AE115" s="147">
        <v>915.7</v>
      </c>
      <c r="AF115" s="146">
        <v>889.8</v>
      </c>
      <c r="AG115" s="147">
        <v>3970</v>
      </c>
      <c r="AH115" s="146">
        <v>1827</v>
      </c>
      <c r="AI115" s="147"/>
      <c r="AJ115" s="146"/>
      <c r="AK115" s="147">
        <v>33458</v>
      </c>
      <c r="AL115" s="146">
        <v>692.5</v>
      </c>
      <c r="AM115" s="207">
        <v>273</v>
      </c>
    </row>
    <row r="116" spans="1:39" ht="24" customHeight="1">
      <c r="A116" s="211">
        <v>274</v>
      </c>
      <c r="B116" s="210">
        <v>17278</v>
      </c>
      <c r="C116" s="210">
        <v>43733</v>
      </c>
      <c r="D116" s="209">
        <v>72</v>
      </c>
      <c r="E116" s="3" t="s">
        <v>61</v>
      </c>
      <c r="F116" s="143" t="s">
        <v>116</v>
      </c>
      <c r="G116" s="142">
        <v>28.069337356469617</v>
      </c>
      <c r="H116" s="5" t="s">
        <v>64</v>
      </c>
      <c r="I116" s="141" t="s">
        <v>62</v>
      </c>
      <c r="J116" s="147">
        <v>98822</v>
      </c>
      <c r="K116" s="146">
        <v>169211</v>
      </c>
      <c r="L116" s="147">
        <v>38414</v>
      </c>
      <c r="M116" s="146">
        <v>61261</v>
      </c>
      <c r="N116" s="147">
        <v>36164</v>
      </c>
      <c r="O116" s="146">
        <v>56558</v>
      </c>
      <c r="P116" s="147">
        <v>3497</v>
      </c>
      <c r="Q116" s="146">
        <v>4588</v>
      </c>
      <c r="R116" s="147">
        <v>99187</v>
      </c>
      <c r="S116" s="146">
        <v>190497</v>
      </c>
      <c r="T116" s="147">
        <v>86091</v>
      </c>
      <c r="U116" s="146">
        <v>155327</v>
      </c>
      <c r="V116" s="147">
        <v>61054</v>
      </c>
      <c r="W116" s="146">
        <v>106870</v>
      </c>
      <c r="X116" s="208">
        <v>274</v>
      </c>
      <c r="Y116" s="147">
        <v>17801</v>
      </c>
      <c r="Z116" s="146">
        <v>4176</v>
      </c>
      <c r="AA116" s="147">
        <v>10263</v>
      </c>
      <c r="AB116" s="146">
        <v>12760</v>
      </c>
      <c r="AC116" s="147" t="s">
        <v>280</v>
      </c>
      <c r="AD116" s="146" t="s">
        <v>280</v>
      </c>
      <c r="AE116" s="147"/>
      <c r="AF116" s="146"/>
      <c r="AG116" s="147">
        <v>19454</v>
      </c>
      <c r="AH116" s="146">
        <v>7604</v>
      </c>
      <c r="AI116" s="147"/>
      <c r="AJ116" s="146"/>
      <c r="AK116" s="147">
        <v>989</v>
      </c>
      <c r="AL116" s="146">
        <v>722.4</v>
      </c>
      <c r="AM116" s="207">
        <v>274</v>
      </c>
    </row>
    <row r="117" spans="1:39" ht="24" customHeight="1">
      <c r="A117" s="211">
        <v>275</v>
      </c>
      <c r="B117" s="210">
        <v>16131</v>
      </c>
      <c r="C117" s="210">
        <v>43740</v>
      </c>
      <c r="D117" s="209">
        <v>75</v>
      </c>
      <c r="E117" s="3" t="s">
        <v>61</v>
      </c>
      <c r="F117" s="143" t="s">
        <v>116</v>
      </c>
      <c r="G117" s="142">
        <v>41.923229031458263</v>
      </c>
      <c r="H117" s="5" t="s">
        <v>64</v>
      </c>
      <c r="I117" s="141" t="s">
        <v>62</v>
      </c>
      <c r="J117" s="147">
        <v>95997</v>
      </c>
      <c r="K117" s="146">
        <v>326911</v>
      </c>
      <c r="L117" s="147">
        <v>31777</v>
      </c>
      <c r="M117" s="146">
        <v>168725</v>
      </c>
      <c r="N117" s="147">
        <v>37717</v>
      </c>
      <c r="O117" s="146">
        <v>157234</v>
      </c>
      <c r="P117" s="147">
        <v>17586</v>
      </c>
      <c r="Q117" s="146">
        <v>80721</v>
      </c>
      <c r="R117" s="147">
        <v>152977</v>
      </c>
      <c r="S117" s="146">
        <v>379827</v>
      </c>
      <c r="T117" s="147">
        <v>159310</v>
      </c>
      <c r="U117" s="146">
        <v>406380</v>
      </c>
      <c r="V117" s="147">
        <v>281293</v>
      </c>
      <c r="W117" s="146">
        <v>440778</v>
      </c>
      <c r="X117" s="208">
        <v>275</v>
      </c>
      <c r="Y117" s="147">
        <v>1012</v>
      </c>
      <c r="Z117" s="146">
        <v>1833</v>
      </c>
      <c r="AA117" s="147">
        <v>1217</v>
      </c>
      <c r="AB117" s="146">
        <v>3964</v>
      </c>
      <c r="AC117" s="147" t="s">
        <v>280</v>
      </c>
      <c r="AD117" s="146">
        <v>426.9</v>
      </c>
      <c r="AE117" s="147">
        <v>294</v>
      </c>
      <c r="AF117" s="146">
        <v>624.70000000000005</v>
      </c>
      <c r="AG117" s="147">
        <v>5639</v>
      </c>
      <c r="AH117" s="146">
        <v>3108</v>
      </c>
      <c r="AI117" s="147"/>
      <c r="AJ117" s="146"/>
      <c r="AK117" s="147">
        <v>3811</v>
      </c>
      <c r="AL117" s="146">
        <v>1821</v>
      </c>
      <c r="AM117" s="207">
        <v>275</v>
      </c>
    </row>
    <row r="118" spans="1:39" ht="24" customHeight="1">
      <c r="A118" s="211">
        <v>276</v>
      </c>
      <c r="B118" s="210">
        <v>18780</v>
      </c>
      <c r="C118" s="210">
        <v>43734</v>
      </c>
      <c r="D118" s="209">
        <v>68</v>
      </c>
      <c r="E118" s="3" t="s">
        <v>61</v>
      </c>
      <c r="F118" s="143" t="s">
        <v>116</v>
      </c>
      <c r="G118" s="142">
        <v>30.376125975284079</v>
      </c>
      <c r="H118" s="5" t="s">
        <v>64</v>
      </c>
      <c r="I118" s="141" t="s">
        <v>62</v>
      </c>
      <c r="J118" s="147">
        <v>140900</v>
      </c>
      <c r="K118" s="146">
        <v>175934</v>
      </c>
      <c r="L118" s="147">
        <v>93791</v>
      </c>
      <c r="M118" s="146">
        <v>124727</v>
      </c>
      <c r="N118" s="147">
        <v>94124</v>
      </c>
      <c r="O118" s="146">
        <v>88976</v>
      </c>
      <c r="P118" s="147">
        <v>11523</v>
      </c>
      <c r="Q118" s="146">
        <v>13329</v>
      </c>
      <c r="R118" s="147">
        <v>231438</v>
      </c>
      <c r="S118" s="146">
        <v>242932</v>
      </c>
      <c r="T118" s="147">
        <v>174958</v>
      </c>
      <c r="U118" s="146">
        <v>219594</v>
      </c>
      <c r="V118" s="147">
        <v>197536</v>
      </c>
      <c r="W118" s="146">
        <v>196911</v>
      </c>
      <c r="X118" s="208">
        <v>276</v>
      </c>
      <c r="Y118" s="147">
        <v>7032</v>
      </c>
      <c r="Z118" s="146">
        <v>2189</v>
      </c>
      <c r="AA118" s="147">
        <v>6167</v>
      </c>
      <c r="AB118" s="146">
        <v>5293</v>
      </c>
      <c r="AC118" s="147">
        <v>2676</v>
      </c>
      <c r="AD118" s="146">
        <v>1106</v>
      </c>
      <c r="AE118" s="147">
        <v>4376</v>
      </c>
      <c r="AF118" s="146">
        <v>5632</v>
      </c>
      <c r="AG118" s="147">
        <v>1244</v>
      </c>
      <c r="AH118" s="146">
        <v>831.3</v>
      </c>
      <c r="AI118" s="147"/>
      <c r="AJ118" s="146"/>
      <c r="AK118" s="147">
        <v>4587</v>
      </c>
      <c r="AL118" s="146">
        <v>1715</v>
      </c>
      <c r="AM118" s="207">
        <v>276</v>
      </c>
    </row>
    <row r="119" spans="1:39" ht="24" customHeight="1">
      <c r="A119" s="196">
        <v>277</v>
      </c>
      <c r="B119" s="180">
        <v>25250</v>
      </c>
      <c r="C119" s="180">
        <v>43738</v>
      </c>
      <c r="D119" s="179">
        <v>50</v>
      </c>
      <c r="E119" s="4" t="s">
        <v>58</v>
      </c>
      <c r="F119" s="143" t="s">
        <v>117</v>
      </c>
      <c r="G119" s="142">
        <v>26.005968300926199</v>
      </c>
      <c r="H119" s="11" t="s">
        <v>59</v>
      </c>
      <c r="I119" s="141" t="s">
        <v>62</v>
      </c>
      <c r="J119" s="147">
        <v>89721</v>
      </c>
      <c r="K119" s="146">
        <v>510143</v>
      </c>
      <c r="L119" s="147">
        <v>31201</v>
      </c>
      <c r="M119" s="146">
        <v>156607</v>
      </c>
      <c r="N119" s="147">
        <v>122964</v>
      </c>
      <c r="O119" s="146">
        <v>105695</v>
      </c>
      <c r="P119" s="147">
        <v>74979</v>
      </c>
      <c r="Q119" s="146">
        <v>74941</v>
      </c>
      <c r="R119" s="147">
        <v>125574</v>
      </c>
      <c r="S119" s="146">
        <v>274586</v>
      </c>
      <c r="T119" s="147">
        <v>105160</v>
      </c>
      <c r="U119" s="146">
        <v>201764</v>
      </c>
      <c r="V119" s="147">
        <v>75288</v>
      </c>
      <c r="W119" s="146">
        <v>198473</v>
      </c>
      <c r="X119" s="195">
        <v>277</v>
      </c>
      <c r="Y119" s="147">
        <v>542.20000000000005</v>
      </c>
      <c r="Z119" s="146">
        <v>2283</v>
      </c>
      <c r="AA119" s="147">
        <v>2804</v>
      </c>
      <c r="AB119" s="146">
        <v>8283</v>
      </c>
      <c r="AC119" s="147">
        <v>1282</v>
      </c>
      <c r="AD119" s="146">
        <v>2662</v>
      </c>
      <c r="AE119" s="147">
        <v>1261</v>
      </c>
      <c r="AF119" s="146">
        <v>5909</v>
      </c>
      <c r="AG119" s="147">
        <v>2832</v>
      </c>
      <c r="AH119" s="146">
        <v>5872</v>
      </c>
      <c r="AI119" s="147"/>
      <c r="AJ119" s="146"/>
      <c r="AK119" s="147">
        <v>2883</v>
      </c>
      <c r="AL119" s="146">
        <v>738.2</v>
      </c>
      <c r="AM119" s="194">
        <v>277</v>
      </c>
    </row>
    <row r="120" spans="1:39" ht="24" customHeight="1">
      <c r="A120" s="196">
        <v>278</v>
      </c>
      <c r="B120" s="180">
        <v>20148</v>
      </c>
      <c r="C120" s="180">
        <v>43740</v>
      </c>
      <c r="D120" s="179">
        <v>64</v>
      </c>
      <c r="E120" s="4" t="s">
        <v>58</v>
      </c>
      <c r="F120" s="143" t="s">
        <v>116</v>
      </c>
      <c r="G120" s="142">
        <v>21.054282626572196</v>
      </c>
      <c r="H120" s="11" t="s">
        <v>59</v>
      </c>
      <c r="I120" s="141" t="s">
        <v>62</v>
      </c>
      <c r="J120" s="147">
        <v>353756</v>
      </c>
      <c r="K120" s="146">
        <v>231015</v>
      </c>
      <c r="L120" s="147">
        <v>87464</v>
      </c>
      <c r="M120" s="146">
        <v>77949</v>
      </c>
      <c r="N120" s="147">
        <v>151639</v>
      </c>
      <c r="O120" s="146">
        <v>175261</v>
      </c>
      <c r="P120" s="147">
        <v>16493</v>
      </c>
      <c r="Q120" s="146">
        <v>16336</v>
      </c>
      <c r="R120" s="147">
        <v>109647</v>
      </c>
      <c r="S120" s="146">
        <v>134899</v>
      </c>
      <c r="T120" s="147">
        <v>114653</v>
      </c>
      <c r="U120" s="146">
        <v>87449</v>
      </c>
      <c r="V120" s="147">
        <v>174483</v>
      </c>
      <c r="W120" s="146">
        <v>471404</v>
      </c>
      <c r="X120" s="195">
        <v>278</v>
      </c>
      <c r="Y120" s="147">
        <v>10040</v>
      </c>
      <c r="Z120" s="146">
        <v>19864</v>
      </c>
      <c r="AA120" s="147">
        <v>14487</v>
      </c>
      <c r="AB120" s="146">
        <v>14642</v>
      </c>
      <c r="AC120" s="147">
        <v>3212</v>
      </c>
      <c r="AD120" s="146">
        <v>1236</v>
      </c>
      <c r="AE120" s="147">
        <v>7638</v>
      </c>
      <c r="AF120" s="146">
        <v>7460</v>
      </c>
      <c r="AG120" s="147">
        <v>2992</v>
      </c>
      <c r="AH120" s="146">
        <v>2693</v>
      </c>
      <c r="AI120" s="147"/>
      <c r="AJ120" s="146"/>
      <c r="AK120" s="147">
        <v>3014</v>
      </c>
      <c r="AL120" s="146">
        <v>1216</v>
      </c>
      <c r="AM120" s="194">
        <v>278</v>
      </c>
    </row>
    <row r="121" spans="1:39" ht="24" customHeight="1">
      <c r="A121" s="199">
        <v>279</v>
      </c>
      <c r="B121" s="190">
        <v>29090</v>
      </c>
      <c r="C121" s="190">
        <v>43736</v>
      </c>
      <c r="D121" s="189">
        <v>40</v>
      </c>
      <c r="E121" s="3" t="s">
        <v>61</v>
      </c>
      <c r="F121" s="143" t="s">
        <v>116</v>
      </c>
      <c r="G121" s="142">
        <v>27.407185390986346</v>
      </c>
      <c r="H121" s="11" t="s">
        <v>59</v>
      </c>
      <c r="I121" s="141" t="s">
        <v>62</v>
      </c>
      <c r="J121" s="147">
        <v>206320</v>
      </c>
      <c r="K121" s="146">
        <v>178735</v>
      </c>
      <c r="L121" s="147">
        <v>100724</v>
      </c>
      <c r="M121" s="146">
        <v>121846</v>
      </c>
      <c r="N121" s="147">
        <v>67592</v>
      </c>
      <c r="O121" s="146">
        <v>158031</v>
      </c>
      <c r="P121" s="147">
        <v>7395</v>
      </c>
      <c r="Q121" s="146">
        <v>66597</v>
      </c>
      <c r="R121" s="147">
        <v>240094</v>
      </c>
      <c r="S121" s="146">
        <v>308955</v>
      </c>
      <c r="T121" s="147">
        <v>297151</v>
      </c>
      <c r="U121" s="146">
        <v>313477</v>
      </c>
      <c r="V121" s="147">
        <v>44123</v>
      </c>
      <c r="W121" s="146">
        <v>181072</v>
      </c>
      <c r="X121" s="198">
        <v>279</v>
      </c>
      <c r="Y121" s="147">
        <v>19864</v>
      </c>
      <c r="Z121" s="146">
        <v>3721</v>
      </c>
      <c r="AA121" s="147">
        <v>13242</v>
      </c>
      <c r="AB121" s="146">
        <v>14181</v>
      </c>
      <c r="AC121" s="147">
        <v>3212</v>
      </c>
      <c r="AD121" s="146">
        <v>3379</v>
      </c>
      <c r="AE121" s="147">
        <v>12929</v>
      </c>
      <c r="AF121" s="146">
        <v>15812</v>
      </c>
      <c r="AG121" s="147">
        <v>8485</v>
      </c>
      <c r="AH121" s="146">
        <v>4320</v>
      </c>
      <c r="AI121" s="147"/>
      <c r="AJ121" s="146"/>
      <c r="AK121" s="147">
        <v>3014</v>
      </c>
      <c r="AL121" s="146">
        <v>2155</v>
      </c>
      <c r="AM121" s="197">
        <v>279</v>
      </c>
    </row>
    <row r="122" spans="1:39" ht="24" customHeight="1">
      <c r="A122" s="199">
        <v>280</v>
      </c>
      <c r="B122" s="190">
        <v>27927</v>
      </c>
      <c r="C122" s="190">
        <v>43756</v>
      </c>
      <c r="D122" s="189">
        <v>43</v>
      </c>
      <c r="E122" s="3" t="s">
        <v>61</v>
      </c>
      <c r="F122" s="143" t="s">
        <v>116</v>
      </c>
      <c r="G122" s="142">
        <v>22.254292127431388</v>
      </c>
      <c r="H122" s="11" t="s">
        <v>59</v>
      </c>
      <c r="I122" s="141" t="s">
        <v>62</v>
      </c>
      <c r="J122" s="147">
        <v>109385</v>
      </c>
      <c r="K122" s="146">
        <v>327754</v>
      </c>
      <c r="L122" s="147">
        <v>85932</v>
      </c>
      <c r="M122" s="146">
        <v>464288</v>
      </c>
      <c r="N122" s="147">
        <v>49402</v>
      </c>
      <c r="O122" s="146">
        <v>101226</v>
      </c>
      <c r="P122" s="147">
        <v>4004</v>
      </c>
      <c r="Q122" s="146">
        <v>43551</v>
      </c>
      <c r="R122" s="147">
        <v>111220</v>
      </c>
      <c r="S122" s="146">
        <v>292603</v>
      </c>
      <c r="T122" s="147">
        <v>195199</v>
      </c>
      <c r="U122" s="146">
        <v>333774</v>
      </c>
      <c r="V122" s="147">
        <v>107862</v>
      </c>
      <c r="W122" s="146">
        <v>151442</v>
      </c>
      <c r="X122" s="198">
        <v>280</v>
      </c>
      <c r="Y122" s="147">
        <v>637.6</v>
      </c>
      <c r="Z122" s="146">
        <v>214.3</v>
      </c>
      <c r="AA122" s="147">
        <v>1355</v>
      </c>
      <c r="AB122" s="146">
        <v>2342</v>
      </c>
      <c r="AC122" s="147" t="s">
        <v>280</v>
      </c>
      <c r="AD122" s="146" t="s">
        <v>280</v>
      </c>
      <c r="AE122" s="147">
        <v>1292</v>
      </c>
      <c r="AF122" s="146">
        <v>2167</v>
      </c>
      <c r="AG122" s="147">
        <v>1244</v>
      </c>
      <c r="AH122" s="146">
        <v>1489</v>
      </c>
      <c r="AI122" s="147"/>
      <c r="AJ122" s="146"/>
      <c r="AK122" s="147">
        <v>284.5</v>
      </c>
      <c r="AL122" s="146">
        <v>618.5</v>
      </c>
      <c r="AM122" s="197">
        <v>280</v>
      </c>
    </row>
    <row r="123" spans="1:39" ht="24" customHeight="1">
      <c r="A123" s="201">
        <v>281</v>
      </c>
      <c r="B123" s="183">
        <v>33493</v>
      </c>
      <c r="C123" s="183">
        <v>43739</v>
      </c>
      <c r="D123" s="182">
        <v>28</v>
      </c>
      <c r="E123" s="3" t="s">
        <v>61</v>
      </c>
      <c r="F123" s="143" t="s">
        <v>116</v>
      </c>
      <c r="G123" s="142">
        <v>22.864647151592614</v>
      </c>
      <c r="H123" s="11" t="s">
        <v>59</v>
      </c>
      <c r="I123" s="141" t="s">
        <v>62</v>
      </c>
      <c r="J123" s="147">
        <v>325930</v>
      </c>
      <c r="K123" s="146">
        <v>619455</v>
      </c>
      <c r="L123" s="147">
        <v>109618</v>
      </c>
      <c r="M123" s="146">
        <v>467397</v>
      </c>
      <c r="N123" s="147">
        <v>110864</v>
      </c>
      <c r="O123" s="146">
        <v>365772</v>
      </c>
      <c r="P123" s="147">
        <v>5506</v>
      </c>
      <c r="Q123" s="146">
        <v>35027</v>
      </c>
      <c r="R123" s="147">
        <v>211837</v>
      </c>
      <c r="S123" s="146">
        <v>472303</v>
      </c>
      <c r="T123" s="147">
        <v>155211</v>
      </c>
      <c r="U123" s="146">
        <v>344365</v>
      </c>
      <c r="V123" s="147">
        <v>87961</v>
      </c>
      <c r="W123" s="146">
        <v>99598</v>
      </c>
      <c r="X123" s="32">
        <v>281</v>
      </c>
      <c r="Y123" s="147">
        <v>3939</v>
      </c>
      <c r="Z123" s="146">
        <v>4089</v>
      </c>
      <c r="AA123" s="147">
        <v>4963</v>
      </c>
      <c r="AB123" s="146">
        <v>19750</v>
      </c>
      <c r="AC123" s="147" t="s">
        <v>280</v>
      </c>
      <c r="AD123" s="146" t="s">
        <v>280</v>
      </c>
      <c r="AE123" s="147">
        <v>1953</v>
      </c>
      <c r="AF123" s="146">
        <v>3116</v>
      </c>
      <c r="AG123" s="147">
        <v>4119</v>
      </c>
      <c r="AH123" s="146">
        <v>4229</v>
      </c>
      <c r="AI123" s="147"/>
      <c r="AJ123" s="146"/>
      <c r="AK123" s="147">
        <v>9380</v>
      </c>
      <c r="AL123" s="146">
        <v>4858</v>
      </c>
      <c r="AM123" s="200">
        <v>281</v>
      </c>
    </row>
    <row r="124" spans="1:39" ht="24" customHeight="1">
      <c r="A124" s="201">
        <v>282</v>
      </c>
      <c r="B124" s="183">
        <v>35048</v>
      </c>
      <c r="C124" s="183">
        <v>43741</v>
      </c>
      <c r="D124" s="182">
        <v>23</v>
      </c>
      <c r="E124" s="3" t="s">
        <v>61</v>
      </c>
      <c r="F124" s="143" t="s">
        <v>118</v>
      </c>
      <c r="G124" s="142">
        <v>20.54787323674535</v>
      </c>
      <c r="H124" s="11" t="s">
        <v>59</v>
      </c>
      <c r="I124" s="141" t="s">
        <v>62</v>
      </c>
      <c r="J124" s="147">
        <v>298391</v>
      </c>
      <c r="K124" s="146">
        <v>699632</v>
      </c>
      <c r="L124" s="147">
        <v>86432</v>
      </c>
      <c r="M124" s="146">
        <v>250066</v>
      </c>
      <c r="N124" s="147">
        <v>76193</v>
      </c>
      <c r="O124" s="146">
        <v>107390</v>
      </c>
      <c r="P124" s="147">
        <v>16669</v>
      </c>
      <c r="Q124" s="146">
        <v>29557</v>
      </c>
      <c r="R124" s="147">
        <v>329125</v>
      </c>
      <c r="S124" s="146">
        <v>430298</v>
      </c>
      <c r="T124" s="147">
        <v>265933</v>
      </c>
      <c r="U124" s="146">
        <v>338772</v>
      </c>
      <c r="V124" s="147">
        <v>181169</v>
      </c>
      <c r="W124" s="146">
        <v>292161</v>
      </c>
      <c r="X124" s="32">
        <v>282</v>
      </c>
      <c r="Y124" s="147">
        <v>1600</v>
      </c>
      <c r="Z124" s="146">
        <v>387.2</v>
      </c>
      <c r="AA124" s="147">
        <v>5400</v>
      </c>
      <c r="AB124" s="146">
        <v>6902</v>
      </c>
      <c r="AC124" s="147" t="s">
        <v>280</v>
      </c>
      <c r="AD124" s="146">
        <v>695.1</v>
      </c>
      <c r="AE124" s="147">
        <v>9007</v>
      </c>
      <c r="AF124" s="146">
        <v>20365</v>
      </c>
      <c r="AG124" s="147">
        <v>511</v>
      </c>
      <c r="AH124" s="146">
        <v>507.9</v>
      </c>
      <c r="AI124" s="147"/>
      <c r="AJ124" s="146"/>
      <c r="AK124" s="147">
        <v>412</v>
      </c>
      <c r="AL124" s="146">
        <v>1095</v>
      </c>
      <c r="AM124" s="200">
        <v>282</v>
      </c>
    </row>
    <row r="125" spans="1:39" ht="24" customHeight="1">
      <c r="A125" s="211">
        <v>283</v>
      </c>
      <c r="B125" s="210">
        <v>19659</v>
      </c>
      <c r="C125" s="210">
        <v>43742</v>
      </c>
      <c r="D125" s="209">
        <v>65</v>
      </c>
      <c r="E125" s="3" t="s">
        <v>61</v>
      </c>
      <c r="F125" s="143" t="s">
        <v>116</v>
      </c>
      <c r="G125" s="142">
        <v>24.077403927808767</v>
      </c>
      <c r="H125" s="5" t="s">
        <v>64</v>
      </c>
      <c r="I125" s="141" t="s">
        <v>62</v>
      </c>
      <c r="J125" s="147">
        <v>218772</v>
      </c>
      <c r="K125" s="146">
        <v>259600</v>
      </c>
      <c r="L125" s="147">
        <v>76355</v>
      </c>
      <c r="M125" s="146">
        <v>116615</v>
      </c>
      <c r="N125" s="147">
        <v>85141</v>
      </c>
      <c r="O125" s="146">
        <v>96829</v>
      </c>
      <c r="P125" s="147">
        <v>5343</v>
      </c>
      <c r="Q125" s="146">
        <v>12719</v>
      </c>
      <c r="R125" s="147">
        <v>290402</v>
      </c>
      <c r="S125" s="146">
        <v>386003</v>
      </c>
      <c r="T125" s="147">
        <v>176105</v>
      </c>
      <c r="U125" s="146">
        <v>353681</v>
      </c>
      <c r="V125" s="147">
        <v>137946</v>
      </c>
      <c r="W125" s="146">
        <v>144402</v>
      </c>
      <c r="X125" s="208">
        <v>283</v>
      </c>
      <c r="Y125" s="147">
        <v>387.2</v>
      </c>
      <c r="Z125" s="146">
        <v>226.5</v>
      </c>
      <c r="AA125" s="147">
        <v>1762</v>
      </c>
      <c r="AB125" s="146">
        <v>3237</v>
      </c>
      <c r="AC125" s="147" t="s">
        <v>280</v>
      </c>
      <c r="AD125" s="146" t="s">
        <v>280</v>
      </c>
      <c r="AE125" s="147">
        <v>1678</v>
      </c>
      <c r="AF125" s="146">
        <v>3231</v>
      </c>
      <c r="AG125" s="147">
        <v>1867</v>
      </c>
      <c r="AH125" s="146">
        <v>1068</v>
      </c>
      <c r="AI125" s="147"/>
      <c r="AJ125" s="146"/>
      <c r="AK125" s="147">
        <v>412</v>
      </c>
      <c r="AL125" s="146">
        <v>330.2</v>
      </c>
      <c r="AM125" s="207">
        <v>283</v>
      </c>
    </row>
    <row r="126" spans="1:39" ht="24" customHeight="1">
      <c r="A126" s="211">
        <v>284</v>
      </c>
      <c r="B126" s="210">
        <v>17267</v>
      </c>
      <c r="C126" s="210">
        <v>43740</v>
      </c>
      <c r="D126" s="209">
        <v>72</v>
      </c>
      <c r="E126" s="4" t="s">
        <v>58</v>
      </c>
      <c r="F126" s="143" t="s">
        <v>116</v>
      </c>
      <c r="G126" s="142">
        <v>33.963719152811933</v>
      </c>
      <c r="H126" s="5" t="s">
        <v>64</v>
      </c>
      <c r="I126" s="141" t="s">
        <v>62</v>
      </c>
      <c r="J126" s="147">
        <v>163126</v>
      </c>
      <c r="K126" s="146">
        <v>139501</v>
      </c>
      <c r="L126" s="147">
        <v>150203</v>
      </c>
      <c r="M126" s="146">
        <v>156815</v>
      </c>
      <c r="N126" s="147">
        <v>173926</v>
      </c>
      <c r="O126" s="146">
        <v>191512</v>
      </c>
      <c r="P126" s="147">
        <v>19687</v>
      </c>
      <c r="Q126" s="146">
        <v>26164</v>
      </c>
      <c r="R126" s="147">
        <v>268759</v>
      </c>
      <c r="S126" s="146">
        <v>303389</v>
      </c>
      <c r="T126" s="147">
        <v>115012</v>
      </c>
      <c r="U126" s="146">
        <v>181990</v>
      </c>
      <c r="V126" s="147">
        <v>173288</v>
      </c>
      <c r="W126" s="146">
        <v>220818</v>
      </c>
      <c r="X126" s="208">
        <v>284</v>
      </c>
      <c r="Y126" s="147">
        <v>11890</v>
      </c>
      <c r="Z126" s="146">
        <v>3238</v>
      </c>
      <c r="AA126" s="147">
        <v>13557</v>
      </c>
      <c r="AB126" s="146">
        <v>13643</v>
      </c>
      <c r="AC126" s="147" t="s">
        <v>280</v>
      </c>
      <c r="AD126" s="146" t="s">
        <v>280</v>
      </c>
      <c r="AE126" s="147">
        <v>7072</v>
      </c>
      <c r="AF126" s="146">
        <v>8030</v>
      </c>
      <c r="AG126" s="147">
        <v>3457</v>
      </c>
      <c r="AH126" s="146">
        <v>1407</v>
      </c>
      <c r="AI126" s="147"/>
      <c r="AJ126" s="146"/>
      <c r="AK126" s="147">
        <v>5175</v>
      </c>
      <c r="AL126" s="146">
        <v>1563</v>
      </c>
      <c r="AM126" s="207">
        <v>284</v>
      </c>
    </row>
    <row r="127" spans="1:39" ht="24" customHeight="1">
      <c r="A127" s="211">
        <v>285</v>
      </c>
      <c r="B127" s="210">
        <v>17193</v>
      </c>
      <c r="C127" s="210">
        <v>43740</v>
      </c>
      <c r="D127" s="209">
        <v>72</v>
      </c>
      <c r="E127" s="3" t="s">
        <v>61</v>
      </c>
      <c r="F127" s="143" t="s">
        <v>116</v>
      </c>
      <c r="G127" s="142">
        <v>33.201840894148582</v>
      </c>
      <c r="H127" s="5" t="s">
        <v>64</v>
      </c>
      <c r="I127" s="141" t="s">
        <v>62</v>
      </c>
      <c r="J127" s="147">
        <v>307556</v>
      </c>
      <c r="K127" s="146">
        <v>485314</v>
      </c>
      <c r="L127" s="147">
        <v>63123</v>
      </c>
      <c r="M127" s="146">
        <v>116442</v>
      </c>
      <c r="N127" s="147">
        <v>175599</v>
      </c>
      <c r="O127" s="146">
        <v>225107</v>
      </c>
      <c r="P127" s="147">
        <v>7909</v>
      </c>
      <c r="Q127" s="146">
        <v>12919</v>
      </c>
      <c r="R127" s="147">
        <v>393815</v>
      </c>
      <c r="S127" s="146">
        <v>621208</v>
      </c>
      <c r="T127" s="147">
        <v>143257</v>
      </c>
      <c r="U127" s="146">
        <v>273845</v>
      </c>
      <c r="V127" s="147">
        <v>171438</v>
      </c>
      <c r="W127" s="146">
        <v>244150</v>
      </c>
      <c r="X127" s="208">
        <v>285</v>
      </c>
      <c r="Y127" s="147">
        <v>2592</v>
      </c>
      <c r="Z127" s="146">
        <v>2589</v>
      </c>
      <c r="AA127" s="147">
        <v>10196</v>
      </c>
      <c r="AB127" s="146">
        <v>9918</v>
      </c>
      <c r="AC127" s="147" t="s">
        <v>280</v>
      </c>
      <c r="AD127" s="146" t="s">
        <v>280</v>
      </c>
      <c r="AE127" s="147">
        <v>4188</v>
      </c>
      <c r="AF127" s="146">
        <v>3643</v>
      </c>
      <c r="AG127" s="147">
        <v>7698</v>
      </c>
      <c r="AH127" s="146">
        <v>256</v>
      </c>
      <c r="AI127" s="147"/>
      <c r="AJ127" s="146"/>
      <c r="AK127" s="147">
        <v>350.6</v>
      </c>
      <c r="AL127" s="146">
        <v>947.2</v>
      </c>
      <c r="AM127" s="207">
        <v>285</v>
      </c>
    </row>
    <row r="128" spans="1:39" ht="24" customHeight="1">
      <c r="A128" s="206">
        <v>286</v>
      </c>
      <c r="B128" s="205">
        <v>18115</v>
      </c>
      <c r="C128" s="205">
        <v>43740</v>
      </c>
      <c r="D128" s="204">
        <v>70</v>
      </c>
      <c r="E128" s="4" t="s">
        <v>58</v>
      </c>
      <c r="F128" s="143" t="s">
        <v>116</v>
      </c>
      <c r="G128" s="142">
        <v>36.216271673335392</v>
      </c>
      <c r="H128" s="11" t="s">
        <v>59</v>
      </c>
      <c r="I128" s="141" t="s">
        <v>62</v>
      </c>
      <c r="J128" s="147">
        <v>132622</v>
      </c>
      <c r="K128" s="146">
        <v>126508</v>
      </c>
      <c r="L128" s="147">
        <v>29683</v>
      </c>
      <c r="M128" s="146">
        <v>26870</v>
      </c>
      <c r="N128" s="147">
        <v>78615</v>
      </c>
      <c r="O128" s="146">
        <v>62681</v>
      </c>
      <c r="P128" s="147">
        <v>14951</v>
      </c>
      <c r="Q128" s="146">
        <v>14274</v>
      </c>
      <c r="R128" s="147">
        <v>134078</v>
      </c>
      <c r="S128" s="146">
        <v>139387</v>
      </c>
      <c r="T128" s="147">
        <v>71345</v>
      </c>
      <c r="U128" s="146">
        <v>64486</v>
      </c>
      <c r="V128" s="147">
        <v>84914</v>
      </c>
      <c r="W128" s="146">
        <v>111491</v>
      </c>
      <c r="X128" s="203">
        <v>286</v>
      </c>
      <c r="Y128" s="147">
        <v>1135</v>
      </c>
      <c r="Z128" s="146">
        <v>1925</v>
      </c>
      <c r="AA128" s="147">
        <v>3675</v>
      </c>
      <c r="AB128" s="146">
        <v>4238</v>
      </c>
      <c r="AC128" s="147">
        <v>183</v>
      </c>
      <c r="AD128" s="146">
        <v>391</v>
      </c>
      <c r="AE128" s="147">
        <v>7990</v>
      </c>
      <c r="AF128" s="146">
        <v>9186</v>
      </c>
      <c r="AG128" s="147">
        <v>3501</v>
      </c>
      <c r="AH128" s="146">
        <v>1720</v>
      </c>
      <c r="AI128" s="147"/>
      <c r="AJ128" s="146"/>
      <c r="AK128" s="147" t="s">
        <v>280</v>
      </c>
      <c r="AL128" s="146">
        <v>1794</v>
      </c>
      <c r="AM128" s="202">
        <v>286</v>
      </c>
    </row>
    <row r="129" spans="1:39" ht="24" customHeight="1">
      <c r="A129" s="206">
        <v>287</v>
      </c>
      <c r="B129" s="205">
        <v>17716</v>
      </c>
      <c r="C129" s="205">
        <v>43741</v>
      </c>
      <c r="D129" s="204">
        <v>71</v>
      </c>
      <c r="E129" s="4" t="s">
        <v>58</v>
      </c>
      <c r="F129" s="143" t="s">
        <v>123</v>
      </c>
      <c r="G129" s="142">
        <v>27.607544475516153</v>
      </c>
      <c r="H129" s="11" t="s">
        <v>59</v>
      </c>
      <c r="I129" s="141" t="s">
        <v>62</v>
      </c>
      <c r="J129" s="147">
        <v>212629</v>
      </c>
      <c r="K129" s="146">
        <v>239898</v>
      </c>
      <c r="L129" s="147">
        <v>39321</v>
      </c>
      <c r="M129" s="146">
        <v>74964</v>
      </c>
      <c r="N129" s="147">
        <v>113637</v>
      </c>
      <c r="O129" s="146">
        <v>149057</v>
      </c>
      <c r="P129" s="147">
        <v>3819</v>
      </c>
      <c r="Q129" s="146">
        <v>20193</v>
      </c>
      <c r="R129" s="147">
        <v>252265</v>
      </c>
      <c r="S129" s="146">
        <v>277032</v>
      </c>
      <c r="T129" s="147">
        <v>147295</v>
      </c>
      <c r="U129" s="146">
        <v>130592</v>
      </c>
      <c r="V129" s="147">
        <v>76020</v>
      </c>
      <c r="W129" s="146">
        <v>127608</v>
      </c>
      <c r="X129" s="203">
        <v>287</v>
      </c>
      <c r="Y129" s="147">
        <v>1925</v>
      </c>
      <c r="Z129" s="146">
        <v>750.6</v>
      </c>
      <c r="AA129" s="147">
        <v>4071</v>
      </c>
      <c r="AB129" s="146">
        <v>6179</v>
      </c>
      <c r="AC129" s="147">
        <v>183</v>
      </c>
      <c r="AD129" s="146">
        <v>120.6</v>
      </c>
      <c r="AE129" s="147">
        <v>4167</v>
      </c>
      <c r="AF129" s="146">
        <v>5639</v>
      </c>
      <c r="AG129" s="147">
        <v>8536</v>
      </c>
      <c r="AH129" s="146">
        <v>3175</v>
      </c>
      <c r="AI129" s="147"/>
      <c r="AJ129" s="146"/>
      <c r="AK129" s="147" t="s">
        <v>280</v>
      </c>
      <c r="AL129" s="146" t="s">
        <v>280</v>
      </c>
      <c r="AM129" s="202">
        <v>287</v>
      </c>
    </row>
    <row r="130" spans="1:39" ht="24" customHeight="1">
      <c r="A130" s="196">
        <v>288</v>
      </c>
      <c r="B130" s="180">
        <v>21574</v>
      </c>
      <c r="C130" s="180">
        <v>43752</v>
      </c>
      <c r="D130" s="179">
        <v>60</v>
      </c>
      <c r="E130" s="3" t="s">
        <v>61</v>
      </c>
      <c r="F130" s="143" t="s">
        <v>117</v>
      </c>
      <c r="G130" s="142">
        <v>32.257848573039972</v>
      </c>
      <c r="H130" s="11" t="s">
        <v>59</v>
      </c>
      <c r="I130" s="141" t="s">
        <v>62</v>
      </c>
      <c r="J130" s="147">
        <v>54636</v>
      </c>
      <c r="K130" s="146">
        <v>74324</v>
      </c>
      <c r="L130" s="147">
        <v>51268</v>
      </c>
      <c r="M130" s="146">
        <v>57543</v>
      </c>
      <c r="N130" s="147">
        <v>33763</v>
      </c>
      <c r="O130" s="146">
        <v>50132</v>
      </c>
      <c r="P130" s="147">
        <v>1522</v>
      </c>
      <c r="Q130" s="146">
        <v>7270</v>
      </c>
      <c r="R130" s="147">
        <v>89597</v>
      </c>
      <c r="S130" s="146">
        <v>125516</v>
      </c>
      <c r="T130" s="147">
        <v>80832</v>
      </c>
      <c r="U130" s="146">
        <v>71828</v>
      </c>
      <c r="V130" s="147">
        <v>139371</v>
      </c>
      <c r="W130" s="146">
        <v>160562</v>
      </c>
      <c r="X130" s="195">
        <v>288</v>
      </c>
      <c r="Y130" s="147">
        <v>3122</v>
      </c>
      <c r="Z130" s="146">
        <v>1751</v>
      </c>
      <c r="AA130" s="147">
        <v>4414</v>
      </c>
      <c r="AB130" s="146">
        <v>4755</v>
      </c>
      <c r="AC130" s="147" t="s">
        <v>280</v>
      </c>
      <c r="AD130" s="146" t="s">
        <v>280</v>
      </c>
      <c r="AE130" s="147">
        <v>3351</v>
      </c>
      <c r="AF130" s="146">
        <v>18151</v>
      </c>
      <c r="AG130" s="147">
        <v>10992</v>
      </c>
      <c r="AH130" s="146">
        <v>2564</v>
      </c>
      <c r="AI130" s="147"/>
      <c r="AJ130" s="146"/>
      <c r="AK130" s="147">
        <v>15174</v>
      </c>
      <c r="AL130" s="146">
        <v>4706</v>
      </c>
      <c r="AM130" s="194">
        <v>288</v>
      </c>
    </row>
    <row r="131" spans="1:39" ht="24" customHeight="1">
      <c r="A131" s="211">
        <v>289</v>
      </c>
      <c r="B131" s="210">
        <v>18040</v>
      </c>
      <c r="C131" s="210">
        <v>43746</v>
      </c>
      <c r="D131" s="209">
        <v>70</v>
      </c>
      <c r="E131" s="3" t="s">
        <v>61</v>
      </c>
      <c r="F131" s="143" t="s">
        <v>116</v>
      </c>
      <c r="G131" s="142">
        <v>20.512789516491267</v>
      </c>
      <c r="H131" s="5" t="s">
        <v>64</v>
      </c>
      <c r="I131" s="141" t="s">
        <v>62</v>
      </c>
      <c r="J131" s="147">
        <v>173769</v>
      </c>
      <c r="K131" s="146">
        <v>281050</v>
      </c>
      <c r="L131" s="147">
        <v>37568</v>
      </c>
      <c r="M131" s="146">
        <v>71666</v>
      </c>
      <c r="N131" s="147">
        <v>48438</v>
      </c>
      <c r="O131" s="146">
        <v>74090</v>
      </c>
      <c r="P131" s="147">
        <v>7361</v>
      </c>
      <c r="Q131" s="146">
        <v>16251</v>
      </c>
      <c r="R131" s="147">
        <v>215648</v>
      </c>
      <c r="S131" s="146">
        <v>295363</v>
      </c>
      <c r="T131" s="147">
        <v>57854</v>
      </c>
      <c r="U131" s="146">
        <v>113573</v>
      </c>
      <c r="V131" s="147">
        <v>97594</v>
      </c>
      <c r="W131" s="146">
        <v>98850</v>
      </c>
      <c r="X131" s="208">
        <v>289</v>
      </c>
      <c r="Y131" s="147">
        <v>1198</v>
      </c>
      <c r="Z131" s="146">
        <v>369.5</v>
      </c>
      <c r="AA131" s="147">
        <v>2414</v>
      </c>
      <c r="AB131" s="146">
        <v>3441</v>
      </c>
      <c r="AC131" s="147" t="s">
        <v>280</v>
      </c>
      <c r="AD131" s="146" t="s">
        <v>280</v>
      </c>
      <c r="AE131" s="147">
        <v>3039</v>
      </c>
      <c r="AF131" s="146">
        <v>2459</v>
      </c>
      <c r="AG131" s="147">
        <v>14816</v>
      </c>
      <c r="AH131" s="146">
        <v>5891</v>
      </c>
      <c r="AI131" s="147"/>
      <c r="AJ131" s="146"/>
      <c r="AK131" s="147">
        <v>14670</v>
      </c>
      <c r="AL131" s="146">
        <v>3542</v>
      </c>
      <c r="AM131" s="207">
        <v>289</v>
      </c>
    </row>
    <row r="132" spans="1:39" ht="24" customHeight="1">
      <c r="A132" s="199">
        <v>290</v>
      </c>
      <c r="B132" s="190">
        <v>28856</v>
      </c>
      <c r="C132" s="190">
        <v>43746</v>
      </c>
      <c r="D132" s="189">
        <v>40</v>
      </c>
      <c r="E132" s="4" t="s">
        <v>58</v>
      </c>
      <c r="F132" s="143" t="s">
        <v>116</v>
      </c>
      <c r="G132" s="142">
        <v>29.126530612244899</v>
      </c>
      <c r="H132" s="11" t="s">
        <v>59</v>
      </c>
      <c r="I132" s="141" t="s">
        <v>62</v>
      </c>
      <c r="J132" s="147">
        <v>260271</v>
      </c>
      <c r="K132" s="146">
        <v>299626</v>
      </c>
      <c r="L132" s="147">
        <v>57562</v>
      </c>
      <c r="M132" s="146">
        <v>79671</v>
      </c>
      <c r="N132" s="147">
        <v>61025</v>
      </c>
      <c r="O132" s="146">
        <v>97828</v>
      </c>
      <c r="P132" s="147">
        <v>12017</v>
      </c>
      <c r="Q132" s="146">
        <v>23421</v>
      </c>
      <c r="R132" s="147">
        <v>236762</v>
      </c>
      <c r="S132" s="146">
        <v>374524</v>
      </c>
      <c r="T132" s="147">
        <v>94511</v>
      </c>
      <c r="U132" s="146">
        <v>210351</v>
      </c>
      <c r="V132" s="147">
        <v>149395</v>
      </c>
      <c r="W132" s="146">
        <v>350250</v>
      </c>
      <c r="X132" s="198">
        <v>290</v>
      </c>
      <c r="Y132" s="147">
        <v>831</v>
      </c>
      <c r="Z132" s="146">
        <v>6470</v>
      </c>
      <c r="AA132" s="147">
        <v>7673</v>
      </c>
      <c r="AB132" s="146">
        <v>7844</v>
      </c>
      <c r="AC132" s="147">
        <v>10725</v>
      </c>
      <c r="AD132" s="146">
        <v>1023</v>
      </c>
      <c r="AE132" s="147">
        <v>22191</v>
      </c>
      <c r="AF132" s="146">
        <v>28224</v>
      </c>
      <c r="AG132" s="147">
        <v>142.1</v>
      </c>
      <c r="AH132" s="146">
        <v>144.69999999999999</v>
      </c>
      <c r="AI132" s="147"/>
      <c r="AJ132" s="146"/>
      <c r="AK132" s="147">
        <v>1260</v>
      </c>
      <c r="AL132" s="146">
        <v>692.5</v>
      </c>
      <c r="AM132" s="197">
        <v>290</v>
      </c>
    </row>
    <row r="133" spans="1:39" ht="24" customHeight="1">
      <c r="A133" s="211">
        <v>291</v>
      </c>
      <c r="B133" s="210">
        <v>15595</v>
      </c>
      <c r="C133" s="210">
        <v>43740</v>
      </c>
      <c r="D133" s="209">
        <v>77</v>
      </c>
      <c r="E133" s="3" t="s">
        <v>61</v>
      </c>
      <c r="F133" s="143" t="s">
        <v>116</v>
      </c>
      <c r="G133" s="142">
        <v>22.93337068029831</v>
      </c>
      <c r="H133" s="5" t="s">
        <v>64</v>
      </c>
      <c r="I133" s="141" t="s">
        <v>62</v>
      </c>
      <c r="J133" s="147">
        <v>262870</v>
      </c>
      <c r="K133" s="146">
        <v>351213</v>
      </c>
      <c r="L133" s="147">
        <v>92638</v>
      </c>
      <c r="M133" s="146">
        <v>167273</v>
      </c>
      <c r="N133" s="147">
        <v>85661</v>
      </c>
      <c r="O133" s="146">
        <v>125537</v>
      </c>
      <c r="P133" s="147">
        <v>6921</v>
      </c>
      <c r="Q133" s="146">
        <v>56115</v>
      </c>
      <c r="R133" s="147">
        <v>240191</v>
      </c>
      <c r="S133" s="146">
        <v>266071</v>
      </c>
      <c r="T133" s="147">
        <v>190048</v>
      </c>
      <c r="U133" s="146">
        <v>265910</v>
      </c>
      <c r="V133" s="147">
        <v>95926</v>
      </c>
      <c r="W133" s="146">
        <v>138527</v>
      </c>
      <c r="X133" s="208">
        <v>291</v>
      </c>
      <c r="Y133" s="147">
        <v>6470</v>
      </c>
      <c r="Z133" s="146">
        <v>3591</v>
      </c>
      <c r="AA133" s="147">
        <v>8351</v>
      </c>
      <c r="AB133" s="146">
        <v>9272</v>
      </c>
      <c r="AC133" s="147">
        <v>10725</v>
      </c>
      <c r="AD133" s="146">
        <v>5060</v>
      </c>
      <c r="AE133" s="147">
        <v>19064</v>
      </c>
      <c r="AF133" s="146">
        <v>19838</v>
      </c>
      <c r="AG133" s="147">
        <v>1993</v>
      </c>
      <c r="AH133" s="146">
        <v>1718</v>
      </c>
      <c r="AI133" s="147"/>
      <c r="AJ133" s="146"/>
      <c r="AK133" s="147">
        <v>1260</v>
      </c>
      <c r="AL133" s="146">
        <v>1309</v>
      </c>
      <c r="AM133" s="207">
        <v>291</v>
      </c>
    </row>
    <row r="134" spans="1:39" ht="24" customHeight="1">
      <c r="A134" s="211">
        <v>292</v>
      </c>
      <c r="B134" s="210">
        <v>17821</v>
      </c>
      <c r="C134" s="210">
        <v>43748</v>
      </c>
      <c r="D134" s="209">
        <v>70</v>
      </c>
      <c r="E134" s="4" t="s">
        <v>58</v>
      </c>
      <c r="F134" s="143" t="s">
        <v>116</v>
      </c>
      <c r="G134" s="142">
        <v>29.843893480257119</v>
      </c>
      <c r="H134" s="5" t="s">
        <v>64</v>
      </c>
      <c r="I134" s="141" t="s">
        <v>62</v>
      </c>
      <c r="J134" s="147">
        <v>45806</v>
      </c>
      <c r="K134" s="146">
        <v>105451</v>
      </c>
      <c r="L134" s="147">
        <v>41787</v>
      </c>
      <c r="M134" s="146">
        <v>88215</v>
      </c>
      <c r="N134" s="147">
        <v>25280</v>
      </c>
      <c r="O134" s="146">
        <v>45449</v>
      </c>
      <c r="P134" s="147">
        <v>1224</v>
      </c>
      <c r="Q134" s="146">
        <v>3840</v>
      </c>
      <c r="R134" s="147">
        <v>134039</v>
      </c>
      <c r="S134" s="146">
        <v>217061</v>
      </c>
      <c r="T134" s="147">
        <v>37919</v>
      </c>
      <c r="U134" s="146">
        <v>75669</v>
      </c>
      <c r="V134" s="147">
        <v>161585</v>
      </c>
      <c r="W134" s="146">
        <v>171001</v>
      </c>
      <c r="X134" s="208">
        <v>292</v>
      </c>
      <c r="Y134" s="147">
        <v>2.5499999999999998</v>
      </c>
      <c r="Z134" s="146">
        <v>66.7</v>
      </c>
      <c r="AA134" s="147">
        <v>2208</v>
      </c>
      <c r="AB134" s="146">
        <v>2343</v>
      </c>
      <c r="AC134" s="147" t="s">
        <v>280</v>
      </c>
      <c r="AD134" s="146" t="s">
        <v>280</v>
      </c>
      <c r="AE134" s="147">
        <v>3896</v>
      </c>
      <c r="AF134" s="146">
        <v>4280</v>
      </c>
      <c r="AG134" s="147">
        <v>21327</v>
      </c>
      <c r="AH134" s="146">
        <v>5130</v>
      </c>
      <c r="AI134" s="147"/>
      <c r="AJ134" s="146"/>
      <c r="AK134" s="147">
        <v>6152</v>
      </c>
      <c r="AL134" s="146">
        <v>1911</v>
      </c>
      <c r="AM134" s="207">
        <v>292</v>
      </c>
    </row>
    <row r="135" spans="1:39" ht="24" customHeight="1">
      <c r="A135" s="196">
        <v>293</v>
      </c>
      <c r="B135" s="180">
        <v>20059</v>
      </c>
      <c r="C135" s="180">
        <v>43746</v>
      </c>
      <c r="D135" s="179">
        <v>64</v>
      </c>
      <c r="E135" s="3" t="s">
        <v>61</v>
      </c>
      <c r="F135" s="143" t="s">
        <v>116</v>
      </c>
      <c r="G135" s="142">
        <v>27.587238797944522</v>
      </c>
      <c r="H135" s="11" t="s">
        <v>59</v>
      </c>
      <c r="I135" s="141" t="s">
        <v>62</v>
      </c>
      <c r="J135" s="147">
        <v>214025</v>
      </c>
      <c r="K135" s="146">
        <v>341786</v>
      </c>
      <c r="L135" s="147">
        <v>28780</v>
      </c>
      <c r="M135" s="146">
        <v>64537</v>
      </c>
      <c r="N135" s="147">
        <v>161953</v>
      </c>
      <c r="O135" s="146">
        <v>513301</v>
      </c>
      <c r="P135" s="147">
        <v>8977</v>
      </c>
      <c r="Q135" s="146">
        <v>36026</v>
      </c>
      <c r="R135" s="147">
        <v>143919</v>
      </c>
      <c r="S135" s="146">
        <v>290212</v>
      </c>
      <c r="T135" s="147">
        <v>85511</v>
      </c>
      <c r="U135" s="146">
        <v>190208</v>
      </c>
      <c r="V135" s="147">
        <v>195710</v>
      </c>
      <c r="W135" s="146">
        <v>294993</v>
      </c>
      <c r="X135" s="195">
        <v>293</v>
      </c>
      <c r="Y135" s="147">
        <v>2327</v>
      </c>
      <c r="Z135" s="146">
        <v>1222</v>
      </c>
      <c r="AA135" s="147">
        <v>3531</v>
      </c>
      <c r="AB135" s="146">
        <v>5962</v>
      </c>
      <c r="AC135" s="147" t="s">
        <v>280</v>
      </c>
      <c r="AD135" s="146" t="s">
        <v>280</v>
      </c>
      <c r="AE135" s="147">
        <v>2527</v>
      </c>
      <c r="AF135" s="146">
        <v>3021</v>
      </c>
      <c r="AG135" s="147">
        <v>2064</v>
      </c>
      <c r="AH135" s="146">
        <v>2312</v>
      </c>
      <c r="AI135" s="147"/>
      <c r="AJ135" s="146"/>
      <c r="AK135" s="147">
        <v>261.39999999999998</v>
      </c>
      <c r="AL135" s="146">
        <v>1433</v>
      </c>
      <c r="AM135" s="194">
        <v>293</v>
      </c>
    </row>
    <row r="136" spans="1:39" ht="24" customHeight="1">
      <c r="A136" s="211">
        <v>294</v>
      </c>
      <c r="B136" s="210">
        <v>18315</v>
      </c>
      <c r="C136" s="210">
        <v>43746</v>
      </c>
      <c r="D136" s="209">
        <v>69</v>
      </c>
      <c r="E136" s="3" t="s">
        <v>61</v>
      </c>
      <c r="F136" s="143" t="s">
        <v>116</v>
      </c>
      <c r="G136" s="142">
        <v>23.1520428231495</v>
      </c>
      <c r="H136" s="5" t="s">
        <v>64</v>
      </c>
      <c r="I136" s="141" t="s">
        <v>62</v>
      </c>
      <c r="J136" s="147">
        <v>125997</v>
      </c>
      <c r="K136" s="146">
        <v>193519</v>
      </c>
      <c r="L136" s="147">
        <v>38696</v>
      </c>
      <c r="M136" s="146">
        <v>57197</v>
      </c>
      <c r="N136" s="147">
        <v>50885</v>
      </c>
      <c r="O136" s="146">
        <v>83786</v>
      </c>
      <c r="P136" s="147">
        <v>15736</v>
      </c>
      <c r="Q136" s="146">
        <v>34890</v>
      </c>
      <c r="R136" s="147">
        <v>206250</v>
      </c>
      <c r="S136" s="146">
        <v>273680</v>
      </c>
      <c r="T136" s="147">
        <v>120854</v>
      </c>
      <c r="U136" s="146">
        <v>143369</v>
      </c>
      <c r="V136" s="147">
        <v>46111</v>
      </c>
      <c r="W136" s="146">
        <v>151909</v>
      </c>
      <c r="X136" s="208">
        <v>294</v>
      </c>
      <c r="Y136" s="147">
        <v>3995</v>
      </c>
      <c r="Z136" s="146">
        <v>596.79999999999995</v>
      </c>
      <c r="AA136" s="147">
        <v>12435</v>
      </c>
      <c r="AB136" s="146">
        <v>10386</v>
      </c>
      <c r="AC136" s="147" t="s">
        <v>280</v>
      </c>
      <c r="AD136" s="146" t="s">
        <v>280</v>
      </c>
      <c r="AE136" s="147">
        <v>4742</v>
      </c>
      <c r="AF136" s="146">
        <v>3104</v>
      </c>
      <c r="AG136" s="147">
        <v>890.5</v>
      </c>
      <c r="AH136" s="146">
        <v>910.9</v>
      </c>
      <c r="AI136" s="147"/>
      <c r="AJ136" s="146"/>
      <c r="AK136" s="147" t="s">
        <v>280</v>
      </c>
      <c r="AL136" s="146">
        <v>738.2</v>
      </c>
      <c r="AM136" s="207">
        <v>294</v>
      </c>
    </row>
    <row r="137" spans="1:39" ht="24" customHeight="1">
      <c r="A137" s="211">
        <v>295</v>
      </c>
      <c r="B137" s="210">
        <v>19464</v>
      </c>
      <c r="C137" s="210">
        <v>43752</v>
      </c>
      <c r="D137" s="209">
        <v>66</v>
      </c>
      <c r="E137" s="3" t="s">
        <v>61</v>
      </c>
      <c r="F137" s="143" t="s">
        <v>116</v>
      </c>
      <c r="G137" s="142">
        <v>21.659231826726145</v>
      </c>
      <c r="H137" s="5" t="s">
        <v>64</v>
      </c>
      <c r="I137" s="141" t="s">
        <v>62</v>
      </c>
      <c r="J137" s="147">
        <v>185924</v>
      </c>
      <c r="K137" s="146">
        <v>403310</v>
      </c>
      <c r="L137" s="147">
        <v>64865</v>
      </c>
      <c r="M137" s="146">
        <v>215081</v>
      </c>
      <c r="N137" s="147">
        <v>97424</v>
      </c>
      <c r="O137" s="146">
        <v>226334</v>
      </c>
      <c r="P137" s="147">
        <v>7096</v>
      </c>
      <c r="Q137" s="146">
        <v>50974</v>
      </c>
      <c r="R137" s="147">
        <v>254946</v>
      </c>
      <c r="S137" s="146">
        <v>398965</v>
      </c>
      <c r="T137" s="147">
        <v>135215</v>
      </c>
      <c r="U137" s="146">
        <v>206232</v>
      </c>
      <c r="V137" s="147">
        <v>86868</v>
      </c>
      <c r="W137" s="146">
        <v>76599</v>
      </c>
      <c r="X137" s="208">
        <v>295</v>
      </c>
      <c r="Y137" s="147">
        <v>596.79999999999995</v>
      </c>
      <c r="Z137" s="146">
        <v>1567</v>
      </c>
      <c r="AA137" s="147">
        <v>3151</v>
      </c>
      <c r="AB137" s="146">
        <v>9192</v>
      </c>
      <c r="AC137" s="147" t="s">
        <v>280</v>
      </c>
      <c r="AD137" s="146" t="s">
        <v>280</v>
      </c>
      <c r="AE137" s="147">
        <v>4704</v>
      </c>
      <c r="AF137" s="146">
        <v>2747</v>
      </c>
      <c r="AG137" s="147" t="s">
        <v>280</v>
      </c>
      <c r="AH137" s="146">
        <v>373.8</v>
      </c>
      <c r="AI137" s="147"/>
      <c r="AJ137" s="146"/>
      <c r="AK137" s="147" t="s">
        <v>280</v>
      </c>
      <c r="AL137" s="146" t="s">
        <v>280</v>
      </c>
      <c r="AM137" s="207">
        <v>295</v>
      </c>
    </row>
    <row r="138" spans="1:39" ht="24" customHeight="1">
      <c r="A138" s="211">
        <v>296</v>
      </c>
      <c r="B138" s="210">
        <v>19264</v>
      </c>
      <c r="C138" s="210">
        <v>43752</v>
      </c>
      <c r="D138" s="209">
        <v>67</v>
      </c>
      <c r="E138" s="4" t="s">
        <v>58</v>
      </c>
      <c r="F138" s="143" t="s">
        <v>116</v>
      </c>
      <c r="G138" s="142">
        <v>21.072334259147443</v>
      </c>
      <c r="H138" s="5" t="s">
        <v>64</v>
      </c>
      <c r="I138" s="141" t="s">
        <v>62</v>
      </c>
      <c r="J138" s="147">
        <v>149571</v>
      </c>
      <c r="K138" s="146">
        <v>160224</v>
      </c>
      <c r="L138" s="147">
        <v>107963</v>
      </c>
      <c r="M138" s="146">
        <v>124160</v>
      </c>
      <c r="N138" s="147">
        <v>56738</v>
      </c>
      <c r="O138" s="146">
        <v>58485</v>
      </c>
      <c r="P138" s="147">
        <v>4514</v>
      </c>
      <c r="Q138" s="146">
        <v>9175</v>
      </c>
      <c r="R138" s="147">
        <v>462691</v>
      </c>
      <c r="S138" s="146">
        <v>377744</v>
      </c>
      <c r="T138" s="147">
        <v>82192</v>
      </c>
      <c r="U138" s="146">
        <v>114064</v>
      </c>
      <c r="V138" s="147">
        <v>154162</v>
      </c>
      <c r="W138" s="146">
        <v>212618</v>
      </c>
      <c r="X138" s="208">
        <v>296</v>
      </c>
      <c r="Y138" s="147">
        <v>1596</v>
      </c>
      <c r="Z138" s="146">
        <v>1588</v>
      </c>
      <c r="AA138" s="147">
        <v>2815</v>
      </c>
      <c r="AB138" s="146">
        <v>2752</v>
      </c>
      <c r="AC138" s="147" t="s">
        <v>280</v>
      </c>
      <c r="AD138" s="146" t="s">
        <v>280</v>
      </c>
      <c r="AE138" s="147">
        <v>1987</v>
      </c>
      <c r="AF138" s="146">
        <v>1079</v>
      </c>
      <c r="AG138" s="147">
        <v>12170</v>
      </c>
      <c r="AH138" s="146">
        <v>4742</v>
      </c>
      <c r="AI138" s="147"/>
      <c r="AJ138" s="146"/>
      <c r="AK138" s="147">
        <v>1558</v>
      </c>
      <c r="AL138" s="146">
        <v>1120</v>
      </c>
      <c r="AM138" s="207">
        <v>296</v>
      </c>
    </row>
    <row r="139" spans="1:39" ht="24" customHeight="1">
      <c r="A139" s="196">
        <v>297</v>
      </c>
      <c r="B139" s="180">
        <v>23013</v>
      </c>
      <c r="C139" s="180">
        <v>43749</v>
      </c>
      <c r="D139" s="179">
        <v>56</v>
      </c>
      <c r="E139" s="3" t="s">
        <v>61</v>
      </c>
      <c r="F139" s="143" t="s">
        <v>116</v>
      </c>
      <c r="G139" s="142">
        <v>27.977334265001311</v>
      </c>
      <c r="H139" s="11" t="s">
        <v>59</v>
      </c>
      <c r="I139" s="141" t="s">
        <v>62</v>
      </c>
      <c r="J139" s="147">
        <v>129832</v>
      </c>
      <c r="K139" s="146">
        <v>347274</v>
      </c>
      <c r="L139" s="147">
        <v>16810</v>
      </c>
      <c r="M139" s="146">
        <v>60744</v>
      </c>
      <c r="N139" s="147">
        <v>74639</v>
      </c>
      <c r="O139" s="146">
        <v>171039</v>
      </c>
      <c r="P139" s="147">
        <v>4673</v>
      </c>
      <c r="Q139" s="146">
        <v>10241</v>
      </c>
      <c r="R139" s="147">
        <v>208738</v>
      </c>
      <c r="S139" s="146">
        <v>351363</v>
      </c>
      <c r="T139" s="147">
        <v>146703</v>
      </c>
      <c r="U139" s="146">
        <v>156651</v>
      </c>
      <c r="V139" s="147">
        <v>168635</v>
      </c>
      <c r="W139" s="146">
        <v>210799</v>
      </c>
      <c r="X139" s="195">
        <v>297</v>
      </c>
      <c r="Y139" s="147" t="s">
        <v>280</v>
      </c>
      <c r="Z139" s="146" t="s">
        <v>280</v>
      </c>
      <c r="AA139" s="147">
        <v>1787</v>
      </c>
      <c r="AB139" s="146">
        <v>1909</v>
      </c>
      <c r="AC139" s="147" t="s">
        <v>280</v>
      </c>
      <c r="AD139" s="146" t="s">
        <v>280</v>
      </c>
      <c r="AE139" s="147">
        <v>2709</v>
      </c>
      <c r="AF139" s="146">
        <v>2567</v>
      </c>
      <c r="AG139" s="147">
        <v>1726</v>
      </c>
      <c r="AH139" s="146">
        <v>1173</v>
      </c>
      <c r="AI139" s="147"/>
      <c r="AJ139" s="146"/>
      <c r="AK139" s="147">
        <v>38.880000000000003</v>
      </c>
      <c r="AL139" s="146">
        <v>1682</v>
      </c>
      <c r="AM139" s="194">
        <v>297</v>
      </c>
    </row>
    <row r="140" spans="1:39" ht="24" customHeight="1">
      <c r="A140" s="211">
        <v>298</v>
      </c>
      <c r="B140" s="210">
        <v>14321</v>
      </c>
      <c r="C140" s="210">
        <v>43749</v>
      </c>
      <c r="D140" s="209">
        <v>80</v>
      </c>
      <c r="E140" s="3" t="s">
        <v>61</v>
      </c>
      <c r="F140" s="143" t="s">
        <v>116</v>
      </c>
      <c r="G140" s="142">
        <v>31.35900406080799</v>
      </c>
      <c r="H140" s="5" t="s">
        <v>64</v>
      </c>
      <c r="I140" s="141" t="s">
        <v>62</v>
      </c>
      <c r="J140" s="147">
        <v>100885</v>
      </c>
      <c r="K140" s="146">
        <v>193260</v>
      </c>
      <c r="L140" s="147">
        <v>64901</v>
      </c>
      <c r="M140" s="146">
        <v>85953</v>
      </c>
      <c r="N140" s="147">
        <v>115061</v>
      </c>
      <c r="O140" s="146">
        <v>219118</v>
      </c>
      <c r="P140" s="147">
        <v>11555</v>
      </c>
      <c r="Q140" s="146">
        <v>12192</v>
      </c>
      <c r="R140" s="147">
        <v>272815</v>
      </c>
      <c r="S140" s="146">
        <v>434742</v>
      </c>
      <c r="T140" s="147">
        <v>134441</v>
      </c>
      <c r="U140" s="146">
        <v>142486</v>
      </c>
      <c r="V140" s="147">
        <v>124642</v>
      </c>
      <c r="W140" s="146">
        <v>239101</v>
      </c>
      <c r="X140" s="208">
        <v>298</v>
      </c>
      <c r="Y140" s="147">
        <v>2956</v>
      </c>
      <c r="Z140" s="146">
        <v>3747</v>
      </c>
      <c r="AA140" s="147">
        <v>3921</v>
      </c>
      <c r="AB140" s="146">
        <v>5380</v>
      </c>
      <c r="AC140" s="147">
        <v>5504</v>
      </c>
      <c r="AD140" s="146">
        <v>5594</v>
      </c>
      <c r="AE140" s="147">
        <v>14727</v>
      </c>
      <c r="AF140" s="146">
        <v>17456</v>
      </c>
      <c r="AG140" s="147">
        <v>7941</v>
      </c>
      <c r="AH140" s="146">
        <v>7325</v>
      </c>
      <c r="AI140" s="147"/>
      <c r="AJ140" s="146"/>
      <c r="AK140" s="147">
        <v>2395</v>
      </c>
      <c r="AL140" s="146">
        <v>2590</v>
      </c>
      <c r="AM140" s="207">
        <v>298</v>
      </c>
    </row>
    <row r="141" spans="1:39" ht="24" customHeight="1">
      <c r="A141" s="211">
        <v>299</v>
      </c>
      <c r="B141" s="210">
        <v>19191</v>
      </c>
      <c r="C141" s="210">
        <v>43752</v>
      </c>
      <c r="D141" s="209">
        <v>67</v>
      </c>
      <c r="E141" s="3" t="s">
        <v>61</v>
      </c>
      <c r="F141" s="143" t="s">
        <v>116</v>
      </c>
      <c r="G141" s="142">
        <v>41.763085399449039</v>
      </c>
      <c r="H141" s="5" t="s">
        <v>64</v>
      </c>
      <c r="I141" s="141" t="s">
        <v>62</v>
      </c>
      <c r="J141" s="147">
        <v>71723</v>
      </c>
      <c r="K141" s="146">
        <v>138964</v>
      </c>
      <c r="L141" s="147">
        <v>32832</v>
      </c>
      <c r="M141" s="146">
        <v>115544</v>
      </c>
      <c r="N141" s="147">
        <v>32312</v>
      </c>
      <c r="O141" s="146">
        <v>177633</v>
      </c>
      <c r="P141" s="147">
        <v>8523</v>
      </c>
      <c r="Q141" s="146">
        <v>32313</v>
      </c>
      <c r="R141" s="147">
        <v>253191</v>
      </c>
      <c r="S141" s="146">
        <v>380590</v>
      </c>
      <c r="T141" s="147">
        <v>145131</v>
      </c>
      <c r="U141" s="146">
        <v>296920</v>
      </c>
      <c r="V141" s="147">
        <v>169072</v>
      </c>
      <c r="W141" s="146">
        <v>285942</v>
      </c>
      <c r="X141" s="208">
        <v>299</v>
      </c>
      <c r="Y141" s="147">
        <v>1265</v>
      </c>
      <c r="Z141" s="146">
        <v>1622</v>
      </c>
      <c r="AA141" s="147">
        <v>2194</v>
      </c>
      <c r="AB141" s="146">
        <v>2201</v>
      </c>
      <c r="AC141" s="147">
        <v>1739</v>
      </c>
      <c r="AD141" s="146">
        <v>1932</v>
      </c>
      <c r="AE141" s="147">
        <v>2855</v>
      </c>
      <c r="AF141" s="146">
        <v>3181</v>
      </c>
      <c r="AG141" s="147">
        <v>8044</v>
      </c>
      <c r="AH141" s="146">
        <v>13792</v>
      </c>
      <c r="AI141" s="147"/>
      <c r="AJ141" s="146"/>
      <c r="AK141" s="147">
        <v>1164</v>
      </c>
      <c r="AL141" s="146">
        <v>1541</v>
      </c>
      <c r="AM141" s="207">
        <v>299</v>
      </c>
    </row>
    <row r="142" spans="1:39" ht="24" customHeight="1">
      <c r="A142" s="199">
        <v>300</v>
      </c>
      <c r="B142" s="190">
        <v>29211</v>
      </c>
      <c r="C142" s="190">
        <v>43753</v>
      </c>
      <c r="D142" s="189">
        <v>39</v>
      </c>
      <c r="E142" s="3" t="s">
        <v>61</v>
      </c>
      <c r="F142" s="143" t="s">
        <v>116</v>
      </c>
      <c r="G142" s="142">
        <v>27.642021045629658</v>
      </c>
      <c r="H142" s="11" t="s">
        <v>59</v>
      </c>
      <c r="I142" s="141" t="s">
        <v>62</v>
      </c>
      <c r="J142" s="147">
        <v>223369</v>
      </c>
      <c r="K142" s="146">
        <v>222988</v>
      </c>
      <c r="L142" s="147">
        <v>119727</v>
      </c>
      <c r="M142" s="146">
        <v>126147</v>
      </c>
      <c r="N142" s="147">
        <v>20449</v>
      </c>
      <c r="O142" s="146">
        <v>22132</v>
      </c>
      <c r="P142" s="147">
        <v>30365</v>
      </c>
      <c r="Q142" s="146">
        <v>66645</v>
      </c>
      <c r="R142" s="147">
        <v>345210</v>
      </c>
      <c r="S142" s="146">
        <v>371882</v>
      </c>
      <c r="T142" s="147">
        <v>278968</v>
      </c>
      <c r="U142" s="146">
        <v>326145</v>
      </c>
      <c r="V142" s="147">
        <v>93980</v>
      </c>
      <c r="W142" s="146">
        <v>98320</v>
      </c>
      <c r="X142" s="198">
        <v>300</v>
      </c>
      <c r="Y142" s="147">
        <v>637.1</v>
      </c>
      <c r="Z142" s="146">
        <v>843.4</v>
      </c>
      <c r="AA142" s="147">
        <v>3065</v>
      </c>
      <c r="AB142" s="146">
        <v>2897</v>
      </c>
      <c r="AC142" s="147">
        <v>1954</v>
      </c>
      <c r="AD142" s="146">
        <v>1941</v>
      </c>
      <c r="AE142" s="147">
        <v>5967</v>
      </c>
      <c r="AF142" s="146">
        <v>8306</v>
      </c>
      <c r="AG142" s="147">
        <v>30162</v>
      </c>
      <c r="AH142" s="146">
        <v>30698</v>
      </c>
      <c r="AI142" s="147"/>
      <c r="AJ142" s="146"/>
      <c r="AK142" s="147">
        <v>1972</v>
      </c>
      <c r="AL142" s="146">
        <v>2518</v>
      </c>
      <c r="AM142" s="197">
        <v>300</v>
      </c>
    </row>
    <row r="143" spans="1:39" ht="24" customHeight="1">
      <c r="A143" s="211">
        <v>302</v>
      </c>
      <c r="B143" s="210">
        <v>17311</v>
      </c>
      <c r="C143" s="210">
        <v>43741</v>
      </c>
      <c r="D143" s="209">
        <v>72</v>
      </c>
      <c r="E143" s="4" t="s">
        <v>58</v>
      </c>
      <c r="F143" s="143" t="s">
        <v>116</v>
      </c>
      <c r="G143" s="142">
        <v>19.082142660985962</v>
      </c>
      <c r="H143" s="5" t="s">
        <v>64</v>
      </c>
      <c r="I143" s="141" t="s">
        <v>62</v>
      </c>
      <c r="J143" s="147">
        <v>227604</v>
      </c>
      <c r="K143" s="146">
        <v>199192</v>
      </c>
      <c r="L143" s="147">
        <v>181924</v>
      </c>
      <c r="M143" s="146">
        <v>196088</v>
      </c>
      <c r="N143" s="147">
        <v>63533</v>
      </c>
      <c r="O143" s="146">
        <v>68780</v>
      </c>
      <c r="P143" s="147">
        <v>45696</v>
      </c>
      <c r="Q143" s="146">
        <v>47881</v>
      </c>
      <c r="R143" s="147">
        <v>301392</v>
      </c>
      <c r="S143" s="146">
        <v>324433</v>
      </c>
      <c r="T143" s="147">
        <v>187112</v>
      </c>
      <c r="U143" s="146">
        <v>198431</v>
      </c>
      <c r="V143" s="147">
        <v>226667</v>
      </c>
      <c r="W143" s="146">
        <v>249266</v>
      </c>
      <c r="X143" s="208">
        <v>302</v>
      </c>
      <c r="Y143" s="147">
        <v>3700</v>
      </c>
      <c r="Z143" s="146">
        <v>3432</v>
      </c>
      <c r="AA143" s="147">
        <v>2322</v>
      </c>
      <c r="AB143" s="146">
        <v>4769</v>
      </c>
      <c r="AC143" s="147">
        <v>4038</v>
      </c>
      <c r="AD143" s="146">
        <v>4275</v>
      </c>
      <c r="AE143" s="147">
        <v>5122</v>
      </c>
      <c r="AF143" s="146">
        <v>12292</v>
      </c>
      <c r="AG143" s="147">
        <v>15506</v>
      </c>
      <c r="AH143" s="146">
        <v>13246</v>
      </c>
      <c r="AI143" s="147"/>
      <c r="AJ143" s="146"/>
      <c r="AK143" s="147">
        <v>6837</v>
      </c>
      <c r="AL143" s="146">
        <v>7693</v>
      </c>
      <c r="AM143" s="207">
        <v>302</v>
      </c>
    </row>
    <row r="144" spans="1:39" ht="24" customHeight="1">
      <c r="A144" s="199">
        <v>303</v>
      </c>
      <c r="B144" s="190">
        <v>26290</v>
      </c>
      <c r="C144" s="190">
        <v>43746</v>
      </c>
      <c r="D144" s="189">
        <v>47</v>
      </c>
      <c r="E144" s="3" t="s">
        <v>61</v>
      </c>
      <c r="F144" s="143" t="s">
        <v>116</v>
      </c>
      <c r="G144" s="142">
        <v>22.595640908398103</v>
      </c>
      <c r="H144" s="11" t="s">
        <v>59</v>
      </c>
      <c r="I144" s="141" t="s">
        <v>62</v>
      </c>
      <c r="J144" s="147">
        <v>94083</v>
      </c>
      <c r="K144" s="146">
        <v>82009</v>
      </c>
      <c r="L144" s="147">
        <v>34573</v>
      </c>
      <c r="M144" s="146">
        <v>40677</v>
      </c>
      <c r="N144" s="147">
        <v>66571</v>
      </c>
      <c r="O144" s="146">
        <v>64851</v>
      </c>
      <c r="P144" s="147">
        <v>14095</v>
      </c>
      <c r="Q144" s="146">
        <v>22304</v>
      </c>
      <c r="R144" s="147">
        <v>234172</v>
      </c>
      <c r="S144" s="146">
        <v>158229</v>
      </c>
      <c r="T144" s="147">
        <v>112739</v>
      </c>
      <c r="U144" s="146">
        <v>111762</v>
      </c>
      <c r="V144" s="147">
        <v>134660</v>
      </c>
      <c r="W144" s="146">
        <v>108099</v>
      </c>
      <c r="X144" s="198">
        <v>303</v>
      </c>
      <c r="Y144" s="147">
        <v>7760</v>
      </c>
      <c r="Z144" s="146">
        <v>8064</v>
      </c>
      <c r="AA144" s="147">
        <v>10315</v>
      </c>
      <c r="AB144" s="146">
        <v>10309</v>
      </c>
      <c r="AC144" s="147">
        <v>9334</v>
      </c>
      <c r="AD144" s="146">
        <v>9596</v>
      </c>
      <c r="AE144" s="147">
        <v>18660</v>
      </c>
      <c r="AF144" s="146">
        <v>19417</v>
      </c>
      <c r="AG144" s="147">
        <v>97836</v>
      </c>
      <c r="AH144" s="146">
        <v>86946</v>
      </c>
      <c r="AI144" s="147"/>
      <c r="AJ144" s="146"/>
      <c r="AK144" s="147">
        <v>29851</v>
      </c>
      <c r="AL144" s="146">
        <v>30755</v>
      </c>
      <c r="AM144" s="197">
        <v>303</v>
      </c>
    </row>
    <row r="145" spans="1:39" ht="24" customHeight="1">
      <c r="A145" s="211">
        <v>304</v>
      </c>
      <c r="B145" s="210">
        <v>19644</v>
      </c>
      <c r="C145" s="210">
        <v>43748</v>
      </c>
      <c r="D145" s="209">
        <v>65</v>
      </c>
      <c r="E145" s="3" t="s">
        <v>61</v>
      </c>
      <c r="F145" s="143" t="s">
        <v>124</v>
      </c>
      <c r="G145" s="142">
        <v>36.660832421310793</v>
      </c>
      <c r="H145" s="5" t="s">
        <v>64</v>
      </c>
      <c r="I145" s="141" t="s">
        <v>62</v>
      </c>
      <c r="J145" s="147">
        <v>147344</v>
      </c>
      <c r="K145" s="146">
        <v>289388</v>
      </c>
      <c r="L145" s="147">
        <v>48925</v>
      </c>
      <c r="M145" s="146">
        <v>148966</v>
      </c>
      <c r="N145" s="147">
        <v>113940</v>
      </c>
      <c r="O145" s="146">
        <v>306746</v>
      </c>
      <c r="P145" s="147">
        <v>28945</v>
      </c>
      <c r="Q145" s="146">
        <v>95022</v>
      </c>
      <c r="R145" s="147">
        <v>143496</v>
      </c>
      <c r="S145" s="146">
        <v>373444</v>
      </c>
      <c r="T145" s="147">
        <v>95058</v>
      </c>
      <c r="U145" s="146">
        <v>287042</v>
      </c>
      <c r="V145" s="147">
        <v>88947</v>
      </c>
      <c r="W145" s="146">
        <v>156352</v>
      </c>
      <c r="X145" s="208">
        <v>304</v>
      </c>
      <c r="Y145" s="147">
        <v>3128</v>
      </c>
      <c r="Z145" s="146">
        <v>4688</v>
      </c>
      <c r="AA145" s="147">
        <v>3340</v>
      </c>
      <c r="AB145" s="146">
        <v>4838</v>
      </c>
      <c r="AC145" s="147">
        <v>7320</v>
      </c>
      <c r="AD145" s="146">
        <v>102290</v>
      </c>
      <c r="AE145" s="147">
        <v>11683</v>
      </c>
      <c r="AF145" s="146">
        <v>234279</v>
      </c>
      <c r="AG145" s="147">
        <v>33298</v>
      </c>
      <c r="AH145" s="146">
        <v>74964</v>
      </c>
      <c r="AI145" s="147"/>
      <c r="AJ145" s="146"/>
      <c r="AK145" s="147">
        <v>6734</v>
      </c>
      <c r="AL145" s="146">
        <v>19182</v>
      </c>
      <c r="AM145" s="207">
        <v>304</v>
      </c>
    </row>
    <row r="146" spans="1:39" ht="24" customHeight="1">
      <c r="A146" s="196">
        <v>305</v>
      </c>
      <c r="B146" s="180">
        <v>23226</v>
      </c>
      <c r="C146" s="180">
        <v>43752</v>
      </c>
      <c r="D146" s="179">
        <v>56</v>
      </c>
      <c r="E146" s="4" t="s">
        <v>58</v>
      </c>
      <c r="F146" s="143" t="s">
        <v>116</v>
      </c>
      <c r="G146" s="142">
        <v>31.767712034131108</v>
      </c>
      <c r="H146" s="11" t="s">
        <v>59</v>
      </c>
      <c r="I146" s="141" t="s">
        <v>62</v>
      </c>
      <c r="J146" s="147">
        <v>192489</v>
      </c>
      <c r="K146" s="146">
        <v>223740</v>
      </c>
      <c r="L146" s="147">
        <v>64104</v>
      </c>
      <c r="M146" s="146">
        <v>76581</v>
      </c>
      <c r="N146" s="147">
        <v>49157</v>
      </c>
      <c r="O146" s="146">
        <v>117693</v>
      </c>
      <c r="P146" s="147">
        <v>8814</v>
      </c>
      <c r="Q146" s="146">
        <v>47505</v>
      </c>
      <c r="R146" s="147">
        <v>79263</v>
      </c>
      <c r="S146" s="146">
        <v>245397</v>
      </c>
      <c r="T146" s="147">
        <v>138749</v>
      </c>
      <c r="U146" s="146">
        <v>260202</v>
      </c>
      <c r="V146" s="147">
        <v>61032</v>
      </c>
      <c r="W146" s="146">
        <v>155747</v>
      </c>
      <c r="X146" s="195">
        <v>305</v>
      </c>
      <c r="Y146" s="147">
        <v>4237</v>
      </c>
      <c r="Z146" s="146">
        <v>4347</v>
      </c>
      <c r="AA146" s="147">
        <v>6016</v>
      </c>
      <c r="AB146" s="146">
        <v>6043</v>
      </c>
      <c r="AC146" s="147">
        <v>2456</v>
      </c>
      <c r="AD146" s="146">
        <v>3076</v>
      </c>
      <c r="AE146" s="147">
        <v>4236</v>
      </c>
      <c r="AF146" s="146">
        <v>5372</v>
      </c>
      <c r="AG146" s="147">
        <v>13291</v>
      </c>
      <c r="AH146" s="146">
        <v>40029</v>
      </c>
      <c r="AI146" s="147"/>
      <c r="AJ146" s="146"/>
      <c r="AK146" s="147">
        <v>4516</v>
      </c>
      <c r="AL146" s="146">
        <v>15566</v>
      </c>
      <c r="AM146" s="194">
        <v>305</v>
      </c>
    </row>
    <row r="147" spans="1:39" ht="24" customHeight="1">
      <c r="A147" s="196">
        <v>306</v>
      </c>
      <c r="B147" s="180">
        <v>21153</v>
      </c>
      <c r="C147" s="180">
        <v>43752</v>
      </c>
      <c r="D147" s="179">
        <v>61</v>
      </c>
      <c r="E147" s="3" t="s">
        <v>61</v>
      </c>
      <c r="F147" s="143" t="s">
        <v>116</v>
      </c>
      <c r="G147" s="142">
        <v>28.061725684171591</v>
      </c>
      <c r="H147" s="11" t="s">
        <v>59</v>
      </c>
      <c r="I147" s="141" t="s">
        <v>62</v>
      </c>
      <c r="J147" s="147">
        <v>18012</v>
      </c>
      <c r="K147" s="146">
        <v>30010</v>
      </c>
      <c r="L147" s="147">
        <v>9585</v>
      </c>
      <c r="M147" s="146">
        <v>13870</v>
      </c>
      <c r="N147" s="147">
        <v>57635</v>
      </c>
      <c r="O147" s="146">
        <v>93818</v>
      </c>
      <c r="P147" s="147">
        <v>16353</v>
      </c>
      <c r="Q147" s="146">
        <v>48643</v>
      </c>
      <c r="R147" s="147">
        <v>164116</v>
      </c>
      <c r="S147" s="146">
        <v>240623</v>
      </c>
      <c r="T147" s="147">
        <v>58253</v>
      </c>
      <c r="U147" s="146">
        <v>76486</v>
      </c>
      <c r="V147" s="147">
        <v>171692</v>
      </c>
      <c r="W147" s="146">
        <v>263163</v>
      </c>
      <c r="X147" s="195">
        <v>306</v>
      </c>
      <c r="Y147" s="147">
        <v>1683</v>
      </c>
      <c r="Z147" s="146">
        <v>1835</v>
      </c>
      <c r="AA147" s="147">
        <v>828.9</v>
      </c>
      <c r="AB147" s="146">
        <v>1038</v>
      </c>
      <c r="AC147" s="147">
        <v>2387</v>
      </c>
      <c r="AD147" s="146">
        <v>2387</v>
      </c>
      <c r="AE147" s="147">
        <v>2141</v>
      </c>
      <c r="AF147" s="146">
        <v>3375</v>
      </c>
      <c r="AG147" s="147">
        <v>2870</v>
      </c>
      <c r="AH147" s="146">
        <v>4030</v>
      </c>
      <c r="AI147" s="147"/>
      <c r="AJ147" s="146"/>
      <c r="AK147" s="147">
        <v>2242</v>
      </c>
      <c r="AL147" s="146">
        <v>3213</v>
      </c>
      <c r="AM147" s="194">
        <v>306</v>
      </c>
    </row>
    <row r="148" spans="1:39" ht="24" customHeight="1">
      <c r="A148" s="206">
        <v>307</v>
      </c>
      <c r="B148" s="205">
        <v>14462</v>
      </c>
      <c r="C148" s="205">
        <v>43747</v>
      </c>
      <c r="D148" s="204">
        <v>80</v>
      </c>
      <c r="E148" s="3" t="s">
        <v>61</v>
      </c>
      <c r="F148" s="143" t="s">
        <v>116</v>
      </c>
      <c r="G148" s="142">
        <v>20.764409101300068</v>
      </c>
      <c r="H148" s="11" t="s">
        <v>59</v>
      </c>
      <c r="I148" s="141" t="s">
        <v>62</v>
      </c>
      <c r="J148" s="147">
        <v>151390</v>
      </c>
      <c r="K148" s="146">
        <v>161446</v>
      </c>
      <c r="L148" s="147">
        <v>101760</v>
      </c>
      <c r="M148" s="146">
        <v>115792</v>
      </c>
      <c r="N148" s="147">
        <v>84535</v>
      </c>
      <c r="O148" s="146">
        <v>75440</v>
      </c>
      <c r="P148" s="147">
        <v>29785</v>
      </c>
      <c r="Q148" s="146">
        <v>41484</v>
      </c>
      <c r="R148" s="147">
        <v>585052</v>
      </c>
      <c r="S148" s="146">
        <v>418486</v>
      </c>
      <c r="T148" s="147">
        <v>212729</v>
      </c>
      <c r="U148" s="146"/>
      <c r="V148" s="147">
        <v>196072</v>
      </c>
      <c r="W148" s="146">
        <v>152132</v>
      </c>
      <c r="X148" s="203">
        <v>307</v>
      </c>
      <c r="Y148" s="147">
        <v>3470</v>
      </c>
      <c r="Z148" s="146">
        <v>3213</v>
      </c>
      <c r="AA148" s="147">
        <v>1977</v>
      </c>
      <c r="AB148" s="146">
        <v>2242</v>
      </c>
      <c r="AC148" s="147">
        <v>1152</v>
      </c>
      <c r="AD148" s="146">
        <v>1198</v>
      </c>
      <c r="AE148" s="147">
        <v>3894</v>
      </c>
      <c r="AF148" s="146">
        <v>5195</v>
      </c>
      <c r="AG148" s="147">
        <v>18470</v>
      </c>
      <c r="AH148" s="146">
        <v>17120</v>
      </c>
      <c r="AI148" s="147"/>
      <c r="AJ148" s="146"/>
      <c r="AK148" s="147">
        <v>2762</v>
      </c>
      <c r="AL148" s="146">
        <v>2828</v>
      </c>
      <c r="AM148" s="202">
        <v>307</v>
      </c>
    </row>
    <row r="149" spans="1:39" ht="24" customHeight="1">
      <c r="A149" s="211">
        <v>308</v>
      </c>
      <c r="B149" s="210">
        <v>17497</v>
      </c>
      <c r="C149" s="210">
        <v>43746</v>
      </c>
      <c r="D149" s="209">
        <v>71</v>
      </c>
      <c r="E149" s="4" t="s">
        <v>58</v>
      </c>
      <c r="F149" s="143" t="s">
        <v>116</v>
      </c>
      <c r="G149" s="142">
        <v>30.210605801175415</v>
      </c>
      <c r="H149" s="5" t="s">
        <v>64</v>
      </c>
      <c r="I149" s="141" t="s">
        <v>62</v>
      </c>
      <c r="J149" s="147">
        <v>101430</v>
      </c>
      <c r="K149" s="146">
        <v>154362</v>
      </c>
      <c r="L149" s="147">
        <v>103684</v>
      </c>
      <c r="M149" s="146">
        <v>157602</v>
      </c>
      <c r="N149" s="147">
        <v>23535</v>
      </c>
      <c r="O149" s="146">
        <v>40621</v>
      </c>
      <c r="P149" s="147">
        <v>3806</v>
      </c>
      <c r="Q149" s="146">
        <v>22434</v>
      </c>
      <c r="R149" s="147">
        <v>280692</v>
      </c>
      <c r="S149" s="146">
        <v>398190</v>
      </c>
      <c r="T149" s="147">
        <v>159851</v>
      </c>
      <c r="U149" s="146">
        <v>309798</v>
      </c>
      <c r="V149" s="147">
        <v>264439</v>
      </c>
      <c r="W149" s="146">
        <v>377818</v>
      </c>
      <c r="X149" s="208">
        <v>308</v>
      </c>
      <c r="Y149" s="147">
        <v>2915</v>
      </c>
      <c r="Z149" s="146">
        <v>3511</v>
      </c>
      <c r="AA149" s="147">
        <v>2910</v>
      </c>
      <c r="AB149" s="146">
        <v>3850</v>
      </c>
      <c r="AC149" s="147">
        <v>1913</v>
      </c>
      <c r="AD149" s="146">
        <v>3116</v>
      </c>
      <c r="AE149" s="147">
        <v>2688</v>
      </c>
      <c r="AF149" s="146">
        <v>3181</v>
      </c>
      <c r="AG149" s="147">
        <v>30854</v>
      </c>
      <c r="AH149" s="146">
        <v>51532</v>
      </c>
      <c r="AI149" s="147"/>
      <c r="AJ149" s="146"/>
      <c r="AK149" s="147">
        <v>7620</v>
      </c>
      <c r="AL149" s="146">
        <v>10814</v>
      </c>
      <c r="AM149" s="207">
        <v>308</v>
      </c>
    </row>
    <row r="150" spans="1:39" ht="24" customHeight="1">
      <c r="A150" s="196">
        <v>309</v>
      </c>
      <c r="B150" s="180">
        <v>20680</v>
      </c>
      <c r="C150" s="180">
        <v>43748</v>
      </c>
      <c r="D150" s="179">
        <v>63</v>
      </c>
      <c r="E150" s="3" t="s">
        <v>61</v>
      </c>
      <c r="F150" s="143" t="s">
        <v>116</v>
      </c>
      <c r="G150" s="142">
        <v>26.104889445793194</v>
      </c>
      <c r="H150" s="11" t="s">
        <v>59</v>
      </c>
      <c r="I150" s="141" t="s">
        <v>62</v>
      </c>
      <c r="J150" s="147">
        <v>271227</v>
      </c>
      <c r="K150" s="146">
        <v>299949</v>
      </c>
      <c r="L150" s="147">
        <v>65699</v>
      </c>
      <c r="M150" s="146">
        <v>102884</v>
      </c>
      <c r="N150" s="147">
        <v>302681</v>
      </c>
      <c r="O150" s="146">
        <v>359989</v>
      </c>
      <c r="P150" s="147">
        <v>59276</v>
      </c>
      <c r="Q150" s="146">
        <v>99496</v>
      </c>
      <c r="R150" s="147">
        <v>155540</v>
      </c>
      <c r="S150" s="146">
        <v>176243</v>
      </c>
      <c r="T150" s="147">
        <v>98528</v>
      </c>
      <c r="U150" s="146">
        <v>114659</v>
      </c>
      <c r="V150" s="147">
        <v>153485</v>
      </c>
      <c r="W150" s="146">
        <v>170414</v>
      </c>
      <c r="X150" s="195">
        <v>309</v>
      </c>
      <c r="Y150" s="147">
        <v>5545</v>
      </c>
      <c r="Z150" s="146">
        <v>6403</v>
      </c>
      <c r="AA150" s="147">
        <v>4453</v>
      </c>
      <c r="AB150" s="146">
        <v>6807</v>
      </c>
      <c r="AC150" s="147">
        <v>4565</v>
      </c>
      <c r="AD150" s="146">
        <v>4637</v>
      </c>
      <c r="AE150" s="147">
        <v>3871</v>
      </c>
      <c r="AF150" s="146">
        <v>5503</v>
      </c>
      <c r="AG150" s="147">
        <v>99394</v>
      </c>
      <c r="AH150" s="146">
        <v>107178</v>
      </c>
      <c r="AI150" s="147"/>
      <c r="AJ150" s="146"/>
      <c r="AK150" s="147">
        <v>23311</v>
      </c>
      <c r="AL150" s="146">
        <v>28846</v>
      </c>
      <c r="AM150" s="194">
        <v>309</v>
      </c>
    </row>
    <row r="151" spans="1:39" ht="24" customHeight="1">
      <c r="A151" s="211">
        <v>310</v>
      </c>
      <c r="B151" s="210">
        <v>19252</v>
      </c>
      <c r="C151" s="210">
        <v>43757</v>
      </c>
      <c r="D151" s="209">
        <v>67</v>
      </c>
      <c r="E151" s="4" t="s">
        <v>58</v>
      </c>
      <c r="F151" s="143" t="s">
        <v>116</v>
      </c>
      <c r="G151" s="142">
        <v>31.907465488427466</v>
      </c>
      <c r="H151" s="5" t="s">
        <v>64</v>
      </c>
      <c r="I151" s="141" t="s">
        <v>62</v>
      </c>
      <c r="J151" s="147">
        <v>208911</v>
      </c>
      <c r="K151" s="146">
        <v>470484</v>
      </c>
      <c r="L151" s="147">
        <v>90454</v>
      </c>
      <c r="M151" s="146">
        <v>250794</v>
      </c>
      <c r="N151" s="147">
        <v>81948</v>
      </c>
      <c r="O151" s="146">
        <v>136867</v>
      </c>
      <c r="P151" s="147">
        <v>22591</v>
      </c>
      <c r="Q151" s="146">
        <v>76817</v>
      </c>
      <c r="R151" s="147">
        <v>417217</v>
      </c>
      <c r="S151" s="146">
        <v>509974</v>
      </c>
      <c r="T151" s="147">
        <v>88117</v>
      </c>
      <c r="U151" s="146">
        <v>215957</v>
      </c>
      <c r="V151" s="147">
        <v>219210</v>
      </c>
      <c r="W151" s="146">
        <v>336276</v>
      </c>
      <c r="X151" s="208">
        <v>310</v>
      </c>
      <c r="Y151" s="147">
        <v>14354</v>
      </c>
      <c r="Z151" s="146">
        <v>15868</v>
      </c>
      <c r="AA151" s="147">
        <v>15253</v>
      </c>
      <c r="AB151" s="146">
        <v>14972</v>
      </c>
      <c r="AC151" s="147">
        <v>12059</v>
      </c>
      <c r="AD151" s="146">
        <v>24140</v>
      </c>
      <c r="AE151" s="147">
        <v>30439</v>
      </c>
      <c r="AF151" s="146">
        <v>45228</v>
      </c>
      <c r="AG151" s="147">
        <v>160070</v>
      </c>
      <c r="AH151" s="146">
        <v>145472</v>
      </c>
      <c r="AI151" s="147"/>
      <c r="AJ151" s="146"/>
      <c r="AK151" s="147">
        <v>106619</v>
      </c>
      <c r="AL151" s="146">
        <v>75612</v>
      </c>
      <c r="AM151" s="207">
        <v>310</v>
      </c>
    </row>
    <row r="152" spans="1:39" ht="24" customHeight="1">
      <c r="A152" s="199">
        <v>311</v>
      </c>
      <c r="B152" s="190">
        <v>28008</v>
      </c>
      <c r="C152" s="190">
        <v>43747</v>
      </c>
      <c r="D152" s="189">
        <v>43</v>
      </c>
      <c r="E152" s="3" t="s">
        <v>61</v>
      </c>
      <c r="F152" s="143" t="s">
        <v>116</v>
      </c>
      <c r="G152" s="142">
        <v>31.571948497997656</v>
      </c>
      <c r="H152" s="11" t="s">
        <v>59</v>
      </c>
      <c r="I152" s="141" t="s">
        <v>62</v>
      </c>
      <c r="J152" s="147">
        <v>44233</v>
      </c>
      <c r="K152" s="146">
        <v>51634</v>
      </c>
      <c r="L152" s="147">
        <v>13321</v>
      </c>
      <c r="M152" s="146">
        <v>28334</v>
      </c>
      <c r="N152" s="147">
        <v>50845</v>
      </c>
      <c r="O152" s="146">
        <v>48430</v>
      </c>
      <c r="P152" s="147">
        <v>8925</v>
      </c>
      <c r="Q152" s="146">
        <v>12121</v>
      </c>
      <c r="R152" s="147">
        <v>130474</v>
      </c>
      <c r="S152" s="146">
        <v>133195</v>
      </c>
      <c r="T152" s="147">
        <v>73638</v>
      </c>
      <c r="U152" s="146">
        <v>119046</v>
      </c>
      <c r="V152" s="147">
        <v>132018</v>
      </c>
      <c r="W152" s="146">
        <v>142269</v>
      </c>
      <c r="X152" s="198">
        <v>311</v>
      </c>
      <c r="Y152" s="147">
        <v>2217</v>
      </c>
      <c r="Z152" s="146">
        <v>2018</v>
      </c>
      <c r="AA152" s="147">
        <v>1680</v>
      </c>
      <c r="AB152" s="146">
        <v>2045</v>
      </c>
      <c r="AC152" s="147">
        <v>2783</v>
      </c>
      <c r="AD152" s="146">
        <v>1967</v>
      </c>
      <c r="AE152" s="147">
        <v>5276</v>
      </c>
      <c r="AF152" s="146">
        <v>6924</v>
      </c>
      <c r="AG152" s="147">
        <v>16494</v>
      </c>
      <c r="AH152" s="146">
        <v>17315</v>
      </c>
      <c r="AI152" s="147"/>
      <c r="AJ152" s="146"/>
      <c r="AK152" s="147">
        <v>4254</v>
      </c>
      <c r="AL152" s="146">
        <v>5065</v>
      </c>
      <c r="AM152" s="197">
        <v>311</v>
      </c>
    </row>
    <row r="153" spans="1:39" ht="24" customHeight="1">
      <c r="A153" s="196">
        <v>312</v>
      </c>
      <c r="B153" s="180">
        <v>20923</v>
      </c>
      <c r="C153" s="180">
        <v>43760</v>
      </c>
      <c r="D153" s="179">
        <v>62</v>
      </c>
      <c r="E153" s="3" t="s">
        <v>61</v>
      </c>
      <c r="F153" s="143" t="s">
        <v>116</v>
      </c>
      <c r="G153" s="142">
        <v>31.348234097633128</v>
      </c>
      <c r="H153" s="11" t="s">
        <v>59</v>
      </c>
      <c r="I153" s="141" t="s">
        <v>62</v>
      </c>
      <c r="J153" s="147">
        <v>83153</v>
      </c>
      <c r="K153" s="146">
        <v>102608</v>
      </c>
      <c r="L153" s="147">
        <v>21804</v>
      </c>
      <c r="M153" s="146">
        <v>61657</v>
      </c>
      <c r="N153" s="147">
        <v>43407</v>
      </c>
      <c r="O153" s="146">
        <v>58438</v>
      </c>
      <c r="P153" s="147">
        <v>5212</v>
      </c>
      <c r="Q153" s="146">
        <v>16303</v>
      </c>
      <c r="R153" s="147">
        <v>189060</v>
      </c>
      <c r="S153" s="146">
        <v>194436</v>
      </c>
      <c r="T153" s="147">
        <v>90433</v>
      </c>
      <c r="U153" s="146">
        <v>154458</v>
      </c>
      <c r="V153" s="147">
        <v>292826</v>
      </c>
      <c r="W153" s="146">
        <v>317231</v>
      </c>
      <c r="X153" s="195">
        <v>312</v>
      </c>
      <c r="Y153" s="147">
        <v>1150</v>
      </c>
      <c r="Z153" s="146">
        <v>1342</v>
      </c>
      <c r="AA153" s="147">
        <v>2239</v>
      </c>
      <c r="AB153" s="146">
        <v>1390</v>
      </c>
      <c r="AC153" s="147">
        <v>2599</v>
      </c>
      <c r="AD153" s="146">
        <v>3585</v>
      </c>
      <c r="AE153" s="147">
        <v>3884</v>
      </c>
      <c r="AF153" s="146">
        <v>3348</v>
      </c>
      <c r="AG153" s="147">
        <v>10520</v>
      </c>
      <c r="AH153" s="146">
        <v>9408</v>
      </c>
      <c r="AI153" s="147"/>
      <c r="AJ153" s="146"/>
      <c r="AK153" s="147">
        <v>4207</v>
      </c>
      <c r="AL153" s="146">
        <v>5731</v>
      </c>
      <c r="AM153" s="194">
        <v>312</v>
      </c>
    </row>
    <row r="154" spans="1:39" ht="24" customHeight="1">
      <c r="A154" s="211">
        <v>313</v>
      </c>
      <c r="B154" s="210">
        <v>19393</v>
      </c>
      <c r="C154" s="210">
        <v>43760</v>
      </c>
      <c r="D154" s="209">
        <v>66</v>
      </c>
      <c r="E154" s="4" t="s">
        <v>58</v>
      </c>
      <c r="F154" s="143" t="s">
        <v>116</v>
      </c>
      <c r="G154" s="142">
        <v>38.352612051074217</v>
      </c>
      <c r="H154" s="5" t="s">
        <v>64</v>
      </c>
      <c r="I154" s="141" t="s">
        <v>62</v>
      </c>
      <c r="J154" s="147">
        <v>83054</v>
      </c>
      <c r="K154" s="146">
        <v>124110</v>
      </c>
      <c r="L154" s="147">
        <v>27709</v>
      </c>
      <c r="M154" s="146">
        <v>45454</v>
      </c>
      <c r="N154" s="147">
        <v>39007</v>
      </c>
      <c r="O154" s="146">
        <v>111749</v>
      </c>
      <c r="P154" s="147">
        <v>9517</v>
      </c>
      <c r="Q154" s="146">
        <v>37084</v>
      </c>
      <c r="R154" s="147">
        <v>121302</v>
      </c>
      <c r="S154" s="146">
        <v>151679</v>
      </c>
      <c r="T154" s="147">
        <v>71432</v>
      </c>
      <c r="U154" s="146">
        <v>130433</v>
      </c>
      <c r="V154" s="147">
        <v>64877</v>
      </c>
      <c r="W154" s="146">
        <v>77816</v>
      </c>
      <c r="X154" s="208">
        <v>313</v>
      </c>
      <c r="Y154" s="147">
        <v>4428</v>
      </c>
      <c r="Z154" s="146">
        <v>5057</v>
      </c>
      <c r="AA154" s="147">
        <v>10992</v>
      </c>
      <c r="AB154" s="146">
        <v>12830</v>
      </c>
      <c r="AC154" s="147">
        <v>3868</v>
      </c>
      <c r="AD154" s="146">
        <v>4035</v>
      </c>
      <c r="AE154" s="147">
        <v>20461</v>
      </c>
      <c r="AF154" s="146">
        <v>24670</v>
      </c>
      <c r="AG154" s="147">
        <v>11759</v>
      </c>
      <c r="AH154" s="146">
        <v>12901</v>
      </c>
      <c r="AI154" s="147"/>
      <c r="AJ154" s="146"/>
      <c r="AK154" s="147">
        <v>9677</v>
      </c>
      <c r="AL154" s="146">
        <v>9830</v>
      </c>
      <c r="AM154" s="207">
        <v>313</v>
      </c>
    </row>
    <row r="155" spans="1:39" ht="24" customHeight="1">
      <c r="A155" s="211">
        <v>314</v>
      </c>
      <c r="B155" s="210">
        <v>18890</v>
      </c>
      <c r="C155" s="210">
        <v>43754</v>
      </c>
      <c r="D155" s="209">
        <v>68</v>
      </c>
      <c r="E155" s="3" t="s">
        <v>61</v>
      </c>
      <c r="F155" s="143" t="s">
        <v>116</v>
      </c>
      <c r="G155" s="142">
        <v>26.623795745276947</v>
      </c>
      <c r="H155" s="5" t="s">
        <v>64</v>
      </c>
      <c r="I155" s="141" t="s">
        <v>62</v>
      </c>
      <c r="J155" s="147">
        <v>64129</v>
      </c>
      <c r="K155" s="146">
        <v>84791</v>
      </c>
      <c r="L155" s="147">
        <v>24645</v>
      </c>
      <c r="M155" s="146">
        <v>34815</v>
      </c>
      <c r="N155" s="147">
        <v>10683</v>
      </c>
      <c r="O155" s="146">
        <v>12236</v>
      </c>
      <c r="P155" s="147">
        <v>3886</v>
      </c>
      <c r="Q155" s="146">
        <v>5455</v>
      </c>
      <c r="R155" s="147">
        <v>215797</v>
      </c>
      <c r="S155" s="146">
        <v>209006</v>
      </c>
      <c r="T155" s="147">
        <v>81766</v>
      </c>
      <c r="U155" s="146">
        <v>98298</v>
      </c>
      <c r="V155" s="147">
        <v>207819</v>
      </c>
      <c r="W155" s="146">
        <v>258446</v>
      </c>
      <c r="X155" s="208">
        <v>314</v>
      </c>
      <c r="Y155" s="147">
        <v>2580</v>
      </c>
      <c r="Z155" s="146">
        <v>2974</v>
      </c>
      <c r="AA155" s="147">
        <v>3078</v>
      </c>
      <c r="AB155" s="146">
        <v>4402</v>
      </c>
      <c r="AC155" s="147">
        <v>968.8</v>
      </c>
      <c r="AD155" s="146">
        <v>817</v>
      </c>
      <c r="AE155" s="147">
        <v>5173</v>
      </c>
      <c r="AF155" s="146">
        <v>5960</v>
      </c>
      <c r="AG155" s="147">
        <v>20868</v>
      </c>
      <c r="AH155" s="146">
        <v>17784</v>
      </c>
      <c r="AI155" s="147"/>
      <c r="AJ155" s="146"/>
      <c r="AK155" s="147">
        <v>2859</v>
      </c>
      <c r="AL155" s="146">
        <v>2603</v>
      </c>
      <c r="AM155" s="207">
        <v>314</v>
      </c>
    </row>
    <row r="156" spans="1:39" ht="24" customHeight="1">
      <c r="A156" s="196">
        <v>315</v>
      </c>
      <c r="B156" s="180">
        <v>24014</v>
      </c>
      <c r="C156" s="180">
        <v>43757</v>
      </c>
      <c r="D156" s="179">
        <v>54</v>
      </c>
      <c r="E156" s="3" t="s">
        <v>61</v>
      </c>
      <c r="F156" s="143" t="s">
        <v>116</v>
      </c>
      <c r="G156" s="142">
        <v>27.529838240826241</v>
      </c>
      <c r="H156" s="11" t="s">
        <v>59</v>
      </c>
      <c r="I156" s="141" t="s">
        <v>62</v>
      </c>
      <c r="J156" s="147">
        <v>49311</v>
      </c>
      <c r="K156" s="146">
        <v>77642</v>
      </c>
      <c r="L156" s="147">
        <v>11567</v>
      </c>
      <c r="M156" s="146">
        <v>32800</v>
      </c>
      <c r="N156" s="147">
        <v>42506</v>
      </c>
      <c r="O156" s="146">
        <v>41394</v>
      </c>
      <c r="P156" s="147">
        <v>8536</v>
      </c>
      <c r="Q156" s="146">
        <v>14674</v>
      </c>
      <c r="R156" s="147">
        <v>171552</v>
      </c>
      <c r="S156" s="146">
        <v>187656</v>
      </c>
      <c r="T156" s="147">
        <v>133242</v>
      </c>
      <c r="U156" s="146">
        <v>232192</v>
      </c>
      <c r="V156" s="147">
        <v>73848</v>
      </c>
      <c r="W156" s="146">
        <v>103321</v>
      </c>
      <c r="X156" s="195">
        <v>315</v>
      </c>
      <c r="Y156" s="147">
        <v>3371</v>
      </c>
      <c r="Z156" s="146">
        <v>3052</v>
      </c>
      <c r="AA156" s="147">
        <v>2875</v>
      </c>
      <c r="AB156" s="146">
        <v>5731</v>
      </c>
      <c r="AC156" s="147">
        <v>2216</v>
      </c>
      <c r="AD156" s="146">
        <v>1891</v>
      </c>
      <c r="AE156" s="147">
        <v>7908</v>
      </c>
      <c r="AF156" s="146">
        <v>11540</v>
      </c>
      <c r="AG156" s="147">
        <v>13853</v>
      </c>
      <c r="AH156" s="146">
        <v>12536</v>
      </c>
      <c r="AI156" s="147"/>
      <c r="AJ156" s="146"/>
      <c r="AK156" s="147">
        <v>2246</v>
      </c>
      <c r="AL156" s="146">
        <v>1681</v>
      </c>
      <c r="AM156" s="194">
        <v>315</v>
      </c>
    </row>
    <row r="157" spans="1:39" ht="24" customHeight="1">
      <c r="A157" s="199">
        <v>316</v>
      </c>
      <c r="B157" s="190">
        <v>25746</v>
      </c>
      <c r="C157" s="190">
        <v>43757</v>
      </c>
      <c r="D157" s="189">
        <v>49</v>
      </c>
      <c r="E157" s="4" t="s">
        <v>58</v>
      </c>
      <c r="F157" s="143" t="s">
        <v>116</v>
      </c>
      <c r="G157" s="142">
        <v>29.631620177813716</v>
      </c>
      <c r="H157" s="11" t="s">
        <v>59</v>
      </c>
      <c r="I157" s="141" t="s">
        <v>62</v>
      </c>
      <c r="J157" s="147">
        <v>23767</v>
      </c>
      <c r="K157" s="146">
        <v>40238</v>
      </c>
      <c r="L157" s="147">
        <v>9486</v>
      </c>
      <c r="M157" s="146">
        <v>16284</v>
      </c>
      <c r="N157" s="147">
        <v>17170</v>
      </c>
      <c r="O157" s="146">
        <v>22648</v>
      </c>
      <c r="P157" s="147">
        <v>673</v>
      </c>
      <c r="Q157" s="146">
        <v>3684</v>
      </c>
      <c r="R157" s="147">
        <v>62727</v>
      </c>
      <c r="S157" s="146">
        <v>79910</v>
      </c>
      <c r="T157" s="147">
        <v>71288</v>
      </c>
      <c r="U157" s="146">
        <v>108355</v>
      </c>
      <c r="V157" s="147">
        <v>64784</v>
      </c>
      <c r="W157" s="146">
        <v>88364</v>
      </c>
      <c r="X157" s="198">
        <v>316</v>
      </c>
      <c r="Y157" s="147">
        <v>1211</v>
      </c>
      <c r="Z157" s="146">
        <v>1205</v>
      </c>
      <c r="AA157" s="147">
        <v>3393</v>
      </c>
      <c r="AB157" s="146">
        <v>1865</v>
      </c>
      <c r="AC157" s="147">
        <v>2204</v>
      </c>
      <c r="AD157" s="146">
        <v>2394</v>
      </c>
      <c r="AE157" s="147">
        <v>5383</v>
      </c>
      <c r="AF157" s="146">
        <v>3042</v>
      </c>
      <c r="AG157" s="147">
        <v>2635</v>
      </c>
      <c r="AH157" s="146">
        <v>3198</v>
      </c>
      <c r="AI157" s="147"/>
      <c r="AJ157" s="146"/>
      <c r="AK157" s="147">
        <v>699.9</v>
      </c>
      <c r="AL157" s="146">
        <v>768.4</v>
      </c>
      <c r="AM157" s="197">
        <v>316</v>
      </c>
    </row>
    <row r="158" spans="1:39" ht="24" customHeight="1">
      <c r="A158" s="196">
        <v>317</v>
      </c>
      <c r="B158" s="180">
        <v>23796</v>
      </c>
      <c r="C158" s="180">
        <v>43753</v>
      </c>
      <c r="D158" s="179">
        <v>54</v>
      </c>
      <c r="E158" s="3" t="s">
        <v>61</v>
      </c>
      <c r="F158" s="143" t="s">
        <v>116</v>
      </c>
      <c r="G158" s="142">
        <v>25.668993778941012</v>
      </c>
      <c r="H158" s="11" t="s">
        <v>59</v>
      </c>
      <c r="I158" s="141" t="s">
        <v>62</v>
      </c>
      <c r="J158" s="147">
        <v>38249</v>
      </c>
      <c r="K158" s="146">
        <v>126280</v>
      </c>
      <c r="L158" s="147">
        <v>15268</v>
      </c>
      <c r="M158" s="146">
        <v>66892</v>
      </c>
      <c r="N158" s="147">
        <v>30102</v>
      </c>
      <c r="O158" s="146">
        <v>56776</v>
      </c>
      <c r="P158" s="147">
        <v>3544</v>
      </c>
      <c r="Q158" s="146">
        <v>11898</v>
      </c>
      <c r="R158" s="147">
        <v>115565</v>
      </c>
      <c r="S158" s="146">
        <v>183174</v>
      </c>
      <c r="T158" s="147">
        <v>114624</v>
      </c>
      <c r="U158" s="146">
        <v>168616</v>
      </c>
      <c r="V158" s="147">
        <v>106556</v>
      </c>
      <c r="W158" s="146">
        <v>163875</v>
      </c>
      <c r="X158" s="195">
        <v>317</v>
      </c>
      <c r="Y158" s="147">
        <v>1081</v>
      </c>
      <c r="Z158" s="146">
        <v>3347</v>
      </c>
      <c r="AA158" s="147">
        <v>1476</v>
      </c>
      <c r="AB158" s="146">
        <v>3406</v>
      </c>
      <c r="AC158" s="147">
        <v>6584</v>
      </c>
      <c r="AD158" s="146">
        <v>18432</v>
      </c>
      <c r="AE158" s="147">
        <v>6963</v>
      </c>
      <c r="AF158" s="146">
        <v>18237</v>
      </c>
      <c r="AG158" s="147">
        <v>23772</v>
      </c>
      <c r="AH158" s="146">
        <v>58234</v>
      </c>
      <c r="AI158" s="147"/>
      <c r="AJ158" s="146"/>
      <c r="AK158" s="147">
        <v>5697</v>
      </c>
      <c r="AL158" s="146">
        <v>10575</v>
      </c>
      <c r="AM158" s="194">
        <v>317</v>
      </c>
    </row>
    <row r="159" spans="1:39" ht="24" customHeight="1">
      <c r="A159" s="196">
        <v>318</v>
      </c>
      <c r="B159" s="180">
        <v>23614</v>
      </c>
      <c r="C159" s="180">
        <v>43755</v>
      </c>
      <c r="D159" s="179">
        <v>55</v>
      </c>
      <c r="E159" s="4" t="s">
        <v>58</v>
      </c>
      <c r="F159" s="143" t="s">
        <v>116</v>
      </c>
      <c r="G159" s="142">
        <v>24.769616583656692</v>
      </c>
      <c r="H159" s="11" t="s">
        <v>59</v>
      </c>
      <c r="I159" s="141" t="s">
        <v>62</v>
      </c>
      <c r="J159" s="147">
        <v>62841</v>
      </c>
      <c r="K159" s="146">
        <v>222458</v>
      </c>
      <c r="L159" s="147">
        <v>18697</v>
      </c>
      <c r="M159" s="146">
        <v>122117</v>
      </c>
      <c r="N159" s="147">
        <v>25260</v>
      </c>
      <c r="O159" s="146">
        <v>25364</v>
      </c>
      <c r="P159" s="147">
        <v>5675</v>
      </c>
      <c r="Q159" s="146">
        <v>7807</v>
      </c>
      <c r="R159" s="147">
        <v>64065</v>
      </c>
      <c r="S159" s="146">
        <v>297083</v>
      </c>
      <c r="T159" s="147">
        <v>51174</v>
      </c>
      <c r="U159" s="146">
        <v>212477</v>
      </c>
      <c r="V159" s="147">
        <v>36151</v>
      </c>
      <c r="W159" s="146">
        <v>156737</v>
      </c>
      <c r="X159" s="195">
        <v>318</v>
      </c>
      <c r="Y159" s="147">
        <v>2731</v>
      </c>
      <c r="Z159" s="146">
        <v>19482</v>
      </c>
      <c r="AA159" s="147">
        <v>1860</v>
      </c>
      <c r="AB159" s="146">
        <v>20098</v>
      </c>
      <c r="AC159" s="147">
        <v>893.4</v>
      </c>
      <c r="AD159" s="146">
        <v>6256</v>
      </c>
      <c r="AE159" s="147">
        <v>3529</v>
      </c>
      <c r="AF159" s="146">
        <v>14612</v>
      </c>
      <c r="AG159" s="147">
        <v>11225</v>
      </c>
      <c r="AH159" s="146">
        <v>79651</v>
      </c>
      <c r="AI159" s="147"/>
      <c r="AJ159" s="146"/>
      <c r="AK159" s="147">
        <v>3606</v>
      </c>
      <c r="AL159" s="146">
        <v>18689</v>
      </c>
      <c r="AM159" s="194">
        <v>318</v>
      </c>
    </row>
    <row r="160" spans="1:39" ht="24" customHeight="1">
      <c r="A160" s="211">
        <v>319</v>
      </c>
      <c r="B160" s="210">
        <v>18830</v>
      </c>
      <c r="C160" s="210">
        <v>43761</v>
      </c>
      <c r="D160" s="209">
        <v>68</v>
      </c>
      <c r="E160" s="3" t="s">
        <v>61</v>
      </c>
      <c r="F160" s="143" t="s">
        <v>116</v>
      </c>
      <c r="G160" s="142">
        <v>31.149685618730423</v>
      </c>
      <c r="H160" s="5" t="s">
        <v>64</v>
      </c>
      <c r="I160" s="141" t="s">
        <v>62</v>
      </c>
      <c r="J160" s="147">
        <v>143153</v>
      </c>
      <c r="K160" s="146">
        <v>407908</v>
      </c>
      <c r="L160" s="147">
        <v>34432</v>
      </c>
      <c r="M160" s="146">
        <v>152510</v>
      </c>
      <c r="N160" s="147">
        <v>267017</v>
      </c>
      <c r="O160" s="146">
        <v>670319</v>
      </c>
      <c r="P160" s="147">
        <v>23196</v>
      </c>
      <c r="Q160" s="146">
        <v>100078</v>
      </c>
      <c r="R160" s="147">
        <v>280438</v>
      </c>
      <c r="S160" s="146">
        <v>513844</v>
      </c>
      <c r="T160" s="147">
        <v>136786</v>
      </c>
      <c r="U160" s="146">
        <v>167919</v>
      </c>
      <c r="V160" s="147">
        <v>141854</v>
      </c>
      <c r="W160" s="146">
        <v>237222</v>
      </c>
      <c r="X160" s="208">
        <v>319</v>
      </c>
      <c r="Y160" s="147">
        <v>3766</v>
      </c>
      <c r="Z160" s="146">
        <v>3766</v>
      </c>
      <c r="AA160" s="147">
        <v>4406</v>
      </c>
      <c r="AB160" s="146">
        <v>5475</v>
      </c>
      <c r="AC160" s="147">
        <v>3474</v>
      </c>
      <c r="AD160" s="146">
        <v>4354</v>
      </c>
      <c r="AE160" s="147">
        <v>8999</v>
      </c>
      <c r="AF160" s="146">
        <v>8279</v>
      </c>
      <c r="AG160" s="147">
        <v>7932</v>
      </c>
      <c r="AH160" s="146">
        <v>9857</v>
      </c>
      <c r="AI160" s="147"/>
      <c r="AJ160" s="146"/>
      <c r="AK160" s="147">
        <v>1420</v>
      </c>
      <c r="AL160" s="146">
        <v>2008</v>
      </c>
      <c r="AM160" s="207">
        <v>319</v>
      </c>
    </row>
    <row r="161" spans="1:39" ht="24" customHeight="1">
      <c r="A161" s="211">
        <v>320</v>
      </c>
      <c r="B161" s="210">
        <v>18364</v>
      </c>
      <c r="C161" s="210">
        <v>43760</v>
      </c>
      <c r="D161" s="209">
        <v>69</v>
      </c>
      <c r="E161" s="3" t="s">
        <v>61</v>
      </c>
      <c r="F161" s="143" t="s">
        <v>116</v>
      </c>
      <c r="G161" s="142">
        <v>25.886346977354265</v>
      </c>
      <c r="H161" s="5" t="s">
        <v>64</v>
      </c>
      <c r="I161" s="141" t="s">
        <v>62</v>
      </c>
      <c r="J161" s="147">
        <v>99549</v>
      </c>
      <c r="K161" s="146">
        <v>108190</v>
      </c>
      <c r="L161" s="147">
        <v>27511</v>
      </c>
      <c r="M161" s="146">
        <v>47974</v>
      </c>
      <c r="N161" s="147">
        <v>129334</v>
      </c>
      <c r="O161" s="146">
        <v>148992</v>
      </c>
      <c r="P161" s="147">
        <v>14800</v>
      </c>
      <c r="Q161" s="146">
        <v>19500</v>
      </c>
      <c r="R161" s="147">
        <v>265897</v>
      </c>
      <c r="S161" s="146">
        <v>261726</v>
      </c>
      <c r="T161" s="147">
        <v>168186</v>
      </c>
      <c r="U161" s="146">
        <v>164588</v>
      </c>
      <c r="V161" s="147">
        <v>220022</v>
      </c>
      <c r="W161" s="146">
        <v>229642</v>
      </c>
      <c r="X161" s="208">
        <v>320</v>
      </c>
      <c r="Y161" s="147">
        <v>18425</v>
      </c>
      <c r="Z161" s="146">
        <v>23035</v>
      </c>
      <c r="AA161" s="147">
        <v>23913</v>
      </c>
      <c r="AB161" s="146">
        <v>32012</v>
      </c>
      <c r="AC161" s="147">
        <v>3907</v>
      </c>
      <c r="AD161" s="146">
        <v>3304</v>
      </c>
      <c r="AE161" s="147">
        <v>3716</v>
      </c>
      <c r="AF161" s="146">
        <v>4351</v>
      </c>
      <c r="AG161" s="147">
        <v>12329</v>
      </c>
      <c r="AH161" s="146">
        <v>19274</v>
      </c>
      <c r="AI161" s="147"/>
      <c r="AJ161" s="146"/>
      <c r="AK161" s="147">
        <v>3186</v>
      </c>
      <c r="AL161" s="146">
        <v>3509</v>
      </c>
      <c r="AM161" s="207">
        <v>320</v>
      </c>
    </row>
    <row r="162" spans="1:39" ht="24" customHeight="1">
      <c r="A162" s="196">
        <v>321</v>
      </c>
      <c r="B162" s="180">
        <v>25169</v>
      </c>
      <c r="C162" s="180">
        <v>43748</v>
      </c>
      <c r="D162" s="179">
        <v>50</v>
      </c>
      <c r="E162" s="3" t="s">
        <v>61</v>
      </c>
      <c r="F162" s="143" t="s">
        <v>124</v>
      </c>
      <c r="G162" s="142">
        <v>25.656844244447672</v>
      </c>
      <c r="H162" s="11" t="s">
        <v>59</v>
      </c>
      <c r="I162" s="141" t="s">
        <v>62</v>
      </c>
      <c r="J162" s="147">
        <v>214509</v>
      </c>
      <c r="K162" s="146">
        <v>325308</v>
      </c>
      <c r="L162" s="147">
        <v>67850</v>
      </c>
      <c r="M162" s="146">
        <v>107687</v>
      </c>
      <c r="N162" s="147">
        <v>83113</v>
      </c>
      <c r="O162" s="146">
        <v>124196</v>
      </c>
      <c r="P162" s="147">
        <v>6045</v>
      </c>
      <c r="Q162" s="146">
        <v>13899</v>
      </c>
      <c r="R162" s="147">
        <v>122656</v>
      </c>
      <c r="S162" s="146">
        <v>295105</v>
      </c>
      <c r="T162" s="147">
        <v>85221</v>
      </c>
      <c r="U162" s="146">
        <v>178175</v>
      </c>
      <c r="V162" s="147">
        <v>119142</v>
      </c>
      <c r="W162" s="146">
        <v>213191</v>
      </c>
      <c r="X162" s="195">
        <v>321</v>
      </c>
      <c r="Y162" s="147">
        <v>308.7</v>
      </c>
      <c r="Z162" s="146">
        <v>1031</v>
      </c>
      <c r="AA162" s="147">
        <v>746.9</v>
      </c>
      <c r="AB162" s="146">
        <v>756.2</v>
      </c>
      <c r="AC162" s="147">
        <v>990.6</v>
      </c>
      <c r="AD162" s="146">
        <v>696.6</v>
      </c>
      <c r="AE162" s="147">
        <v>2982</v>
      </c>
      <c r="AF162" s="146">
        <v>4359</v>
      </c>
      <c r="AG162" s="147">
        <v>2479</v>
      </c>
      <c r="AH162" s="146">
        <v>6735</v>
      </c>
      <c r="AI162" s="147"/>
      <c r="AJ162" s="146"/>
      <c r="AK162" s="147">
        <v>981.8</v>
      </c>
      <c r="AL162" s="146">
        <v>4062</v>
      </c>
      <c r="AM162" s="194">
        <v>321</v>
      </c>
    </row>
    <row r="163" spans="1:39" ht="24" customHeight="1">
      <c r="A163" s="199">
        <v>322</v>
      </c>
      <c r="B163" s="190">
        <v>27786</v>
      </c>
      <c r="C163" s="190">
        <v>43755</v>
      </c>
      <c r="D163" s="189">
        <v>43</v>
      </c>
      <c r="E163" s="3" t="s">
        <v>61</v>
      </c>
      <c r="F163" s="143" t="s">
        <v>116</v>
      </c>
      <c r="G163" s="142">
        <v>48.742449735274668</v>
      </c>
      <c r="H163" s="11" t="s">
        <v>59</v>
      </c>
      <c r="I163" s="141" t="s">
        <v>62</v>
      </c>
      <c r="J163" s="147">
        <v>254631</v>
      </c>
      <c r="K163" s="146">
        <v>334279</v>
      </c>
      <c r="L163" s="147">
        <v>68445</v>
      </c>
      <c r="M163" s="146">
        <v>94852</v>
      </c>
      <c r="N163" s="147">
        <v>251548</v>
      </c>
      <c r="O163" s="146">
        <v>316416</v>
      </c>
      <c r="P163" s="147">
        <v>16636</v>
      </c>
      <c r="Q163" s="146">
        <v>22106</v>
      </c>
      <c r="R163" s="147">
        <v>1093803</v>
      </c>
      <c r="S163" s="146">
        <v>1467573</v>
      </c>
      <c r="T163" s="147">
        <v>233894</v>
      </c>
      <c r="U163" s="146">
        <v>360514</v>
      </c>
      <c r="V163" s="147">
        <v>910994</v>
      </c>
      <c r="W163" s="146">
        <v>1790305</v>
      </c>
      <c r="X163" s="198">
        <v>322</v>
      </c>
      <c r="Y163" s="147">
        <v>2386</v>
      </c>
      <c r="Z163" s="146">
        <v>3086</v>
      </c>
      <c r="AA163" s="147">
        <v>3586</v>
      </c>
      <c r="AB163" s="146">
        <v>4862</v>
      </c>
      <c r="AC163" s="147">
        <v>2267</v>
      </c>
      <c r="AD163" s="146">
        <v>1736</v>
      </c>
      <c r="AE163" s="147">
        <v>4889</v>
      </c>
      <c r="AF163" s="146">
        <v>5925</v>
      </c>
      <c r="AG163" s="147">
        <v>15634</v>
      </c>
      <c r="AH163" s="146">
        <v>19398</v>
      </c>
      <c r="AI163" s="147"/>
      <c r="AJ163" s="146"/>
      <c r="AK163" s="147">
        <v>1876</v>
      </c>
      <c r="AL163" s="146">
        <v>2689</v>
      </c>
      <c r="AM163" s="197">
        <v>322</v>
      </c>
    </row>
    <row r="164" spans="1:39" ht="24" customHeight="1">
      <c r="A164" s="211">
        <v>323</v>
      </c>
      <c r="B164" s="210">
        <v>19828</v>
      </c>
      <c r="C164" s="210">
        <v>43767</v>
      </c>
      <c r="D164" s="209">
        <v>65</v>
      </c>
      <c r="E164" s="3" t="s">
        <v>61</v>
      </c>
      <c r="F164" s="143" t="s">
        <v>116</v>
      </c>
      <c r="G164" s="142">
        <v>29.197504124766056</v>
      </c>
      <c r="H164" s="5" t="s">
        <v>64</v>
      </c>
      <c r="I164" s="141" t="s">
        <v>62</v>
      </c>
      <c r="J164" s="147">
        <v>244491</v>
      </c>
      <c r="K164" s="146">
        <v>240515</v>
      </c>
      <c r="L164" s="147">
        <v>47082</v>
      </c>
      <c r="M164" s="146">
        <v>69717</v>
      </c>
      <c r="N164" s="147">
        <v>211418</v>
      </c>
      <c r="O164" s="146">
        <v>665034</v>
      </c>
      <c r="P164" s="147">
        <v>15711</v>
      </c>
      <c r="Q164" s="146">
        <v>116866</v>
      </c>
      <c r="R164" s="147">
        <v>380203</v>
      </c>
      <c r="S164" s="146">
        <v>355903</v>
      </c>
      <c r="T164" s="147">
        <v>126481</v>
      </c>
      <c r="U164" s="146">
        <v>139177</v>
      </c>
      <c r="V164" s="147">
        <v>141919</v>
      </c>
      <c r="W164" s="146">
        <v>128057</v>
      </c>
      <c r="X164" s="208">
        <v>323</v>
      </c>
      <c r="Y164" s="147">
        <v>9534</v>
      </c>
      <c r="Z164" s="146">
        <v>9534</v>
      </c>
      <c r="AA164" s="147">
        <v>8219</v>
      </c>
      <c r="AB164" s="146">
        <v>8205</v>
      </c>
      <c r="AC164" s="147">
        <v>9247</v>
      </c>
      <c r="AD164" s="146">
        <v>33706</v>
      </c>
      <c r="AE164" s="147">
        <v>12422</v>
      </c>
      <c r="AF164" s="146">
        <v>21298</v>
      </c>
      <c r="AG164" s="147">
        <v>83365</v>
      </c>
      <c r="AH164" s="146">
        <v>65119</v>
      </c>
      <c r="AI164" s="147"/>
      <c r="AJ164" s="146"/>
      <c r="AK164" s="147">
        <v>19848</v>
      </c>
      <c r="AL164" s="146">
        <v>20531</v>
      </c>
      <c r="AM164" s="207">
        <v>323</v>
      </c>
    </row>
    <row r="165" spans="1:39" ht="24" customHeight="1">
      <c r="A165" s="196">
        <v>324</v>
      </c>
      <c r="B165" s="180">
        <v>20139</v>
      </c>
      <c r="C165" s="180">
        <v>43776</v>
      </c>
      <c r="D165" s="179">
        <v>64</v>
      </c>
      <c r="E165" s="3" t="s">
        <v>61</v>
      </c>
      <c r="F165" s="143" t="s">
        <v>116</v>
      </c>
      <c r="G165" s="142">
        <v>28.895290026739421</v>
      </c>
      <c r="H165" s="11" t="s">
        <v>59</v>
      </c>
      <c r="I165" s="141" t="s">
        <v>62</v>
      </c>
      <c r="J165" s="147">
        <v>8938</v>
      </c>
      <c r="K165" s="146">
        <v>51586</v>
      </c>
      <c r="L165" s="147">
        <v>11348</v>
      </c>
      <c r="M165" s="146">
        <v>22606</v>
      </c>
      <c r="N165" s="147">
        <v>2724</v>
      </c>
      <c r="O165" s="146">
        <v>21969</v>
      </c>
      <c r="P165" s="147">
        <v>6106</v>
      </c>
      <c r="Q165" s="146">
        <v>5478</v>
      </c>
      <c r="R165" s="147">
        <v>173289</v>
      </c>
      <c r="S165" s="146">
        <v>534660</v>
      </c>
      <c r="T165" s="147">
        <v>87250</v>
      </c>
      <c r="U165" s="146">
        <v>264522</v>
      </c>
      <c r="V165" s="147">
        <v>101157</v>
      </c>
      <c r="W165" s="146">
        <v>577685</v>
      </c>
      <c r="X165" s="195">
        <v>324</v>
      </c>
      <c r="Y165" s="147">
        <v>27650</v>
      </c>
      <c r="Z165" s="146">
        <v>38981</v>
      </c>
      <c r="AA165" s="147">
        <v>32627</v>
      </c>
      <c r="AB165" s="146">
        <v>127011</v>
      </c>
      <c r="AC165" s="147">
        <v>1887</v>
      </c>
      <c r="AD165" s="146">
        <v>3183</v>
      </c>
      <c r="AE165" s="147">
        <v>2722</v>
      </c>
      <c r="AF165" s="146">
        <v>5037</v>
      </c>
      <c r="AG165" s="147">
        <v>17449</v>
      </c>
      <c r="AH165" s="146">
        <v>27573</v>
      </c>
      <c r="AI165" s="147"/>
      <c r="AJ165" s="146"/>
      <c r="AK165" s="147">
        <v>3290</v>
      </c>
      <c r="AL165" s="146">
        <v>5222</v>
      </c>
      <c r="AM165" s="194">
        <v>324</v>
      </c>
    </row>
    <row r="166" spans="1:39" ht="24" customHeight="1">
      <c r="A166" s="211">
        <v>325</v>
      </c>
      <c r="B166" s="210">
        <v>16280</v>
      </c>
      <c r="C166" s="210">
        <v>43754</v>
      </c>
      <c r="D166" s="209">
        <v>75</v>
      </c>
      <c r="E166" s="4" t="s">
        <v>58</v>
      </c>
      <c r="F166" s="143" t="s">
        <v>116</v>
      </c>
      <c r="G166" s="142">
        <v>24.913494809688583</v>
      </c>
      <c r="H166" s="5" t="s">
        <v>64</v>
      </c>
      <c r="I166" s="141" t="s">
        <v>62</v>
      </c>
      <c r="J166" s="147">
        <v>73853</v>
      </c>
      <c r="K166" s="146">
        <v>134862</v>
      </c>
      <c r="L166" s="147">
        <v>24092</v>
      </c>
      <c r="M166" s="146">
        <v>36225</v>
      </c>
      <c r="N166" s="147">
        <v>176181</v>
      </c>
      <c r="O166" s="146">
        <v>272047</v>
      </c>
      <c r="P166" s="147">
        <v>13899</v>
      </c>
      <c r="Q166" s="146">
        <v>25384</v>
      </c>
      <c r="R166" s="147">
        <v>230016</v>
      </c>
      <c r="S166" s="146">
        <v>373492</v>
      </c>
      <c r="T166" s="147">
        <v>71827</v>
      </c>
      <c r="U166" s="146">
        <v>100786</v>
      </c>
      <c r="V166" s="147">
        <v>127399</v>
      </c>
      <c r="W166" s="146">
        <v>205372</v>
      </c>
      <c r="X166" s="208">
        <v>325</v>
      </c>
      <c r="Y166" s="147">
        <v>3304</v>
      </c>
      <c r="Z166" s="146">
        <v>5806</v>
      </c>
      <c r="AA166" s="147">
        <v>5473</v>
      </c>
      <c r="AB166" s="146">
        <v>6063</v>
      </c>
      <c r="AC166" s="147">
        <v>2080</v>
      </c>
      <c r="AD166" s="146">
        <v>2280</v>
      </c>
      <c r="AE166" s="147">
        <v>3661</v>
      </c>
      <c r="AF166" s="146">
        <v>3081</v>
      </c>
      <c r="AG166" s="147">
        <v>9824</v>
      </c>
      <c r="AH166" s="146">
        <v>9276</v>
      </c>
      <c r="AI166" s="147"/>
      <c r="AJ166" s="146"/>
      <c r="AK166" s="147">
        <v>3079</v>
      </c>
      <c r="AL166" s="146">
        <v>6668</v>
      </c>
      <c r="AM166" s="207">
        <v>325</v>
      </c>
    </row>
    <row r="167" spans="1:39" ht="24" customHeight="1">
      <c r="A167" s="211">
        <v>326</v>
      </c>
      <c r="B167" s="210">
        <v>17517</v>
      </c>
      <c r="C167" s="210">
        <v>43763</v>
      </c>
      <c r="D167" s="209">
        <v>71</v>
      </c>
      <c r="E167" s="4" t="s">
        <v>58</v>
      </c>
      <c r="F167" s="143" t="s">
        <v>116</v>
      </c>
      <c r="G167" s="142">
        <v>23.827706442656627</v>
      </c>
      <c r="H167" s="5" t="s">
        <v>64</v>
      </c>
      <c r="I167" s="141" t="s">
        <v>62</v>
      </c>
      <c r="J167" s="147">
        <v>351650</v>
      </c>
      <c r="K167" s="146">
        <v>367305</v>
      </c>
      <c r="L167" s="147">
        <v>91727</v>
      </c>
      <c r="M167" s="146">
        <v>101467</v>
      </c>
      <c r="N167" s="147">
        <v>276688</v>
      </c>
      <c r="O167" s="146">
        <v>241834</v>
      </c>
      <c r="P167" s="147">
        <v>15232</v>
      </c>
      <c r="Q167" s="146">
        <v>19184</v>
      </c>
      <c r="R167" s="147">
        <v>565204</v>
      </c>
      <c r="S167" s="146">
        <v>519359</v>
      </c>
      <c r="T167" s="147">
        <v>133811</v>
      </c>
      <c r="U167" s="146">
        <v>119110</v>
      </c>
      <c r="V167" s="147">
        <v>576419</v>
      </c>
      <c r="W167" s="146">
        <v>687927</v>
      </c>
      <c r="X167" s="208">
        <v>326</v>
      </c>
      <c r="Y167" s="147">
        <v>3876</v>
      </c>
      <c r="Z167" s="146">
        <v>3992</v>
      </c>
      <c r="AA167" s="147">
        <v>6709</v>
      </c>
      <c r="AB167" s="146">
        <v>7647</v>
      </c>
      <c r="AC167" s="147">
        <v>1068</v>
      </c>
      <c r="AD167" s="146">
        <v>1267</v>
      </c>
      <c r="AE167" s="147">
        <v>5026</v>
      </c>
      <c r="AF167" s="146">
        <v>6031</v>
      </c>
      <c r="AG167" s="147">
        <v>5865</v>
      </c>
      <c r="AH167" s="146">
        <v>5089</v>
      </c>
      <c r="AI167" s="147"/>
      <c r="AJ167" s="146"/>
      <c r="AK167" s="147">
        <v>1415</v>
      </c>
      <c r="AL167" s="146">
        <v>2123</v>
      </c>
      <c r="AM167" s="207">
        <v>326</v>
      </c>
    </row>
    <row r="168" spans="1:39" ht="24" customHeight="1">
      <c r="A168" s="199">
        <v>327</v>
      </c>
      <c r="B168" s="190">
        <v>25703</v>
      </c>
      <c r="C168" s="190">
        <v>43768</v>
      </c>
      <c r="D168" s="189">
        <v>49</v>
      </c>
      <c r="E168" s="3" t="s">
        <v>61</v>
      </c>
      <c r="F168" s="143" t="s">
        <v>117</v>
      </c>
      <c r="G168" s="142">
        <v>32.094674556213015</v>
      </c>
      <c r="H168" s="11" t="s">
        <v>59</v>
      </c>
      <c r="I168" s="141" t="s">
        <v>62</v>
      </c>
      <c r="J168" s="147">
        <v>250360</v>
      </c>
      <c r="K168" s="146">
        <v>349381</v>
      </c>
      <c r="L168" s="147">
        <v>64454</v>
      </c>
      <c r="M168" s="146">
        <v>121803</v>
      </c>
      <c r="N168" s="147">
        <v>255969</v>
      </c>
      <c r="O168" s="146">
        <v>278747</v>
      </c>
      <c r="P168" s="147">
        <v>19079</v>
      </c>
      <c r="Q168" s="146">
        <v>32853</v>
      </c>
      <c r="R168" s="147">
        <v>748179</v>
      </c>
      <c r="S168" s="146">
        <v>863277</v>
      </c>
      <c r="T168" s="147">
        <v>253358</v>
      </c>
      <c r="U168" s="146">
        <v>254307</v>
      </c>
      <c r="V168" s="147">
        <v>581203</v>
      </c>
      <c r="W168" s="146">
        <v>754463</v>
      </c>
      <c r="X168" s="198">
        <v>327</v>
      </c>
      <c r="Y168" s="147">
        <v>9125</v>
      </c>
      <c r="Z168" s="146">
        <v>9125</v>
      </c>
      <c r="AA168" s="147">
        <v>10269</v>
      </c>
      <c r="AB168" s="146">
        <v>12347</v>
      </c>
      <c r="AC168" s="147">
        <v>16368</v>
      </c>
      <c r="AD168" s="146">
        <v>19807</v>
      </c>
      <c r="AE168" s="147">
        <v>21799</v>
      </c>
      <c r="AF168" s="146">
        <v>46007</v>
      </c>
      <c r="AG168" s="147">
        <v>86169</v>
      </c>
      <c r="AH168" s="146">
        <v>43567</v>
      </c>
      <c r="AI168" s="147"/>
      <c r="AJ168" s="146"/>
      <c r="AK168" s="147">
        <v>7871</v>
      </c>
      <c r="AL168" s="146">
        <v>10843</v>
      </c>
      <c r="AM168" s="197">
        <v>327</v>
      </c>
    </row>
    <row r="169" spans="1:39" ht="24" customHeight="1">
      <c r="A169" s="199">
        <v>328</v>
      </c>
      <c r="B169" s="190">
        <v>26735</v>
      </c>
      <c r="C169" s="190">
        <v>43760</v>
      </c>
      <c r="D169" s="189">
        <v>46</v>
      </c>
      <c r="E169" s="3" t="s">
        <v>61</v>
      </c>
      <c r="F169" s="143" t="s">
        <v>116</v>
      </c>
      <c r="G169" s="142">
        <v>30.097096684526832</v>
      </c>
      <c r="H169" s="11" t="s">
        <v>59</v>
      </c>
      <c r="I169" s="141" t="s">
        <v>62</v>
      </c>
      <c r="J169" s="147"/>
      <c r="K169" s="146"/>
      <c r="L169" s="147">
        <v>143612</v>
      </c>
      <c r="M169" s="146">
        <v>184605</v>
      </c>
      <c r="N169" s="147"/>
      <c r="O169" s="146"/>
      <c r="P169" s="147">
        <v>56794</v>
      </c>
      <c r="Q169" s="146">
        <v>154572</v>
      </c>
      <c r="R169" s="147"/>
      <c r="S169" s="146"/>
      <c r="T169" s="147">
        <v>63428</v>
      </c>
      <c r="U169" s="146">
        <v>106952</v>
      </c>
      <c r="V169" s="147">
        <v>54723</v>
      </c>
      <c r="W169" s="146">
        <v>153456</v>
      </c>
      <c r="X169" s="198">
        <v>328</v>
      </c>
      <c r="Y169" s="147"/>
      <c r="Z169" s="146"/>
      <c r="AA169" s="147">
        <v>3128</v>
      </c>
      <c r="AB169" s="146">
        <v>4016</v>
      </c>
      <c r="AC169" s="147"/>
      <c r="AD169" s="146"/>
      <c r="AE169" s="147">
        <v>5410</v>
      </c>
      <c r="AF169" s="146">
        <v>12581</v>
      </c>
      <c r="AG169" s="147"/>
      <c r="AH169" s="146"/>
      <c r="AI169" s="147"/>
      <c r="AJ169" s="146"/>
      <c r="AK169" s="147">
        <v>1519</v>
      </c>
      <c r="AL169" s="146">
        <v>2125</v>
      </c>
      <c r="AM169" s="197">
        <v>328</v>
      </c>
    </row>
    <row r="170" spans="1:39" ht="24" customHeight="1">
      <c r="A170" s="199">
        <v>329</v>
      </c>
      <c r="B170" s="190">
        <v>27251</v>
      </c>
      <c r="C170" s="190">
        <v>43792</v>
      </c>
      <c r="D170" s="189">
        <v>45</v>
      </c>
      <c r="E170" s="3" t="s">
        <v>61</v>
      </c>
      <c r="F170" s="143" t="s">
        <v>116</v>
      </c>
      <c r="G170" s="142">
        <v>32.981879634294501</v>
      </c>
      <c r="H170" s="11" t="s">
        <v>59</v>
      </c>
      <c r="I170" s="82" t="s">
        <v>60</v>
      </c>
      <c r="J170" s="147"/>
      <c r="K170" s="146"/>
      <c r="L170" s="147">
        <v>62113</v>
      </c>
      <c r="M170" s="146">
        <v>573123</v>
      </c>
      <c r="N170" s="147"/>
      <c r="O170" s="146"/>
      <c r="P170" s="147">
        <v>45811</v>
      </c>
      <c r="Q170" s="146">
        <v>1959529</v>
      </c>
      <c r="R170" s="147"/>
      <c r="S170" s="146"/>
      <c r="T170" s="147">
        <v>99671</v>
      </c>
      <c r="U170" s="146">
        <v>198685</v>
      </c>
      <c r="V170" s="147">
        <v>60239</v>
      </c>
      <c r="W170" s="146">
        <v>722990</v>
      </c>
      <c r="X170" s="198">
        <v>329</v>
      </c>
      <c r="Y170" s="147"/>
      <c r="Z170" s="146"/>
      <c r="AA170" s="147">
        <v>1311</v>
      </c>
      <c r="AB170" s="146">
        <v>2366</v>
      </c>
      <c r="AC170" s="147"/>
      <c r="AD170" s="146"/>
      <c r="AE170" s="147">
        <v>989.7</v>
      </c>
      <c r="AF170" s="146">
        <v>1327</v>
      </c>
      <c r="AG170" s="147"/>
      <c r="AH170" s="146"/>
      <c r="AI170" s="147"/>
      <c r="AJ170" s="146"/>
      <c r="AK170" s="147">
        <v>1061</v>
      </c>
      <c r="AL170" s="146">
        <v>1919</v>
      </c>
      <c r="AM170" s="197">
        <v>329</v>
      </c>
    </row>
    <row r="171" spans="1:39" ht="24" customHeight="1">
      <c r="A171" s="199">
        <v>330</v>
      </c>
      <c r="B171" s="190">
        <v>29404</v>
      </c>
      <c r="C171" s="190">
        <v>43760</v>
      </c>
      <c r="D171" s="189">
        <v>39</v>
      </c>
      <c r="E171" s="3" t="s">
        <v>61</v>
      </c>
      <c r="F171" s="143" t="s">
        <v>118</v>
      </c>
      <c r="G171" s="142">
        <v>38.607444988905321</v>
      </c>
      <c r="H171" s="11" t="s">
        <v>59</v>
      </c>
      <c r="I171" s="141" t="s">
        <v>62</v>
      </c>
      <c r="J171" s="147"/>
      <c r="K171" s="146"/>
      <c r="L171" s="147">
        <v>37089</v>
      </c>
      <c r="M171" s="146">
        <v>72324</v>
      </c>
      <c r="N171" s="147"/>
      <c r="O171" s="146"/>
      <c r="P171" s="147">
        <v>78671</v>
      </c>
      <c r="Q171" s="146">
        <v>111491</v>
      </c>
      <c r="R171" s="147"/>
      <c r="S171" s="146"/>
      <c r="T171" s="147">
        <v>82589</v>
      </c>
      <c r="U171" s="146">
        <v>111693</v>
      </c>
      <c r="V171" s="147">
        <v>58830</v>
      </c>
      <c r="W171" s="146">
        <v>118237</v>
      </c>
      <c r="X171" s="198">
        <v>330</v>
      </c>
      <c r="Y171" s="147"/>
      <c r="Z171" s="146"/>
      <c r="AA171" s="147">
        <v>2538</v>
      </c>
      <c r="AB171" s="146">
        <v>3918</v>
      </c>
      <c r="AC171" s="147"/>
      <c r="AD171" s="146"/>
      <c r="AE171" s="147">
        <v>1646</v>
      </c>
      <c r="AF171" s="146">
        <v>4008</v>
      </c>
      <c r="AG171" s="147"/>
      <c r="AH171" s="146"/>
      <c r="AI171" s="147"/>
      <c r="AJ171" s="146"/>
      <c r="AK171" s="147">
        <v>7413</v>
      </c>
      <c r="AL171" s="146">
        <v>11952</v>
      </c>
      <c r="AM171" s="197">
        <v>330</v>
      </c>
    </row>
    <row r="172" spans="1:39" ht="24" customHeight="1">
      <c r="A172" s="199">
        <v>331</v>
      </c>
      <c r="B172" s="190">
        <v>26822</v>
      </c>
      <c r="C172" s="190">
        <v>43753</v>
      </c>
      <c r="D172" s="189">
        <v>46</v>
      </c>
      <c r="E172" s="3" t="s">
        <v>61</v>
      </c>
      <c r="F172" s="143" t="s">
        <v>116</v>
      </c>
      <c r="G172" s="142">
        <v>24.124473090873447</v>
      </c>
      <c r="H172" s="11" t="s">
        <v>59</v>
      </c>
      <c r="I172" s="141" t="s">
        <v>62</v>
      </c>
      <c r="J172" s="147"/>
      <c r="K172" s="146"/>
      <c r="L172" s="147">
        <v>62582</v>
      </c>
      <c r="M172" s="146">
        <v>44194</v>
      </c>
      <c r="N172" s="147"/>
      <c r="O172" s="146"/>
      <c r="P172" s="147">
        <v>102446</v>
      </c>
      <c r="Q172" s="146">
        <v>97536</v>
      </c>
      <c r="R172" s="147"/>
      <c r="S172" s="146"/>
      <c r="T172" s="147">
        <v>139942</v>
      </c>
      <c r="U172" s="146">
        <v>138242</v>
      </c>
      <c r="V172" s="147">
        <v>54783</v>
      </c>
      <c r="W172" s="146">
        <v>65781</v>
      </c>
      <c r="X172" s="198">
        <v>331</v>
      </c>
      <c r="Y172" s="147"/>
      <c r="Z172" s="146"/>
      <c r="AA172" s="147">
        <v>1896</v>
      </c>
      <c r="AB172" s="146">
        <v>1816</v>
      </c>
      <c r="AC172" s="147"/>
      <c r="AD172" s="146"/>
      <c r="AE172" s="147">
        <v>5232</v>
      </c>
      <c r="AF172" s="146">
        <v>4915</v>
      </c>
      <c r="AG172" s="147"/>
      <c r="AH172" s="146"/>
      <c r="AI172" s="147"/>
      <c r="AJ172" s="146"/>
      <c r="AK172" s="147">
        <v>4773</v>
      </c>
      <c r="AL172" s="146">
        <v>4253</v>
      </c>
      <c r="AM172" s="197">
        <v>331</v>
      </c>
    </row>
    <row r="173" spans="1:39" ht="24" customHeight="1">
      <c r="A173" s="211">
        <v>332</v>
      </c>
      <c r="B173" s="210">
        <v>18374</v>
      </c>
      <c r="C173" s="210">
        <v>43754</v>
      </c>
      <c r="D173" s="209">
        <v>69</v>
      </c>
      <c r="E173" s="3" t="s">
        <v>61</v>
      </c>
      <c r="F173" s="143" t="s">
        <v>116</v>
      </c>
      <c r="G173" s="142">
        <v>26.274073792191551</v>
      </c>
      <c r="H173" s="5" t="s">
        <v>64</v>
      </c>
      <c r="I173" s="141" t="s">
        <v>62</v>
      </c>
      <c r="J173" s="147"/>
      <c r="K173" s="146"/>
      <c r="L173" s="147">
        <v>54020</v>
      </c>
      <c r="M173" s="146">
        <v>122253</v>
      </c>
      <c r="N173" s="147"/>
      <c r="O173" s="146"/>
      <c r="P173" s="147">
        <v>17460</v>
      </c>
      <c r="Q173" s="146">
        <v>57620</v>
      </c>
      <c r="R173" s="147"/>
      <c r="S173" s="146"/>
      <c r="T173" s="147">
        <v>50979</v>
      </c>
      <c r="U173" s="146">
        <v>79941</v>
      </c>
      <c r="V173" s="147">
        <v>37464</v>
      </c>
      <c r="W173" s="146">
        <v>67066</v>
      </c>
      <c r="X173" s="208">
        <v>332</v>
      </c>
      <c r="Y173" s="147"/>
      <c r="Z173" s="146"/>
      <c r="AA173" s="147">
        <v>2029</v>
      </c>
      <c r="AB173" s="146">
        <v>2696</v>
      </c>
      <c r="AC173" s="147"/>
      <c r="AD173" s="146"/>
      <c r="AE173" s="147">
        <v>1847</v>
      </c>
      <c r="AF173" s="146">
        <v>2419</v>
      </c>
      <c r="AG173" s="147"/>
      <c r="AH173" s="146"/>
      <c r="AI173" s="147"/>
      <c r="AJ173" s="146"/>
      <c r="AK173" s="147">
        <v>2674</v>
      </c>
      <c r="AL173" s="146">
        <v>4580</v>
      </c>
      <c r="AM173" s="207">
        <v>332</v>
      </c>
    </row>
    <row r="174" spans="1:39" ht="24" customHeight="1">
      <c r="A174" s="196">
        <v>333</v>
      </c>
      <c r="B174" s="180">
        <v>21467</v>
      </c>
      <c r="C174" s="180">
        <v>43756</v>
      </c>
      <c r="D174" s="179">
        <v>61</v>
      </c>
      <c r="E174" s="3" t="s">
        <v>61</v>
      </c>
      <c r="F174" s="143" t="s">
        <v>116</v>
      </c>
      <c r="G174" s="142">
        <v>33.318397969662676</v>
      </c>
      <c r="H174" s="11" t="s">
        <v>59</v>
      </c>
      <c r="I174" s="141" t="s">
        <v>62</v>
      </c>
      <c r="J174" s="147"/>
      <c r="K174" s="146"/>
      <c r="L174" s="147">
        <v>73247</v>
      </c>
      <c r="M174" s="146">
        <v>198873</v>
      </c>
      <c r="N174" s="147"/>
      <c r="O174" s="146"/>
      <c r="P174" s="147">
        <v>45592</v>
      </c>
      <c r="Q174" s="146">
        <v>204474</v>
      </c>
      <c r="R174" s="147"/>
      <c r="S174" s="146"/>
      <c r="T174" s="147">
        <v>309286</v>
      </c>
      <c r="U174" s="146">
        <v>274517</v>
      </c>
      <c r="V174" s="147">
        <v>396177</v>
      </c>
      <c r="W174" s="146">
        <v>456776</v>
      </c>
      <c r="X174" s="195">
        <v>333</v>
      </c>
      <c r="Y174" s="147"/>
      <c r="Z174" s="146"/>
      <c r="AA174" s="147">
        <v>3852</v>
      </c>
      <c r="AB174" s="146">
        <v>3086</v>
      </c>
      <c r="AC174" s="147"/>
      <c r="AD174" s="146"/>
      <c r="AE174" s="147">
        <v>8925</v>
      </c>
      <c r="AF174" s="146">
        <v>9504</v>
      </c>
      <c r="AG174" s="147"/>
      <c r="AH174" s="146"/>
      <c r="AI174" s="147"/>
      <c r="AJ174" s="146"/>
      <c r="AK174" s="147">
        <v>16598</v>
      </c>
      <c r="AL174" s="146">
        <v>16161</v>
      </c>
      <c r="AM174" s="194">
        <v>333</v>
      </c>
    </row>
    <row r="175" spans="1:39" ht="24" customHeight="1">
      <c r="A175" s="211">
        <v>334</v>
      </c>
      <c r="B175" s="210">
        <v>18939</v>
      </c>
      <c r="C175" s="210">
        <v>43770</v>
      </c>
      <c r="D175" s="209">
        <v>67</v>
      </c>
      <c r="E175" s="4" t="s">
        <v>58</v>
      </c>
      <c r="F175" s="143" t="s">
        <v>116</v>
      </c>
      <c r="G175" s="142">
        <v>30.903439994349089</v>
      </c>
      <c r="H175" s="5" t="s">
        <v>64</v>
      </c>
      <c r="I175" s="141" t="s">
        <v>62</v>
      </c>
      <c r="J175" s="147"/>
      <c r="K175" s="146"/>
      <c r="L175" s="147">
        <v>55724</v>
      </c>
      <c r="M175" s="146">
        <v>103048</v>
      </c>
      <c r="N175" s="147"/>
      <c r="O175" s="146"/>
      <c r="P175" s="147">
        <v>69480</v>
      </c>
      <c r="Q175" s="146">
        <v>165194</v>
      </c>
      <c r="R175" s="147"/>
      <c r="S175" s="146"/>
      <c r="T175" s="147">
        <v>143370</v>
      </c>
      <c r="U175" s="146">
        <v>152336</v>
      </c>
      <c r="V175" s="147">
        <v>289338</v>
      </c>
      <c r="W175" s="146">
        <v>288989</v>
      </c>
      <c r="X175" s="208">
        <v>334</v>
      </c>
      <c r="Y175" s="147"/>
      <c r="Z175" s="146"/>
      <c r="AA175" s="147">
        <v>2687</v>
      </c>
      <c r="AB175" s="146">
        <v>2547</v>
      </c>
      <c r="AC175" s="147"/>
      <c r="AD175" s="146"/>
      <c r="AE175" s="147">
        <v>2671</v>
      </c>
      <c r="AF175" s="146">
        <v>13801</v>
      </c>
      <c r="AG175" s="147"/>
      <c r="AH175" s="146"/>
      <c r="AI175" s="147"/>
      <c r="AJ175" s="146"/>
      <c r="AK175" s="147">
        <v>5022</v>
      </c>
      <c r="AL175" s="146">
        <v>4719</v>
      </c>
      <c r="AM175" s="207">
        <v>334</v>
      </c>
    </row>
    <row r="176" spans="1:39" ht="24" customHeight="1">
      <c r="A176" s="211">
        <v>335</v>
      </c>
      <c r="B176" s="210">
        <v>18963</v>
      </c>
      <c r="C176" s="210">
        <v>43770</v>
      </c>
      <c r="D176" s="209">
        <v>67</v>
      </c>
      <c r="E176" s="3" t="s">
        <v>61</v>
      </c>
      <c r="F176" s="143" t="s">
        <v>116</v>
      </c>
      <c r="G176" s="142">
        <v>31.12806364933482</v>
      </c>
      <c r="H176" s="5" t="s">
        <v>64</v>
      </c>
      <c r="I176" s="141" t="s">
        <v>62</v>
      </c>
      <c r="J176" s="147"/>
      <c r="K176" s="146"/>
      <c r="L176" s="147">
        <v>70598</v>
      </c>
      <c r="M176" s="146">
        <v>151421</v>
      </c>
      <c r="N176" s="147"/>
      <c r="O176" s="146"/>
      <c r="P176" s="147">
        <v>34348</v>
      </c>
      <c r="Q176" s="146">
        <v>125455</v>
      </c>
      <c r="R176" s="147"/>
      <c r="S176" s="146"/>
      <c r="T176" s="147">
        <v>223476</v>
      </c>
      <c r="U176" s="146">
        <v>267042</v>
      </c>
      <c r="V176" s="147">
        <v>103598</v>
      </c>
      <c r="W176" s="146">
        <v>210595</v>
      </c>
      <c r="X176" s="208">
        <v>335</v>
      </c>
      <c r="Y176" s="147"/>
      <c r="Z176" s="146"/>
      <c r="AA176" s="147">
        <v>3287</v>
      </c>
      <c r="AB176" s="146">
        <v>3609</v>
      </c>
      <c r="AC176" s="147"/>
      <c r="AD176" s="146"/>
      <c r="AE176" s="147">
        <v>2588</v>
      </c>
      <c r="AF176" s="146">
        <v>2421</v>
      </c>
      <c r="AG176" s="147"/>
      <c r="AH176" s="146"/>
      <c r="AI176" s="147"/>
      <c r="AJ176" s="146"/>
      <c r="AK176" s="147">
        <v>6573</v>
      </c>
      <c r="AL176" s="146">
        <v>8093</v>
      </c>
      <c r="AM176" s="207">
        <v>335</v>
      </c>
    </row>
    <row r="177" spans="1:39" ht="24" customHeight="1">
      <c r="A177" s="196">
        <v>336</v>
      </c>
      <c r="B177" s="180">
        <v>23252</v>
      </c>
      <c r="C177" s="180">
        <v>43755</v>
      </c>
      <c r="D177" s="179">
        <v>56</v>
      </c>
      <c r="E177" s="4" t="s">
        <v>58</v>
      </c>
      <c r="F177" s="143" t="s">
        <v>116</v>
      </c>
      <c r="G177" s="142">
        <v>41.109160336602443</v>
      </c>
      <c r="H177" s="11" t="s">
        <v>59</v>
      </c>
      <c r="I177" s="141" t="s">
        <v>62</v>
      </c>
      <c r="J177" s="147"/>
      <c r="K177" s="146"/>
      <c r="L177" s="147">
        <v>111616</v>
      </c>
      <c r="M177" s="146">
        <v>143121</v>
      </c>
      <c r="N177" s="147"/>
      <c r="O177" s="146"/>
      <c r="P177" s="147">
        <v>26949</v>
      </c>
      <c r="Q177" s="146">
        <v>38278</v>
      </c>
      <c r="R177" s="147"/>
      <c r="S177" s="146"/>
      <c r="T177" s="147">
        <v>161407</v>
      </c>
      <c r="U177" s="146">
        <v>194053</v>
      </c>
      <c r="V177" s="147">
        <v>57111</v>
      </c>
      <c r="W177" s="146">
        <v>108116</v>
      </c>
      <c r="X177" s="195">
        <v>336</v>
      </c>
      <c r="Y177" s="147"/>
      <c r="Z177" s="146"/>
      <c r="AA177" s="147">
        <v>2968</v>
      </c>
      <c r="AB177" s="146">
        <v>3857</v>
      </c>
      <c r="AC177" s="147"/>
      <c r="AD177" s="146"/>
      <c r="AE177" s="147">
        <v>6049</v>
      </c>
      <c r="AF177" s="146">
        <v>33736</v>
      </c>
      <c r="AG177" s="147"/>
      <c r="AH177" s="146"/>
      <c r="AI177" s="147"/>
      <c r="AJ177" s="146"/>
      <c r="AK177" s="147">
        <v>3827</v>
      </c>
      <c r="AL177" s="146">
        <v>10773</v>
      </c>
      <c r="AM177" s="194">
        <v>336</v>
      </c>
    </row>
    <row r="178" spans="1:39" ht="24" customHeight="1">
      <c r="A178" s="199">
        <v>337</v>
      </c>
      <c r="B178" s="190">
        <v>28165</v>
      </c>
      <c r="C178" s="190">
        <v>43774</v>
      </c>
      <c r="D178" s="189">
        <v>42</v>
      </c>
      <c r="E178" s="3" t="s">
        <v>61</v>
      </c>
      <c r="F178" s="143" t="s">
        <v>116</v>
      </c>
      <c r="G178" s="142">
        <v>22.776987676388654</v>
      </c>
      <c r="H178" s="11" t="s">
        <v>59</v>
      </c>
      <c r="I178" s="141" t="s">
        <v>62</v>
      </c>
      <c r="J178" s="147"/>
      <c r="K178" s="146"/>
      <c r="L178" s="147">
        <v>96672</v>
      </c>
      <c r="M178" s="146">
        <v>84729</v>
      </c>
      <c r="N178" s="147"/>
      <c r="O178" s="146"/>
      <c r="P178" s="147">
        <v>25447</v>
      </c>
      <c r="Q178" s="146">
        <v>24424</v>
      </c>
      <c r="R178" s="147"/>
      <c r="S178" s="146"/>
      <c r="T178" s="147">
        <v>244564</v>
      </c>
      <c r="U178" s="146">
        <v>169536</v>
      </c>
      <c r="V178" s="147">
        <v>156280</v>
      </c>
      <c r="W178" s="146">
        <v>145787</v>
      </c>
      <c r="X178" s="198">
        <v>337</v>
      </c>
      <c r="Y178" s="147"/>
      <c r="Z178" s="146"/>
      <c r="AA178" s="147">
        <v>2880</v>
      </c>
      <c r="AB178" s="146">
        <v>2216</v>
      </c>
      <c r="AC178" s="147"/>
      <c r="AD178" s="146"/>
      <c r="AE178" s="147">
        <v>14954</v>
      </c>
      <c r="AF178" s="146">
        <v>10756</v>
      </c>
      <c r="AG178" s="147"/>
      <c r="AH178" s="146"/>
      <c r="AI178" s="147"/>
      <c r="AJ178" s="146"/>
      <c r="AK178" s="147">
        <v>4718</v>
      </c>
      <c r="AL178" s="146">
        <v>3485</v>
      </c>
      <c r="AM178" s="197">
        <v>337</v>
      </c>
    </row>
    <row r="179" spans="1:39" ht="24" customHeight="1">
      <c r="A179" s="211">
        <v>338</v>
      </c>
      <c r="B179" s="210">
        <v>14933</v>
      </c>
      <c r="C179" s="210">
        <v>43755</v>
      </c>
      <c r="D179" s="209">
        <v>78</v>
      </c>
      <c r="E179" s="3" t="s">
        <v>61</v>
      </c>
      <c r="F179" s="143" t="s">
        <v>118</v>
      </c>
      <c r="G179" s="142">
        <v>52.140197642843162</v>
      </c>
      <c r="H179" s="5" t="s">
        <v>64</v>
      </c>
      <c r="I179" s="141" t="s">
        <v>62</v>
      </c>
      <c r="J179" s="147"/>
      <c r="K179" s="146"/>
      <c r="L179" s="147">
        <v>30828</v>
      </c>
      <c r="M179" s="146">
        <v>149857</v>
      </c>
      <c r="N179" s="147"/>
      <c r="O179" s="146"/>
      <c r="P179" s="147">
        <v>7910</v>
      </c>
      <c r="Q179" s="146">
        <v>60272</v>
      </c>
      <c r="R179" s="147"/>
      <c r="S179" s="146"/>
      <c r="T179" s="147">
        <v>138654</v>
      </c>
      <c r="U179" s="146">
        <v>159186</v>
      </c>
      <c r="V179" s="147">
        <v>16866</v>
      </c>
      <c r="W179" s="146">
        <v>111455</v>
      </c>
      <c r="X179" s="208">
        <v>338</v>
      </c>
      <c r="Y179" s="147"/>
      <c r="Z179" s="146"/>
      <c r="AA179" s="147">
        <v>2356</v>
      </c>
      <c r="AB179" s="146">
        <v>3513</v>
      </c>
      <c r="AC179" s="147"/>
      <c r="AD179" s="146"/>
      <c r="AE179" s="147">
        <v>2328</v>
      </c>
      <c r="AF179" s="146">
        <v>3383</v>
      </c>
      <c r="AG179" s="147"/>
      <c r="AH179" s="146"/>
      <c r="AI179" s="147"/>
      <c r="AJ179" s="146"/>
      <c r="AK179" s="147">
        <v>2890</v>
      </c>
      <c r="AL179" s="146">
        <v>3826</v>
      </c>
      <c r="AM179" s="207">
        <v>338</v>
      </c>
    </row>
    <row r="180" spans="1:39" ht="24" customHeight="1">
      <c r="A180" s="206">
        <v>339</v>
      </c>
      <c r="B180" s="205">
        <v>18861</v>
      </c>
      <c r="C180" s="205">
        <v>43754</v>
      </c>
      <c r="D180" s="204">
        <v>68</v>
      </c>
      <c r="E180" s="4" t="s">
        <v>58</v>
      </c>
      <c r="F180" s="143" t="s">
        <v>116</v>
      </c>
      <c r="G180" s="142">
        <v>25.6370733099277</v>
      </c>
      <c r="H180" s="11" t="s">
        <v>59</v>
      </c>
      <c r="I180" s="141" t="s">
        <v>62</v>
      </c>
      <c r="J180" s="147"/>
      <c r="K180" s="146"/>
      <c r="L180" s="147">
        <v>56346</v>
      </c>
      <c r="M180" s="146">
        <v>137680</v>
      </c>
      <c r="N180" s="147"/>
      <c r="O180" s="146"/>
      <c r="P180" s="147">
        <v>175798</v>
      </c>
      <c r="Q180" s="146">
        <v>196088</v>
      </c>
      <c r="R180" s="147"/>
      <c r="S180" s="146"/>
      <c r="T180" s="147">
        <v>415678</v>
      </c>
      <c r="U180" s="146">
        <v>573896</v>
      </c>
      <c r="V180" s="147">
        <v>494711</v>
      </c>
      <c r="W180" s="146">
        <v>1191130</v>
      </c>
      <c r="X180" s="203">
        <v>339</v>
      </c>
      <c r="Y180" s="147"/>
      <c r="Z180" s="146"/>
      <c r="AA180" s="147">
        <v>876.9</v>
      </c>
      <c r="AB180" s="146">
        <v>2178</v>
      </c>
      <c r="AC180" s="147"/>
      <c r="AD180" s="146"/>
      <c r="AE180" s="147">
        <v>717.9</v>
      </c>
      <c r="AF180" s="146">
        <v>1188</v>
      </c>
      <c r="AG180" s="147"/>
      <c r="AH180" s="146"/>
      <c r="AI180" s="147"/>
      <c r="AJ180" s="146"/>
      <c r="AK180" s="147">
        <v>3056</v>
      </c>
      <c r="AL180" s="146">
        <v>4606</v>
      </c>
      <c r="AM180" s="202">
        <v>339</v>
      </c>
    </row>
    <row r="181" spans="1:39" ht="24" customHeight="1">
      <c r="A181" s="196">
        <v>340</v>
      </c>
      <c r="B181" s="180">
        <v>25451</v>
      </c>
      <c r="C181" s="180">
        <v>43763</v>
      </c>
      <c r="D181" s="179">
        <v>50</v>
      </c>
      <c r="E181" s="4" t="s">
        <v>58</v>
      </c>
      <c r="F181" s="143" t="s">
        <v>116</v>
      </c>
      <c r="G181" s="142">
        <v>26.097158998028579</v>
      </c>
      <c r="H181" s="11" t="s">
        <v>59</v>
      </c>
      <c r="I181" s="141" t="s">
        <v>62</v>
      </c>
      <c r="J181" s="147"/>
      <c r="K181" s="146"/>
      <c r="L181" s="147">
        <v>9669</v>
      </c>
      <c r="M181" s="146">
        <v>26621</v>
      </c>
      <c r="N181" s="147"/>
      <c r="O181" s="146"/>
      <c r="P181" s="147">
        <v>20118</v>
      </c>
      <c r="Q181" s="146">
        <v>104535</v>
      </c>
      <c r="R181" s="147"/>
      <c r="S181" s="146"/>
      <c r="T181" s="147">
        <v>179064</v>
      </c>
      <c r="U181" s="146">
        <v>266489</v>
      </c>
      <c r="V181" s="147">
        <v>161846</v>
      </c>
      <c r="W181" s="146">
        <v>197072</v>
      </c>
      <c r="X181" s="195">
        <v>340</v>
      </c>
      <c r="Y181" s="147"/>
      <c r="Z181" s="146"/>
      <c r="AA181" s="147">
        <v>24738</v>
      </c>
      <c r="AB181" s="146">
        <v>24878</v>
      </c>
      <c r="AC181" s="147"/>
      <c r="AD181" s="146"/>
      <c r="AE181" s="147">
        <v>4687</v>
      </c>
      <c r="AF181" s="146">
        <v>8026</v>
      </c>
      <c r="AG181" s="147"/>
      <c r="AH181" s="146"/>
      <c r="AI181" s="147"/>
      <c r="AJ181" s="146"/>
      <c r="AK181" s="147">
        <v>2690</v>
      </c>
      <c r="AL181" s="146">
        <v>2398</v>
      </c>
      <c r="AM181" s="194">
        <v>340</v>
      </c>
    </row>
    <row r="182" spans="1:39" ht="24" customHeight="1">
      <c r="A182" s="196">
        <v>341</v>
      </c>
      <c r="B182" s="180">
        <v>20355</v>
      </c>
      <c r="C182" s="180">
        <v>43754</v>
      </c>
      <c r="D182" s="179">
        <v>64</v>
      </c>
      <c r="E182" s="4" t="s">
        <v>58</v>
      </c>
      <c r="F182" s="143" t="s">
        <v>116</v>
      </c>
      <c r="G182" s="142">
        <v>27.992475141091106</v>
      </c>
      <c r="H182" s="11" t="s">
        <v>59</v>
      </c>
      <c r="I182" s="141" t="s">
        <v>62</v>
      </c>
      <c r="J182" s="147"/>
      <c r="K182" s="146"/>
      <c r="L182" s="147">
        <v>34371</v>
      </c>
      <c r="M182" s="146">
        <v>185136</v>
      </c>
      <c r="N182" s="147"/>
      <c r="O182" s="146"/>
      <c r="P182" s="147">
        <v>234169</v>
      </c>
      <c r="Q182" s="146">
        <v>439961</v>
      </c>
      <c r="R182" s="147"/>
      <c r="S182" s="146"/>
      <c r="T182" s="147">
        <v>172220</v>
      </c>
      <c r="U182" s="146">
        <v>253038</v>
      </c>
      <c r="V182" s="147">
        <v>99597</v>
      </c>
      <c r="W182" s="146">
        <v>207599</v>
      </c>
      <c r="X182" s="195">
        <v>341</v>
      </c>
      <c r="Y182" s="147"/>
      <c r="Z182" s="146"/>
      <c r="AA182" s="147">
        <v>1052</v>
      </c>
      <c r="AB182" s="146">
        <v>2600</v>
      </c>
      <c r="AC182" s="147"/>
      <c r="AD182" s="146"/>
      <c r="AE182" s="147">
        <v>2593</v>
      </c>
      <c r="AF182" s="146">
        <v>2932</v>
      </c>
      <c r="AG182" s="147"/>
      <c r="AH182" s="146"/>
      <c r="AI182" s="147"/>
      <c r="AJ182" s="146"/>
      <c r="AK182" s="147">
        <v>4289</v>
      </c>
      <c r="AL182" s="146">
        <v>7353</v>
      </c>
      <c r="AM182" s="194">
        <v>341</v>
      </c>
    </row>
    <row r="183" spans="1:39" ht="24" customHeight="1">
      <c r="A183" s="211">
        <v>342</v>
      </c>
      <c r="B183" s="210">
        <v>17953</v>
      </c>
      <c r="C183" s="210">
        <v>43761</v>
      </c>
      <c r="D183" s="209">
        <v>70</v>
      </c>
      <c r="E183" s="3" t="s">
        <v>61</v>
      </c>
      <c r="F183" s="143" t="s">
        <v>116</v>
      </c>
      <c r="G183" s="142">
        <v>23.968945258382181</v>
      </c>
      <c r="H183" s="5" t="s">
        <v>64</v>
      </c>
      <c r="I183" s="141" t="s">
        <v>62</v>
      </c>
      <c r="J183" s="147"/>
      <c r="K183" s="146"/>
      <c r="L183" s="147">
        <v>126533</v>
      </c>
      <c r="M183" s="146">
        <v>484139</v>
      </c>
      <c r="N183" s="147"/>
      <c r="O183" s="146"/>
      <c r="P183" s="147">
        <v>11851</v>
      </c>
      <c r="Q183" s="146">
        <v>108587</v>
      </c>
      <c r="R183" s="147"/>
      <c r="S183" s="146"/>
      <c r="T183" s="147">
        <v>216615</v>
      </c>
      <c r="U183" s="146">
        <v>248434</v>
      </c>
      <c r="V183" s="147">
        <v>70081</v>
      </c>
      <c r="W183" s="146">
        <v>131760</v>
      </c>
      <c r="X183" s="208">
        <v>342</v>
      </c>
      <c r="Y183" s="147"/>
      <c r="Z183" s="146"/>
      <c r="AA183" s="147">
        <v>4542</v>
      </c>
      <c r="AB183" s="146">
        <v>5462</v>
      </c>
      <c r="AC183" s="147"/>
      <c r="AD183" s="146"/>
      <c r="AE183" s="147">
        <v>786.1</v>
      </c>
      <c r="AF183" s="146">
        <v>806.1</v>
      </c>
      <c r="AG183" s="147"/>
      <c r="AH183" s="146"/>
      <c r="AI183" s="147"/>
      <c r="AJ183" s="146"/>
      <c r="AK183" s="147">
        <v>5278</v>
      </c>
      <c r="AL183" s="146">
        <v>5083</v>
      </c>
      <c r="AM183" s="207">
        <v>342</v>
      </c>
    </row>
    <row r="184" spans="1:39" ht="24" customHeight="1">
      <c r="A184" s="211">
        <v>343</v>
      </c>
      <c r="B184" s="210">
        <v>16650</v>
      </c>
      <c r="C184" s="210">
        <v>43763</v>
      </c>
      <c r="D184" s="209">
        <v>74</v>
      </c>
      <c r="E184" s="4" t="s">
        <v>58</v>
      </c>
      <c r="F184" s="143" t="s">
        <v>116</v>
      </c>
      <c r="G184" s="142">
        <v>36.704880525613881</v>
      </c>
      <c r="H184" s="5" t="s">
        <v>64</v>
      </c>
      <c r="I184" s="141" t="s">
        <v>62</v>
      </c>
      <c r="J184" s="147"/>
      <c r="K184" s="146"/>
      <c r="L184" s="147">
        <v>89673</v>
      </c>
      <c r="M184" s="146">
        <v>181596</v>
      </c>
      <c r="N184" s="147"/>
      <c r="O184" s="146"/>
      <c r="P184" s="147">
        <v>2293</v>
      </c>
      <c r="Q184" s="146">
        <v>9519</v>
      </c>
      <c r="R184" s="147"/>
      <c r="S184" s="146"/>
      <c r="T184" s="147">
        <v>686740</v>
      </c>
      <c r="U184" s="146">
        <v>578480</v>
      </c>
      <c r="V184" s="147">
        <v>79917</v>
      </c>
      <c r="W184" s="146">
        <v>101464</v>
      </c>
      <c r="X184" s="208">
        <v>343</v>
      </c>
      <c r="Y184" s="147"/>
      <c r="Z184" s="146"/>
      <c r="AA184" s="147">
        <v>12352</v>
      </c>
      <c r="AB184" s="146">
        <v>13896</v>
      </c>
      <c r="AC184" s="147"/>
      <c r="AD184" s="146"/>
      <c r="AE184" s="147">
        <v>31521</v>
      </c>
      <c r="AF184" s="146">
        <v>61708</v>
      </c>
      <c r="AG184" s="147"/>
      <c r="AH184" s="146"/>
      <c r="AI184" s="147"/>
      <c r="AJ184" s="146"/>
      <c r="AK184" s="147">
        <v>14001</v>
      </c>
      <c r="AL184" s="146">
        <v>14608</v>
      </c>
      <c r="AM184" s="207">
        <v>343</v>
      </c>
    </row>
    <row r="185" spans="1:39" ht="24" customHeight="1">
      <c r="A185" s="211">
        <v>344</v>
      </c>
      <c r="B185" s="210">
        <v>18063</v>
      </c>
      <c r="C185" s="210">
        <v>43760</v>
      </c>
      <c r="D185" s="209">
        <v>70</v>
      </c>
      <c r="E185" s="3" t="s">
        <v>61</v>
      </c>
      <c r="F185" s="143" t="s">
        <v>116</v>
      </c>
      <c r="G185" s="142">
        <v>27.636054421768712</v>
      </c>
      <c r="H185" s="5" t="s">
        <v>64</v>
      </c>
      <c r="I185" s="141" t="s">
        <v>62</v>
      </c>
      <c r="J185" s="147"/>
      <c r="K185" s="146"/>
      <c r="L185" s="147">
        <v>83632</v>
      </c>
      <c r="M185" s="146">
        <v>201438</v>
      </c>
      <c r="N185" s="147"/>
      <c r="O185" s="146"/>
      <c r="P185" s="147">
        <v>25099</v>
      </c>
      <c r="Q185" s="146">
        <v>51744</v>
      </c>
      <c r="R185" s="147"/>
      <c r="S185" s="146"/>
      <c r="T185" s="147">
        <v>61216</v>
      </c>
      <c r="U185" s="146">
        <v>89516</v>
      </c>
      <c r="V185" s="147">
        <v>117101</v>
      </c>
      <c r="W185" s="146">
        <v>154783</v>
      </c>
      <c r="X185" s="208">
        <v>344</v>
      </c>
      <c r="Y185" s="147"/>
      <c r="Z185" s="146"/>
      <c r="AA185" s="147">
        <v>4814</v>
      </c>
      <c r="AB185" s="146">
        <v>5391</v>
      </c>
      <c r="AC185" s="147"/>
      <c r="AD185" s="146"/>
      <c r="AE185" s="147">
        <v>4249</v>
      </c>
      <c r="AF185" s="146">
        <v>4900</v>
      </c>
      <c r="AG185" s="147"/>
      <c r="AH185" s="146"/>
      <c r="AI185" s="147"/>
      <c r="AJ185" s="146"/>
      <c r="AK185" s="147">
        <v>2210</v>
      </c>
      <c r="AL185" s="146">
        <v>2234</v>
      </c>
      <c r="AM185" s="207">
        <v>344</v>
      </c>
    </row>
    <row r="186" spans="1:39" ht="24" customHeight="1">
      <c r="A186" s="211">
        <v>345</v>
      </c>
      <c r="B186" s="210">
        <v>18071</v>
      </c>
      <c r="C186" s="210">
        <v>43762</v>
      </c>
      <c r="D186" s="209">
        <v>70</v>
      </c>
      <c r="E186" s="3" t="s">
        <v>61</v>
      </c>
      <c r="F186" s="143" t="s">
        <v>116</v>
      </c>
      <c r="G186" s="142">
        <v>23.908455348898563</v>
      </c>
      <c r="H186" s="5" t="s">
        <v>64</v>
      </c>
      <c r="I186" s="141" t="s">
        <v>62</v>
      </c>
      <c r="J186" s="147"/>
      <c r="K186" s="146"/>
      <c r="L186" s="147">
        <v>46653</v>
      </c>
      <c r="M186" s="146">
        <v>235035</v>
      </c>
      <c r="N186" s="147"/>
      <c r="O186" s="146"/>
      <c r="P186" s="147">
        <v>53397</v>
      </c>
      <c r="Q186" s="146">
        <v>167007</v>
      </c>
      <c r="R186" s="147"/>
      <c r="S186" s="146"/>
      <c r="T186" s="147">
        <v>144121</v>
      </c>
      <c r="U186" s="146">
        <v>283850</v>
      </c>
      <c r="V186" s="147">
        <v>22224</v>
      </c>
      <c r="W186" s="146">
        <v>92618</v>
      </c>
      <c r="X186" s="208">
        <v>345</v>
      </c>
      <c r="Y186" s="147"/>
      <c r="Z186" s="146"/>
      <c r="AA186" s="147">
        <v>989.8</v>
      </c>
      <c r="AB186" s="146">
        <v>1543</v>
      </c>
      <c r="AC186" s="147"/>
      <c r="AD186" s="146"/>
      <c r="AE186" s="147">
        <v>2092</v>
      </c>
      <c r="AF186" s="146">
        <v>2410</v>
      </c>
      <c r="AG186" s="147"/>
      <c r="AH186" s="146"/>
      <c r="AI186" s="147"/>
      <c r="AJ186" s="146"/>
      <c r="AK186" s="147">
        <v>3234</v>
      </c>
      <c r="AL186" s="146">
        <v>3518</v>
      </c>
      <c r="AM186" s="207">
        <v>345</v>
      </c>
    </row>
    <row r="187" spans="1:39" ht="24" customHeight="1">
      <c r="A187" s="211">
        <v>346</v>
      </c>
      <c r="B187" s="210">
        <v>19472</v>
      </c>
      <c r="C187" s="210">
        <v>43773</v>
      </c>
      <c r="D187" s="209">
        <v>66</v>
      </c>
      <c r="E187" s="3" t="s">
        <v>61</v>
      </c>
      <c r="F187" s="143" t="s">
        <v>116</v>
      </c>
      <c r="G187" s="142">
        <v>27.415006477364241</v>
      </c>
      <c r="H187" s="5" t="s">
        <v>64</v>
      </c>
      <c r="I187" s="141" t="s">
        <v>62</v>
      </c>
      <c r="J187" s="147">
        <v>67318</v>
      </c>
      <c r="K187" s="146">
        <v>196171</v>
      </c>
      <c r="L187" s="147">
        <v>20342</v>
      </c>
      <c r="M187" s="146">
        <v>74085</v>
      </c>
      <c r="N187" s="147">
        <v>319090</v>
      </c>
      <c r="O187" s="146">
        <v>647130</v>
      </c>
      <c r="P187" s="147">
        <v>16542</v>
      </c>
      <c r="Q187" s="146">
        <v>77829</v>
      </c>
      <c r="R187" s="147">
        <v>354581</v>
      </c>
      <c r="S187" s="146">
        <v>512006</v>
      </c>
      <c r="T187" s="147">
        <v>140293</v>
      </c>
      <c r="U187" s="146">
        <v>242575</v>
      </c>
      <c r="V187" s="147">
        <v>226104</v>
      </c>
      <c r="W187" s="146">
        <v>325301</v>
      </c>
      <c r="X187" s="208">
        <v>346</v>
      </c>
      <c r="Y187" s="147">
        <v>1278</v>
      </c>
      <c r="Z187" s="146">
        <v>2210</v>
      </c>
      <c r="AA187" s="147">
        <v>1744</v>
      </c>
      <c r="AB187" s="146">
        <v>2840</v>
      </c>
      <c r="AC187" s="147">
        <v>3987</v>
      </c>
      <c r="AD187" s="146">
        <v>6678</v>
      </c>
      <c r="AE187" s="147">
        <v>2810</v>
      </c>
      <c r="AF187" s="146">
        <v>31378</v>
      </c>
      <c r="AG187" s="147">
        <v>19088</v>
      </c>
      <c r="AH187" s="146">
        <v>19729</v>
      </c>
      <c r="AI187" s="147"/>
      <c r="AJ187" s="146"/>
      <c r="AK187" s="147">
        <v>7707</v>
      </c>
      <c r="AL187" s="146">
        <v>17380</v>
      </c>
      <c r="AM187" s="207">
        <v>346</v>
      </c>
    </row>
    <row r="188" spans="1:39" ht="24" customHeight="1">
      <c r="A188" s="196">
        <v>347</v>
      </c>
      <c r="B188" s="180">
        <v>21485</v>
      </c>
      <c r="C188" s="180">
        <v>43755</v>
      </c>
      <c r="D188" s="179">
        <v>60</v>
      </c>
      <c r="E188" s="4" t="s">
        <v>58</v>
      </c>
      <c r="F188" s="143" t="s">
        <v>116</v>
      </c>
      <c r="G188" s="142">
        <v>27.255086824903014</v>
      </c>
      <c r="H188" s="11" t="s">
        <v>59</v>
      </c>
      <c r="I188" s="141" t="s">
        <v>62</v>
      </c>
      <c r="J188" s="147">
        <v>156154</v>
      </c>
      <c r="K188" s="146">
        <v>919761</v>
      </c>
      <c r="L188" s="147">
        <v>23738</v>
      </c>
      <c r="M188" s="146">
        <v>186730</v>
      </c>
      <c r="N188" s="147">
        <v>83913</v>
      </c>
      <c r="O188" s="146">
        <v>540219</v>
      </c>
      <c r="P188" s="147">
        <v>4078</v>
      </c>
      <c r="Q188" s="146">
        <v>64452</v>
      </c>
      <c r="R188" s="147">
        <v>330542</v>
      </c>
      <c r="S188" s="146">
        <v>700725</v>
      </c>
      <c r="T188" s="147">
        <v>106205</v>
      </c>
      <c r="U188" s="146">
        <v>253799</v>
      </c>
      <c r="V188" s="147">
        <v>172145</v>
      </c>
      <c r="W188" s="146">
        <v>432518</v>
      </c>
      <c r="X188" s="195">
        <v>347</v>
      </c>
      <c r="Y188" s="147">
        <v>2495</v>
      </c>
      <c r="Z188" s="146">
        <v>3356</v>
      </c>
      <c r="AA188" s="147">
        <v>2343</v>
      </c>
      <c r="AB188" s="146">
        <v>3411</v>
      </c>
      <c r="AC188" s="147">
        <v>1430</v>
      </c>
      <c r="AD188" s="146">
        <v>1942</v>
      </c>
      <c r="AE188" s="147">
        <v>3054</v>
      </c>
      <c r="AF188" s="146">
        <v>3277</v>
      </c>
      <c r="AG188" s="147">
        <v>8991</v>
      </c>
      <c r="AH188" s="146">
        <v>9267</v>
      </c>
      <c r="AI188" s="147"/>
      <c r="AJ188" s="146"/>
      <c r="AK188" s="147">
        <v>1885</v>
      </c>
      <c r="AL188" s="146">
        <v>5631</v>
      </c>
      <c r="AM188" s="194">
        <v>347</v>
      </c>
    </row>
    <row r="189" spans="1:39" ht="24" customHeight="1">
      <c r="A189" s="211">
        <v>348</v>
      </c>
      <c r="B189" s="210">
        <v>19612</v>
      </c>
      <c r="C189" s="210">
        <v>43756</v>
      </c>
      <c r="D189" s="209">
        <v>66</v>
      </c>
      <c r="E189" s="3" t="s">
        <v>61</v>
      </c>
      <c r="F189" s="143" t="s">
        <v>116</v>
      </c>
      <c r="G189" s="142">
        <v>25.612801857312881</v>
      </c>
      <c r="H189" s="5" t="s">
        <v>64</v>
      </c>
      <c r="I189" s="141" t="s">
        <v>62</v>
      </c>
      <c r="J189" s="147">
        <v>189945</v>
      </c>
      <c r="K189" s="146">
        <v>311171</v>
      </c>
      <c r="L189" s="147">
        <v>50021</v>
      </c>
      <c r="M189" s="146">
        <v>64747</v>
      </c>
      <c r="N189" s="147">
        <v>476588</v>
      </c>
      <c r="O189" s="146">
        <v>727286</v>
      </c>
      <c r="P189" s="147">
        <v>33999</v>
      </c>
      <c r="Q189" s="146">
        <v>114068</v>
      </c>
      <c r="R189" s="147">
        <v>641190</v>
      </c>
      <c r="S189" s="146">
        <v>903207</v>
      </c>
      <c r="T189" s="147">
        <v>110207</v>
      </c>
      <c r="U189" s="146">
        <v>238516</v>
      </c>
      <c r="V189" s="147">
        <v>481754</v>
      </c>
      <c r="W189" s="146">
        <v>844188</v>
      </c>
      <c r="X189" s="208">
        <v>348</v>
      </c>
      <c r="Y189" s="147">
        <v>5791</v>
      </c>
      <c r="Z189" s="146">
        <v>5254</v>
      </c>
      <c r="AA189" s="147">
        <v>8246</v>
      </c>
      <c r="AB189" s="146">
        <v>8377</v>
      </c>
      <c r="AC189" s="147">
        <v>2976</v>
      </c>
      <c r="AD189" s="146">
        <v>6183</v>
      </c>
      <c r="AE189" s="147">
        <v>12438</v>
      </c>
      <c r="AF189" s="146">
        <v>11517</v>
      </c>
      <c r="AG189" s="147">
        <v>23442</v>
      </c>
      <c r="AH189" s="146">
        <v>23714</v>
      </c>
      <c r="AI189" s="147"/>
      <c r="AJ189" s="146"/>
      <c r="AK189" s="147">
        <v>14121</v>
      </c>
      <c r="AL189" s="146">
        <v>18995</v>
      </c>
      <c r="AM189" s="207">
        <v>348</v>
      </c>
    </row>
    <row r="190" spans="1:39" ht="24" customHeight="1">
      <c r="A190" s="196">
        <v>349</v>
      </c>
      <c r="B190" s="180">
        <v>24511</v>
      </c>
      <c r="C190" s="180">
        <v>43763</v>
      </c>
      <c r="D190" s="179">
        <v>52</v>
      </c>
      <c r="E190" s="3" t="s">
        <v>61</v>
      </c>
      <c r="F190" s="143" t="s">
        <v>116</v>
      </c>
      <c r="G190" s="142">
        <v>22.280274918901259</v>
      </c>
      <c r="H190" s="11" t="s">
        <v>59</v>
      </c>
      <c r="I190" s="141" t="s">
        <v>62</v>
      </c>
      <c r="J190" s="147">
        <v>76070</v>
      </c>
      <c r="K190" s="146">
        <v>123621</v>
      </c>
      <c r="L190" s="147">
        <v>27815</v>
      </c>
      <c r="M190" s="146">
        <v>51250</v>
      </c>
      <c r="N190" s="147">
        <v>71390</v>
      </c>
      <c r="O190" s="146">
        <v>124493</v>
      </c>
      <c r="P190" s="147">
        <v>6491</v>
      </c>
      <c r="Q190" s="146">
        <v>23518</v>
      </c>
      <c r="R190" s="147">
        <v>141996</v>
      </c>
      <c r="S190" s="146">
        <v>193906</v>
      </c>
      <c r="T190" s="147">
        <v>40389</v>
      </c>
      <c r="U190" s="146">
        <v>54267</v>
      </c>
      <c r="V190" s="147">
        <v>79867</v>
      </c>
      <c r="W190" s="146">
        <v>117937</v>
      </c>
      <c r="X190" s="195">
        <v>349</v>
      </c>
      <c r="Y190" s="147">
        <v>4882</v>
      </c>
      <c r="Z190" s="146">
        <v>4882</v>
      </c>
      <c r="AA190" s="147">
        <v>3792</v>
      </c>
      <c r="AB190" s="146">
        <v>3821</v>
      </c>
      <c r="AC190" s="147">
        <v>3037</v>
      </c>
      <c r="AD190" s="146">
        <v>3252</v>
      </c>
      <c r="AE190" s="147">
        <v>7829</v>
      </c>
      <c r="AF190" s="146">
        <v>8081</v>
      </c>
      <c r="AG190" s="147">
        <v>35466</v>
      </c>
      <c r="AH190" s="146">
        <v>28845</v>
      </c>
      <c r="AI190" s="147"/>
      <c r="AJ190" s="146"/>
      <c r="AK190" s="147">
        <v>4080</v>
      </c>
      <c r="AL190" s="146">
        <v>5188</v>
      </c>
      <c r="AM190" s="194">
        <v>349</v>
      </c>
    </row>
    <row r="191" spans="1:39" ht="24" customHeight="1">
      <c r="A191" s="211">
        <v>350</v>
      </c>
      <c r="B191" s="210">
        <v>18806</v>
      </c>
      <c r="C191" s="210">
        <v>43759</v>
      </c>
      <c r="D191" s="209">
        <v>68</v>
      </c>
      <c r="E191" s="4" t="s">
        <v>58</v>
      </c>
      <c r="F191" s="143" t="s">
        <v>116</v>
      </c>
      <c r="G191" s="142">
        <v>25.808901195558374</v>
      </c>
      <c r="H191" s="5" t="s">
        <v>64</v>
      </c>
      <c r="I191" s="141" t="s">
        <v>62</v>
      </c>
      <c r="J191" s="147">
        <v>85984</v>
      </c>
      <c r="K191" s="146">
        <v>127772</v>
      </c>
      <c r="L191" s="147">
        <v>23304</v>
      </c>
      <c r="M191" s="146">
        <v>51041</v>
      </c>
      <c r="N191" s="147">
        <v>72427</v>
      </c>
      <c r="O191" s="146">
        <v>99945</v>
      </c>
      <c r="P191" s="147">
        <v>8418</v>
      </c>
      <c r="Q191" s="146">
        <v>15677</v>
      </c>
      <c r="R191" s="147">
        <v>380724</v>
      </c>
      <c r="S191" s="146">
        <v>390871</v>
      </c>
      <c r="T191" s="147">
        <v>124861</v>
      </c>
      <c r="U191" s="146">
        <v>170806</v>
      </c>
      <c r="V191" s="147">
        <v>164833</v>
      </c>
      <c r="W191" s="146">
        <v>173499</v>
      </c>
      <c r="X191" s="208">
        <v>350</v>
      </c>
      <c r="Y191" s="147">
        <v>1799</v>
      </c>
      <c r="Z191" s="146">
        <v>3030</v>
      </c>
      <c r="AA191" s="147">
        <v>3827</v>
      </c>
      <c r="AB191" s="146">
        <v>5032</v>
      </c>
      <c r="AC191" s="147">
        <v>47607</v>
      </c>
      <c r="AD191" s="146">
        <v>54816</v>
      </c>
      <c r="AE191" s="147">
        <v>44272</v>
      </c>
      <c r="AF191" s="146">
        <v>129698</v>
      </c>
      <c r="AG191" s="147">
        <v>87442</v>
      </c>
      <c r="AH191" s="146">
        <v>59712</v>
      </c>
      <c r="AI191" s="147"/>
      <c r="AJ191" s="146"/>
      <c r="AK191" s="147">
        <v>51703</v>
      </c>
      <c r="AL191" s="146">
        <v>51138</v>
      </c>
      <c r="AM191" s="207">
        <v>350</v>
      </c>
    </row>
    <row r="192" spans="1:39" ht="24" customHeight="1">
      <c r="A192" s="199">
        <v>351</v>
      </c>
      <c r="B192" s="190">
        <v>29701</v>
      </c>
      <c r="C192" s="190">
        <v>43794</v>
      </c>
      <c r="D192" s="189">
        <v>38</v>
      </c>
      <c r="E192" s="3" t="s">
        <v>61</v>
      </c>
      <c r="F192" s="143" t="s">
        <v>116</v>
      </c>
      <c r="G192" s="142">
        <v>35.092134516933051</v>
      </c>
      <c r="H192" s="11" t="s">
        <v>59</v>
      </c>
      <c r="I192" s="141" t="s">
        <v>62</v>
      </c>
      <c r="J192" s="147">
        <v>62589</v>
      </c>
      <c r="K192" s="146">
        <v>194635</v>
      </c>
      <c r="L192" s="147">
        <v>19172</v>
      </c>
      <c r="M192" s="146">
        <v>66058</v>
      </c>
      <c r="N192" s="147">
        <v>128081</v>
      </c>
      <c r="O192" s="146">
        <v>247849</v>
      </c>
      <c r="P192" s="147">
        <v>10175</v>
      </c>
      <c r="Q192" s="146">
        <v>40838</v>
      </c>
      <c r="R192" s="147">
        <v>157407</v>
      </c>
      <c r="S192" s="146">
        <v>273124</v>
      </c>
      <c r="T192" s="147">
        <v>48770</v>
      </c>
      <c r="U192" s="146">
        <v>90728</v>
      </c>
      <c r="V192" s="147">
        <v>116689</v>
      </c>
      <c r="W192" s="146">
        <v>213972</v>
      </c>
      <c r="X192" s="198">
        <v>351</v>
      </c>
      <c r="Y192" s="147">
        <v>1163</v>
      </c>
      <c r="Z192" s="146">
        <v>1056</v>
      </c>
      <c r="AA192" s="147">
        <v>1060</v>
      </c>
      <c r="AB192" s="146">
        <v>1724</v>
      </c>
      <c r="AC192" s="147">
        <v>1433</v>
      </c>
      <c r="AD192" s="146">
        <v>1240</v>
      </c>
      <c r="AE192" s="147">
        <v>2449</v>
      </c>
      <c r="AF192" s="146">
        <v>2967</v>
      </c>
      <c r="AG192" s="147">
        <v>11815</v>
      </c>
      <c r="AH192" s="146">
        <v>12605</v>
      </c>
      <c r="AI192" s="147"/>
      <c r="AJ192" s="146"/>
      <c r="AK192" s="147">
        <v>3598</v>
      </c>
      <c r="AL192" s="146">
        <v>7072</v>
      </c>
      <c r="AM192" s="197">
        <v>351</v>
      </c>
    </row>
    <row r="193" spans="1:39" ht="24" customHeight="1">
      <c r="A193" s="196">
        <v>352</v>
      </c>
      <c r="B193" s="180">
        <v>22347</v>
      </c>
      <c r="C193" s="180">
        <v>43762</v>
      </c>
      <c r="D193" s="179">
        <v>58</v>
      </c>
      <c r="E193" s="4" t="s">
        <v>58</v>
      </c>
      <c r="F193" s="143" t="s">
        <v>116</v>
      </c>
      <c r="G193" s="142">
        <v>27.14375385615417</v>
      </c>
      <c r="H193" s="11" t="s">
        <v>59</v>
      </c>
      <c r="I193" s="141" t="s">
        <v>62</v>
      </c>
      <c r="J193" s="147">
        <v>123847</v>
      </c>
      <c r="K193" s="146">
        <v>620606</v>
      </c>
      <c r="L193" s="147">
        <v>34881</v>
      </c>
      <c r="M193" s="146">
        <v>144039</v>
      </c>
      <c r="N193" s="147">
        <v>90500</v>
      </c>
      <c r="O193" s="146">
        <v>429703</v>
      </c>
      <c r="P193" s="147">
        <v>7403</v>
      </c>
      <c r="Q193" s="146">
        <v>35114</v>
      </c>
      <c r="R193" s="147">
        <v>813492</v>
      </c>
      <c r="S193" s="146">
        <v>1172437</v>
      </c>
      <c r="T193" s="147">
        <v>116913</v>
      </c>
      <c r="U193" s="146">
        <v>168804</v>
      </c>
      <c r="V193" s="147">
        <v>482497</v>
      </c>
      <c r="W193" s="146">
        <v>1108204</v>
      </c>
      <c r="X193" s="195">
        <v>352</v>
      </c>
      <c r="Y193" s="147">
        <v>2243</v>
      </c>
      <c r="Z193" s="146">
        <v>14098</v>
      </c>
      <c r="AA193" s="147">
        <v>3580</v>
      </c>
      <c r="AB193" s="146">
        <v>18581</v>
      </c>
      <c r="AC193" s="147">
        <v>420.4</v>
      </c>
      <c r="AD193" s="146">
        <v>5226</v>
      </c>
      <c r="AE193" s="147">
        <v>5383</v>
      </c>
      <c r="AF193" s="146">
        <v>14799</v>
      </c>
      <c r="AG193" s="147">
        <v>8414</v>
      </c>
      <c r="AH193" s="146">
        <v>9460</v>
      </c>
      <c r="AI193" s="147"/>
      <c r="AJ193" s="146"/>
      <c r="AK193" s="147">
        <v>3484</v>
      </c>
      <c r="AL193" s="146">
        <v>4849</v>
      </c>
      <c r="AM193" s="194">
        <v>352</v>
      </c>
    </row>
    <row r="194" spans="1:39" ht="24" customHeight="1">
      <c r="A194" s="206">
        <v>353</v>
      </c>
      <c r="B194" s="205">
        <v>17401</v>
      </c>
      <c r="C194" s="205">
        <v>43756</v>
      </c>
      <c r="D194" s="204">
        <v>72</v>
      </c>
      <c r="E194" s="4" t="s">
        <v>58</v>
      </c>
      <c r="F194" s="143" t="s">
        <v>116</v>
      </c>
      <c r="G194" s="142">
        <v>27.290906461374156</v>
      </c>
      <c r="H194" s="11" t="s">
        <v>59</v>
      </c>
      <c r="I194" s="141" t="s">
        <v>62</v>
      </c>
      <c r="J194" s="147">
        <v>192523</v>
      </c>
      <c r="K194" s="146">
        <v>184237</v>
      </c>
      <c r="L194" s="147">
        <v>75087</v>
      </c>
      <c r="M194" s="146">
        <v>108135</v>
      </c>
      <c r="N194" s="147">
        <v>93045</v>
      </c>
      <c r="O194" s="146">
        <v>97143</v>
      </c>
      <c r="P194" s="147">
        <v>5610</v>
      </c>
      <c r="Q194" s="146">
        <v>14536</v>
      </c>
      <c r="R194" s="147">
        <v>226203</v>
      </c>
      <c r="S194" s="146">
        <v>233457</v>
      </c>
      <c r="T194" s="147">
        <v>147270</v>
      </c>
      <c r="U194" s="146">
        <v>156440</v>
      </c>
      <c r="V194" s="147">
        <v>107378</v>
      </c>
      <c r="W194" s="146">
        <v>136677</v>
      </c>
      <c r="X194" s="203">
        <v>353</v>
      </c>
      <c r="Y194" s="147">
        <v>3277</v>
      </c>
      <c r="Z194" s="146">
        <v>3277</v>
      </c>
      <c r="AA194" s="147">
        <v>1700</v>
      </c>
      <c r="AB194" s="146">
        <v>2202</v>
      </c>
      <c r="AC194" s="147">
        <v>3219</v>
      </c>
      <c r="AD194" s="146">
        <v>4287</v>
      </c>
      <c r="AE194" s="147">
        <v>2914</v>
      </c>
      <c r="AF194" s="146">
        <v>3677</v>
      </c>
      <c r="AG194" s="147">
        <v>13271</v>
      </c>
      <c r="AH194" s="146">
        <v>18042</v>
      </c>
      <c r="AI194" s="147"/>
      <c r="AJ194" s="146"/>
      <c r="AK194" s="147">
        <v>1120</v>
      </c>
      <c r="AL194" s="146">
        <v>2373</v>
      </c>
      <c r="AM194" s="202">
        <v>353</v>
      </c>
    </row>
    <row r="195" spans="1:39" ht="24" customHeight="1">
      <c r="A195" s="196">
        <v>354</v>
      </c>
      <c r="B195" s="180">
        <v>20488</v>
      </c>
      <c r="C195" s="180">
        <v>43811</v>
      </c>
      <c r="D195" s="179">
        <v>63</v>
      </c>
      <c r="E195" s="4" t="s">
        <v>58</v>
      </c>
      <c r="F195" s="143" t="s">
        <v>116</v>
      </c>
      <c r="G195" s="142">
        <v>24.122197976591949</v>
      </c>
      <c r="H195" s="11" t="s">
        <v>59</v>
      </c>
      <c r="I195" s="141" t="s">
        <v>62</v>
      </c>
      <c r="J195" s="147">
        <v>108527</v>
      </c>
      <c r="K195" s="146">
        <v>332447</v>
      </c>
      <c r="L195" s="147">
        <v>16926</v>
      </c>
      <c r="M195" s="146">
        <v>151110</v>
      </c>
      <c r="N195" s="147">
        <v>44922</v>
      </c>
      <c r="O195" s="146">
        <v>121309</v>
      </c>
      <c r="P195" s="147">
        <v>6474</v>
      </c>
      <c r="Q195" s="146">
        <v>20497</v>
      </c>
      <c r="R195" s="147">
        <v>232439</v>
      </c>
      <c r="S195" s="146">
        <v>349088</v>
      </c>
      <c r="T195" s="147">
        <v>138934</v>
      </c>
      <c r="U195" s="146">
        <v>166159</v>
      </c>
      <c r="V195" s="147">
        <v>126732</v>
      </c>
      <c r="W195" s="146">
        <v>212163</v>
      </c>
      <c r="X195" s="195">
        <v>354</v>
      </c>
      <c r="Y195" s="147">
        <v>5080</v>
      </c>
      <c r="Z195" s="146">
        <v>7588</v>
      </c>
      <c r="AA195" s="147">
        <v>4551</v>
      </c>
      <c r="AB195" s="146">
        <v>5318</v>
      </c>
      <c r="AC195" s="147">
        <v>3565</v>
      </c>
      <c r="AD195" s="146">
        <v>4536</v>
      </c>
      <c r="AE195" s="147">
        <v>4510</v>
      </c>
      <c r="AF195" s="146">
        <v>10200</v>
      </c>
      <c r="AG195" s="147">
        <v>10604</v>
      </c>
      <c r="AH195" s="146">
        <v>14736</v>
      </c>
      <c r="AI195" s="147"/>
      <c r="AJ195" s="146"/>
      <c r="AK195" s="147">
        <v>3023</v>
      </c>
      <c r="AL195" s="146">
        <v>4414</v>
      </c>
      <c r="AM195" s="194">
        <v>354</v>
      </c>
    </row>
    <row r="196" spans="1:39" ht="24" customHeight="1">
      <c r="A196" s="199">
        <v>355</v>
      </c>
      <c r="B196" s="190">
        <v>27787</v>
      </c>
      <c r="C196" s="190">
        <v>43792</v>
      </c>
      <c r="D196" s="189">
        <v>43</v>
      </c>
      <c r="E196" s="3" t="s">
        <v>61</v>
      </c>
      <c r="F196" s="143" t="s">
        <v>116</v>
      </c>
      <c r="G196" s="142">
        <v>49.868588226701945</v>
      </c>
      <c r="H196" s="11" t="s">
        <v>59</v>
      </c>
      <c r="I196" s="141" t="s">
        <v>62</v>
      </c>
      <c r="J196" s="147">
        <v>250447</v>
      </c>
      <c r="K196" s="146">
        <v>419721</v>
      </c>
      <c r="L196" s="147">
        <v>73036</v>
      </c>
      <c r="M196" s="146">
        <v>93932</v>
      </c>
      <c r="N196" s="147">
        <v>105738</v>
      </c>
      <c r="O196" s="146">
        <v>256998</v>
      </c>
      <c r="P196" s="147">
        <v>10234</v>
      </c>
      <c r="Q196" s="146">
        <v>32491</v>
      </c>
      <c r="R196" s="147">
        <v>263993</v>
      </c>
      <c r="S196" s="146">
        <v>1050301</v>
      </c>
      <c r="T196" s="147">
        <v>103796</v>
      </c>
      <c r="U196" s="146">
        <v>553736</v>
      </c>
      <c r="V196" s="147">
        <v>225178</v>
      </c>
      <c r="W196" s="146">
        <v>984430</v>
      </c>
      <c r="X196" s="198">
        <v>355</v>
      </c>
      <c r="Y196" s="147">
        <v>12430</v>
      </c>
      <c r="Z196" s="146">
        <v>11571</v>
      </c>
      <c r="AA196" s="147">
        <v>10390</v>
      </c>
      <c r="AB196" s="146">
        <v>9650</v>
      </c>
      <c r="AC196" s="147">
        <v>4191</v>
      </c>
      <c r="AD196" s="146">
        <v>4822</v>
      </c>
      <c r="AE196" s="147">
        <v>3472</v>
      </c>
      <c r="AF196" s="146">
        <v>3429</v>
      </c>
      <c r="AG196" s="147">
        <v>16018</v>
      </c>
      <c r="AH196" s="146">
        <v>22474</v>
      </c>
      <c r="AI196" s="147"/>
      <c r="AJ196" s="146"/>
      <c r="AK196" s="147">
        <v>6119</v>
      </c>
      <c r="AL196" s="146">
        <v>17248</v>
      </c>
      <c r="AM196" s="197">
        <v>355</v>
      </c>
    </row>
    <row r="197" spans="1:39" ht="24" customHeight="1">
      <c r="A197" s="199">
        <v>356</v>
      </c>
      <c r="B197" s="190">
        <v>28670</v>
      </c>
      <c r="C197" s="190">
        <v>43768</v>
      </c>
      <c r="D197" s="189">
        <v>41</v>
      </c>
      <c r="E197" s="3" t="s">
        <v>61</v>
      </c>
      <c r="F197" s="143" t="s">
        <v>63</v>
      </c>
      <c r="G197" s="142">
        <v>28.880332036071042</v>
      </c>
      <c r="H197" s="11" t="s">
        <v>59</v>
      </c>
      <c r="I197" s="141" t="s">
        <v>62</v>
      </c>
      <c r="J197" s="147">
        <v>121006</v>
      </c>
      <c r="K197" s="146">
        <v>264561</v>
      </c>
      <c r="L197" s="147">
        <v>28309</v>
      </c>
      <c r="M197" s="146">
        <v>53568</v>
      </c>
      <c r="N197" s="147">
        <v>340365</v>
      </c>
      <c r="O197" s="146">
        <v>694193</v>
      </c>
      <c r="P197" s="147">
        <v>18818</v>
      </c>
      <c r="Q197" s="146">
        <v>81659</v>
      </c>
      <c r="R197" s="147">
        <v>742852</v>
      </c>
      <c r="S197" s="146">
        <v>787506</v>
      </c>
      <c r="T197" s="147">
        <v>168345</v>
      </c>
      <c r="U197" s="146">
        <v>230861</v>
      </c>
      <c r="V197" s="147">
        <v>443571</v>
      </c>
      <c r="W197" s="146">
        <v>681697</v>
      </c>
      <c r="X197" s="198">
        <v>356</v>
      </c>
      <c r="Y197" s="147">
        <v>4185</v>
      </c>
      <c r="Z197" s="146">
        <v>6414</v>
      </c>
      <c r="AA197" s="147">
        <v>9683</v>
      </c>
      <c r="AB197" s="146">
        <v>8839</v>
      </c>
      <c r="AC197" s="147">
        <v>1364</v>
      </c>
      <c r="AD197" s="146">
        <v>2338</v>
      </c>
      <c r="AE197" s="147">
        <v>10399</v>
      </c>
      <c r="AF197" s="146">
        <v>5766</v>
      </c>
      <c r="AG197" s="147">
        <v>9547</v>
      </c>
      <c r="AH197" s="146">
        <v>11595</v>
      </c>
      <c r="AI197" s="147"/>
      <c r="AJ197" s="146"/>
      <c r="AK197" s="147">
        <v>3451</v>
      </c>
      <c r="AL197" s="146">
        <v>7692</v>
      </c>
      <c r="AM197" s="197">
        <v>356</v>
      </c>
    </row>
    <row r="198" spans="1:39" ht="24" customHeight="1">
      <c r="A198" s="196">
        <v>357</v>
      </c>
      <c r="B198" s="180">
        <v>24028</v>
      </c>
      <c r="C198" s="180">
        <v>43768</v>
      </c>
      <c r="D198" s="179">
        <v>54</v>
      </c>
      <c r="E198" s="4" t="s">
        <v>58</v>
      </c>
      <c r="F198" s="143" t="s">
        <v>116</v>
      </c>
      <c r="G198" s="142">
        <v>28.673636958230009</v>
      </c>
      <c r="H198" s="11" t="s">
        <v>59</v>
      </c>
      <c r="I198" s="141" t="s">
        <v>62</v>
      </c>
      <c r="J198" s="147">
        <v>39867</v>
      </c>
      <c r="K198" s="146">
        <v>66269</v>
      </c>
      <c r="L198" s="147">
        <v>15738</v>
      </c>
      <c r="M198" s="146">
        <v>46187</v>
      </c>
      <c r="N198" s="147">
        <v>338996</v>
      </c>
      <c r="O198" s="146">
        <v>185237</v>
      </c>
      <c r="P198" s="147">
        <v>18777</v>
      </c>
      <c r="Q198" s="146">
        <v>37079</v>
      </c>
      <c r="R198" s="147">
        <v>384026</v>
      </c>
      <c r="S198" s="146">
        <v>227907</v>
      </c>
      <c r="T198" s="147">
        <v>170102</v>
      </c>
      <c r="U198" s="146">
        <v>146678</v>
      </c>
      <c r="V198" s="147">
        <v>66789</v>
      </c>
      <c r="W198" s="146">
        <v>165231</v>
      </c>
      <c r="X198" s="195">
        <v>357</v>
      </c>
      <c r="Y198" s="147">
        <v>6939</v>
      </c>
      <c r="Z198" s="146">
        <v>9556</v>
      </c>
      <c r="AA198" s="147">
        <v>2657</v>
      </c>
      <c r="AB198" s="146">
        <v>3683</v>
      </c>
      <c r="AC198" s="147">
        <v>6564</v>
      </c>
      <c r="AD198" s="146">
        <v>6504</v>
      </c>
      <c r="AE198" s="147">
        <v>1898</v>
      </c>
      <c r="AF198" s="146">
        <v>2451</v>
      </c>
      <c r="AG198" s="147">
        <v>18454</v>
      </c>
      <c r="AH198" s="146">
        <v>21217</v>
      </c>
      <c r="AI198" s="147"/>
      <c r="AJ198" s="146"/>
      <c r="AK198" s="147">
        <v>18454</v>
      </c>
      <c r="AL198" s="146">
        <v>21217</v>
      </c>
      <c r="AM198" s="194">
        <v>357</v>
      </c>
    </row>
    <row r="199" spans="1:39" ht="24" customHeight="1">
      <c r="A199" s="196">
        <v>358</v>
      </c>
      <c r="B199" s="180">
        <v>24478</v>
      </c>
      <c r="C199" s="180">
        <v>43767</v>
      </c>
      <c r="D199" s="179">
        <v>52</v>
      </c>
      <c r="E199" s="3" t="s">
        <v>61</v>
      </c>
      <c r="F199" s="143" t="s">
        <v>116</v>
      </c>
      <c r="G199" s="142">
        <v>39.571005917159759</v>
      </c>
      <c r="H199" s="11" t="s">
        <v>59</v>
      </c>
      <c r="I199" s="141" t="s">
        <v>62</v>
      </c>
      <c r="J199" s="147">
        <v>108858</v>
      </c>
      <c r="K199" s="146">
        <v>123832</v>
      </c>
      <c r="L199" s="147">
        <v>75759</v>
      </c>
      <c r="M199" s="146">
        <v>85796</v>
      </c>
      <c r="N199" s="147">
        <v>96810</v>
      </c>
      <c r="O199" s="146">
        <v>141540</v>
      </c>
      <c r="P199" s="147">
        <v>25558</v>
      </c>
      <c r="Q199" s="146">
        <v>58886</v>
      </c>
      <c r="R199" s="147">
        <v>231449</v>
      </c>
      <c r="S199" s="146">
        <v>242943</v>
      </c>
      <c r="T199" s="147">
        <v>209179</v>
      </c>
      <c r="U199" s="146">
        <v>163347</v>
      </c>
      <c r="V199" s="147">
        <v>140697</v>
      </c>
      <c r="W199" s="146">
        <v>148593</v>
      </c>
      <c r="X199" s="195">
        <v>358</v>
      </c>
      <c r="Y199" s="147">
        <v>4996</v>
      </c>
      <c r="Z199" s="146">
        <v>7722</v>
      </c>
      <c r="AA199" s="147">
        <v>4154</v>
      </c>
      <c r="AB199" s="146">
        <v>9085</v>
      </c>
      <c r="AC199" s="147">
        <v>2262</v>
      </c>
      <c r="AD199" s="146">
        <v>2870</v>
      </c>
      <c r="AE199" s="147">
        <v>651.1</v>
      </c>
      <c r="AF199" s="146">
        <v>842.6</v>
      </c>
      <c r="AG199" s="147">
        <v>9101</v>
      </c>
      <c r="AH199" s="146">
        <v>9055</v>
      </c>
      <c r="AI199" s="147"/>
      <c r="AJ199" s="146"/>
      <c r="AK199" s="147">
        <v>9101</v>
      </c>
      <c r="AL199" s="146">
        <v>9055</v>
      </c>
      <c r="AM199" s="194">
        <v>358</v>
      </c>
    </row>
    <row r="200" spans="1:39" ht="24" customHeight="1">
      <c r="A200" s="196">
        <v>359</v>
      </c>
      <c r="B200" s="180">
        <v>22852</v>
      </c>
      <c r="C200" s="180">
        <v>43759</v>
      </c>
      <c r="D200" s="179">
        <v>57</v>
      </c>
      <c r="E200" s="3" t="s">
        <v>61</v>
      </c>
      <c r="F200" s="143" t="s">
        <v>116</v>
      </c>
      <c r="G200" s="142">
        <v>39.150803093396796</v>
      </c>
      <c r="H200" s="11" t="s">
        <v>59</v>
      </c>
      <c r="I200" s="141" t="s">
        <v>62</v>
      </c>
      <c r="J200" s="147">
        <v>114845</v>
      </c>
      <c r="K200" s="146">
        <v>145337</v>
      </c>
      <c r="L200" s="147">
        <v>36817</v>
      </c>
      <c r="M200" s="146">
        <v>56071</v>
      </c>
      <c r="N200" s="147">
        <v>49258</v>
      </c>
      <c r="O200" s="146">
        <v>54764</v>
      </c>
      <c r="P200" s="147">
        <v>6988</v>
      </c>
      <c r="Q200" s="146">
        <v>12958</v>
      </c>
      <c r="R200" s="147">
        <v>196995</v>
      </c>
      <c r="S200" s="146">
        <v>214588</v>
      </c>
      <c r="T200" s="147">
        <v>145964</v>
      </c>
      <c r="U200" s="146">
        <v>180798</v>
      </c>
      <c r="V200" s="147">
        <v>127485</v>
      </c>
      <c r="W200" s="146">
        <v>139656</v>
      </c>
      <c r="X200" s="195">
        <v>359</v>
      </c>
      <c r="Y200" s="147">
        <v>1772</v>
      </c>
      <c r="Z200" s="146">
        <v>1895</v>
      </c>
      <c r="AA200" s="147">
        <v>850.7</v>
      </c>
      <c r="AB200" s="146">
        <v>950.4</v>
      </c>
      <c r="AC200" s="147">
        <v>1615</v>
      </c>
      <c r="AD200" s="146">
        <v>4097</v>
      </c>
      <c r="AE200" s="147">
        <v>1211</v>
      </c>
      <c r="AF200" s="146">
        <v>5832</v>
      </c>
      <c r="AG200" s="147">
        <v>7825</v>
      </c>
      <c r="AH200" s="146">
        <v>9724</v>
      </c>
      <c r="AI200" s="147"/>
      <c r="AJ200" s="146"/>
      <c r="AK200" s="147">
        <v>7825</v>
      </c>
      <c r="AL200" s="146">
        <v>9724</v>
      </c>
      <c r="AM200" s="194">
        <v>359</v>
      </c>
    </row>
    <row r="201" spans="1:39" ht="24" customHeight="1">
      <c r="A201" s="199">
        <v>360</v>
      </c>
      <c r="B201" s="190">
        <v>26316</v>
      </c>
      <c r="C201" s="190">
        <v>43775</v>
      </c>
      <c r="D201" s="189">
        <v>47</v>
      </c>
      <c r="E201" s="3" t="s">
        <v>61</v>
      </c>
      <c r="F201" s="143" t="s">
        <v>116</v>
      </c>
      <c r="G201" s="142">
        <v>24.787791473834105</v>
      </c>
      <c r="H201" s="11" t="s">
        <v>59</v>
      </c>
      <c r="I201" s="141" t="s">
        <v>62</v>
      </c>
      <c r="J201" s="147">
        <v>31545</v>
      </c>
      <c r="K201" s="146">
        <v>46115</v>
      </c>
      <c r="L201" s="147">
        <v>21803</v>
      </c>
      <c r="M201" s="146">
        <v>28574</v>
      </c>
      <c r="N201" s="147">
        <v>373357</v>
      </c>
      <c r="O201" s="146">
        <v>513636</v>
      </c>
      <c r="P201" s="147">
        <v>128011</v>
      </c>
      <c r="Q201" s="146">
        <v>219613</v>
      </c>
      <c r="R201" s="147">
        <v>383539</v>
      </c>
      <c r="S201" s="146">
        <v>472311</v>
      </c>
      <c r="T201" s="147">
        <v>317830</v>
      </c>
      <c r="U201" s="146">
        <v>271318</v>
      </c>
      <c r="V201" s="147">
        <v>510238</v>
      </c>
      <c r="W201" s="146">
        <v>698326</v>
      </c>
      <c r="X201" s="198">
        <v>360</v>
      </c>
      <c r="Y201" s="147">
        <v>4973</v>
      </c>
      <c r="Z201" s="146">
        <v>5170</v>
      </c>
      <c r="AA201" s="147">
        <v>2628</v>
      </c>
      <c r="AB201" s="146">
        <v>2507</v>
      </c>
      <c r="AC201" s="147">
        <v>2653</v>
      </c>
      <c r="AD201" s="146">
        <v>2844</v>
      </c>
      <c r="AE201" s="147">
        <v>1761</v>
      </c>
      <c r="AF201" s="146">
        <v>3332</v>
      </c>
      <c r="AG201" s="147">
        <v>5996</v>
      </c>
      <c r="AH201" s="146">
        <v>6301</v>
      </c>
      <c r="AI201" s="147"/>
      <c r="AJ201" s="146"/>
      <c r="AK201" s="147">
        <v>5996</v>
      </c>
      <c r="AL201" s="146">
        <v>6301</v>
      </c>
      <c r="AM201" s="197">
        <v>360</v>
      </c>
    </row>
    <row r="202" spans="1:39" ht="24" customHeight="1">
      <c r="A202" s="211">
        <v>362</v>
      </c>
      <c r="B202" s="210">
        <v>16038</v>
      </c>
      <c r="C202" s="210">
        <v>43767</v>
      </c>
      <c r="D202" s="209">
        <v>75</v>
      </c>
      <c r="E202" s="4" t="s">
        <v>58</v>
      </c>
      <c r="F202" s="143" t="s">
        <v>116</v>
      </c>
      <c r="G202" s="142">
        <v>30.642434488588332</v>
      </c>
      <c r="H202" s="5" t="s">
        <v>64</v>
      </c>
      <c r="I202" s="141" t="s">
        <v>62</v>
      </c>
      <c r="J202" s="147">
        <v>162670</v>
      </c>
      <c r="K202" s="146">
        <v>201752</v>
      </c>
      <c r="L202" s="147">
        <v>133411</v>
      </c>
      <c r="M202" s="146">
        <v>245146</v>
      </c>
      <c r="N202" s="147">
        <v>612054</v>
      </c>
      <c r="O202" s="146">
        <v>541771</v>
      </c>
      <c r="P202" s="147">
        <v>21085</v>
      </c>
      <c r="Q202" s="146">
        <v>48210</v>
      </c>
      <c r="R202" s="147">
        <v>264292</v>
      </c>
      <c r="S202" s="146">
        <v>271879</v>
      </c>
      <c r="T202" s="147">
        <v>122758</v>
      </c>
      <c r="U202" s="146">
        <v>201792</v>
      </c>
      <c r="V202" s="147">
        <v>188331</v>
      </c>
      <c r="W202" s="146">
        <v>204148</v>
      </c>
      <c r="X202" s="208">
        <v>362</v>
      </c>
      <c r="Y202" s="147">
        <v>2594</v>
      </c>
      <c r="Z202" s="146">
        <v>2621</v>
      </c>
      <c r="AA202" s="147">
        <v>682.3</v>
      </c>
      <c r="AB202" s="146">
        <v>805.5</v>
      </c>
      <c r="AC202" s="147">
        <v>3121</v>
      </c>
      <c r="AD202" s="146">
        <v>2929</v>
      </c>
      <c r="AE202" s="147">
        <v>619.79999999999995</v>
      </c>
      <c r="AF202" s="146">
        <v>668.2</v>
      </c>
      <c r="AG202" s="147">
        <v>5196</v>
      </c>
      <c r="AH202" s="146">
        <v>8771</v>
      </c>
      <c r="AI202" s="147"/>
      <c r="AJ202" s="146"/>
      <c r="AK202" s="147">
        <v>5196</v>
      </c>
      <c r="AL202" s="146">
        <v>8771</v>
      </c>
      <c r="AM202" s="207">
        <v>362</v>
      </c>
    </row>
    <row r="203" spans="1:39" ht="24" customHeight="1">
      <c r="A203" s="211">
        <v>363</v>
      </c>
      <c r="B203" s="210">
        <v>18550</v>
      </c>
      <c r="C203" s="210">
        <v>43762</v>
      </c>
      <c r="D203" s="209">
        <v>69</v>
      </c>
      <c r="E203" s="3" t="s">
        <v>61</v>
      </c>
      <c r="F203" s="143" t="s">
        <v>116</v>
      </c>
      <c r="G203" s="142">
        <v>31.635974357070364</v>
      </c>
      <c r="H203" s="5" t="s">
        <v>64</v>
      </c>
      <c r="I203" s="141" t="s">
        <v>62</v>
      </c>
      <c r="J203" s="147">
        <v>38778</v>
      </c>
      <c r="K203" s="146">
        <v>75214</v>
      </c>
      <c r="L203" s="147">
        <v>22900</v>
      </c>
      <c r="M203" s="146">
        <v>57819</v>
      </c>
      <c r="N203" s="147">
        <v>37275</v>
      </c>
      <c r="O203" s="146">
        <v>83304</v>
      </c>
      <c r="P203" s="147">
        <v>9923</v>
      </c>
      <c r="Q203" s="146">
        <v>41812</v>
      </c>
      <c r="R203" s="147">
        <v>209983</v>
      </c>
      <c r="S203" s="146">
        <v>307344</v>
      </c>
      <c r="T203" s="147">
        <v>113998</v>
      </c>
      <c r="U203" s="146">
        <v>129264</v>
      </c>
      <c r="V203" s="147">
        <v>161271</v>
      </c>
      <c r="W203" s="146">
        <v>182144</v>
      </c>
      <c r="X203" s="208">
        <v>363</v>
      </c>
      <c r="Y203" s="147">
        <v>1799</v>
      </c>
      <c r="Z203" s="146">
        <v>3380</v>
      </c>
      <c r="AA203" s="147">
        <v>1023</v>
      </c>
      <c r="AB203" s="146">
        <v>2435</v>
      </c>
      <c r="AC203" s="147">
        <v>1018</v>
      </c>
      <c r="AD203" s="146">
        <v>1147</v>
      </c>
      <c r="AE203" s="147">
        <v>84.26</v>
      </c>
      <c r="AF203" s="146">
        <v>205.9</v>
      </c>
      <c r="AG203" s="147">
        <v>8030</v>
      </c>
      <c r="AH203" s="146">
        <v>11099</v>
      </c>
      <c r="AI203" s="147"/>
      <c r="AJ203" s="146"/>
      <c r="AK203" s="147">
        <v>8030</v>
      </c>
      <c r="AL203" s="146">
        <v>11099</v>
      </c>
      <c r="AM203" s="207">
        <v>363</v>
      </c>
    </row>
    <row r="204" spans="1:39" ht="24" customHeight="1">
      <c r="A204" s="199">
        <v>364</v>
      </c>
      <c r="B204" s="190">
        <v>25846</v>
      </c>
      <c r="C204" s="190">
        <v>43762</v>
      </c>
      <c r="D204" s="189">
        <v>49</v>
      </c>
      <c r="E204" s="3" t="s">
        <v>61</v>
      </c>
      <c r="F204" s="143" t="s">
        <v>116</v>
      </c>
      <c r="G204" s="142">
        <v>31.783858411424305</v>
      </c>
      <c r="H204" s="11" t="s">
        <v>59</v>
      </c>
      <c r="I204" s="141" t="s">
        <v>62</v>
      </c>
      <c r="J204" s="147">
        <v>86328</v>
      </c>
      <c r="K204" s="146">
        <v>113670</v>
      </c>
      <c r="L204" s="147">
        <v>47787</v>
      </c>
      <c r="M204" s="146">
        <v>60621</v>
      </c>
      <c r="N204" s="147">
        <v>118041</v>
      </c>
      <c r="O204" s="146">
        <v>138561</v>
      </c>
      <c r="P204" s="147">
        <v>29782</v>
      </c>
      <c r="Q204" s="146">
        <v>45703</v>
      </c>
      <c r="R204" s="147">
        <v>412940</v>
      </c>
      <c r="S204" s="146">
        <v>371350</v>
      </c>
      <c r="T204" s="147">
        <v>230075</v>
      </c>
      <c r="U204" s="146">
        <v>281270</v>
      </c>
      <c r="V204" s="147">
        <v>230791</v>
      </c>
      <c r="W204" s="146">
        <v>232035</v>
      </c>
      <c r="X204" s="198">
        <v>364</v>
      </c>
      <c r="Y204" s="147">
        <v>2401</v>
      </c>
      <c r="Z204" s="146">
        <v>2698</v>
      </c>
      <c r="AA204" s="147">
        <v>1302</v>
      </c>
      <c r="AB204" s="146">
        <v>1417</v>
      </c>
      <c r="AC204" s="147">
        <v>6047</v>
      </c>
      <c r="AD204" s="146">
        <v>6842</v>
      </c>
      <c r="AE204" s="147">
        <v>2913</v>
      </c>
      <c r="AF204" s="146">
        <v>3109</v>
      </c>
      <c r="AG204" s="147">
        <v>12306</v>
      </c>
      <c r="AH204" s="146">
        <v>14467</v>
      </c>
      <c r="AI204" s="147"/>
      <c r="AJ204" s="146"/>
      <c r="AK204" s="147">
        <v>12306</v>
      </c>
      <c r="AL204" s="146">
        <v>14467</v>
      </c>
      <c r="AM204" s="197">
        <v>364</v>
      </c>
    </row>
    <row r="205" spans="1:39" ht="24" customHeight="1">
      <c r="A205" s="199">
        <v>365</v>
      </c>
      <c r="B205" s="190">
        <v>25979</v>
      </c>
      <c r="C205" s="190">
        <v>43809</v>
      </c>
      <c r="D205" s="189">
        <v>48</v>
      </c>
      <c r="E205" s="3" t="s">
        <v>61</v>
      </c>
      <c r="F205" s="143" t="s">
        <v>116</v>
      </c>
      <c r="G205" s="142">
        <v>29.70195176238439</v>
      </c>
      <c r="H205" s="11" t="s">
        <v>59</v>
      </c>
      <c r="I205" s="141" t="s">
        <v>62</v>
      </c>
      <c r="J205" s="147">
        <v>81126</v>
      </c>
      <c r="K205" s="146">
        <v>3006772</v>
      </c>
      <c r="L205" s="147">
        <v>38957</v>
      </c>
      <c r="M205" s="146">
        <v>120676</v>
      </c>
      <c r="N205" s="147">
        <v>71357</v>
      </c>
      <c r="O205" s="146">
        <v>322128</v>
      </c>
      <c r="P205" s="147">
        <v>20162</v>
      </c>
      <c r="Q205" s="146">
        <v>133270</v>
      </c>
      <c r="R205" s="147">
        <v>267238</v>
      </c>
      <c r="S205" s="146">
        <v>947457</v>
      </c>
      <c r="T205" s="147">
        <v>119326</v>
      </c>
      <c r="U205" s="146">
        <v>246131</v>
      </c>
      <c r="V205" s="147">
        <v>379894</v>
      </c>
      <c r="W205" s="146">
        <v>1499440</v>
      </c>
      <c r="X205" s="198">
        <v>365</v>
      </c>
      <c r="Y205" s="147">
        <v>4746</v>
      </c>
      <c r="Z205" s="146">
        <v>16619</v>
      </c>
      <c r="AA205" s="147">
        <v>2503</v>
      </c>
      <c r="AB205" s="146">
        <v>7767</v>
      </c>
      <c r="AC205" s="147">
        <v>5296</v>
      </c>
      <c r="AD205" s="146">
        <v>49702</v>
      </c>
      <c r="AE205" s="147">
        <v>4017</v>
      </c>
      <c r="AF205" s="146">
        <v>65289</v>
      </c>
      <c r="AG205" s="147">
        <v>12271</v>
      </c>
      <c r="AH205" s="146">
        <v>17578</v>
      </c>
      <c r="AI205" s="147"/>
      <c r="AJ205" s="146"/>
      <c r="AK205" s="147">
        <v>12271</v>
      </c>
      <c r="AL205" s="146">
        <v>17578</v>
      </c>
      <c r="AM205" s="197">
        <v>365</v>
      </c>
    </row>
    <row r="206" spans="1:39" ht="24" customHeight="1">
      <c r="A206" s="196">
        <v>366</v>
      </c>
      <c r="B206" s="180">
        <v>20055</v>
      </c>
      <c r="C206" s="180">
        <v>43776</v>
      </c>
      <c r="D206" s="179">
        <v>64</v>
      </c>
      <c r="E206" s="3" t="s">
        <v>61</v>
      </c>
      <c r="F206" s="143" t="s">
        <v>116</v>
      </c>
      <c r="G206" s="142">
        <v>34.340187110091811</v>
      </c>
      <c r="H206" s="11" t="s">
        <v>59</v>
      </c>
      <c r="I206" s="141" t="s">
        <v>62</v>
      </c>
      <c r="J206" s="147">
        <v>104752</v>
      </c>
      <c r="K206" s="146">
        <v>249929</v>
      </c>
      <c r="L206" s="147">
        <v>96315</v>
      </c>
      <c r="M206" s="146">
        <v>301977</v>
      </c>
      <c r="N206" s="147">
        <v>36537</v>
      </c>
      <c r="O206" s="146">
        <v>144257</v>
      </c>
      <c r="P206" s="147">
        <v>19369</v>
      </c>
      <c r="Q206" s="146">
        <v>67897</v>
      </c>
      <c r="R206" s="147">
        <v>133648</v>
      </c>
      <c r="S206" s="146">
        <v>161081</v>
      </c>
      <c r="T206" s="147">
        <v>38230</v>
      </c>
      <c r="U206" s="146">
        <v>43377</v>
      </c>
      <c r="V206" s="147">
        <v>87531</v>
      </c>
      <c r="W206" s="146">
        <v>135329</v>
      </c>
      <c r="X206" s="195">
        <v>366</v>
      </c>
      <c r="Y206" s="147">
        <v>3040</v>
      </c>
      <c r="Z206" s="146">
        <v>6185</v>
      </c>
      <c r="AA206" s="147">
        <v>658</v>
      </c>
      <c r="AB206" s="146">
        <v>2698</v>
      </c>
      <c r="AC206" s="147">
        <v>3597</v>
      </c>
      <c r="AD206" s="146">
        <v>4010</v>
      </c>
      <c r="AE206" s="147">
        <v>974.1</v>
      </c>
      <c r="AF206" s="146">
        <v>1484</v>
      </c>
      <c r="AG206" s="147">
        <v>6124</v>
      </c>
      <c r="AH206" s="146">
        <v>8231</v>
      </c>
      <c r="AI206" s="147"/>
      <c r="AJ206" s="146"/>
      <c r="AK206" s="147">
        <v>6124</v>
      </c>
      <c r="AL206" s="146">
        <v>8231</v>
      </c>
      <c r="AM206" s="194">
        <v>366</v>
      </c>
    </row>
    <row r="207" spans="1:39" ht="24" customHeight="1">
      <c r="A207" s="196">
        <v>367</v>
      </c>
      <c r="B207" s="180">
        <v>25083</v>
      </c>
      <c r="C207" s="180">
        <v>43777</v>
      </c>
      <c r="D207" s="179">
        <v>51</v>
      </c>
      <c r="E207" s="4" t="s">
        <v>58</v>
      </c>
      <c r="F207" s="143" t="s">
        <v>116</v>
      </c>
      <c r="G207" s="142">
        <v>32.877457521950888</v>
      </c>
      <c r="H207" s="11" t="s">
        <v>59</v>
      </c>
      <c r="I207" s="141" t="s">
        <v>62</v>
      </c>
      <c r="J207" s="147">
        <v>58836</v>
      </c>
      <c r="K207" s="146">
        <v>55762</v>
      </c>
      <c r="L207" s="147">
        <v>34512</v>
      </c>
      <c r="M207" s="146">
        <v>41382</v>
      </c>
      <c r="N207" s="147">
        <v>101585</v>
      </c>
      <c r="O207" s="146">
        <v>94990</v>
      </c>
      <c r="P207" s="147">
        <v>22880</v>
      </c>
      <c r="Q207" s="146">
        <v>32158</v>
      </c>
      <c r="R207" s="147">
        <v>401010</v>
      </c>
      <c r="S207" s="146">
        <v>335184</v>
      </c>
      <c r="T207" s="147">
        <v>193576</v>
      </c>
      <c r="U207" s="146">
        <v>129348</v>
      </c>
      <c r="V207" s="147">
        <v>204382</v>
      </c>
      <c r="W207" s="146">
        <v>164949</v>
      </c>
      <c r="X207" s="195">
        <v>367</v>
      </c>
      <c r="Y207" s="147">
        <v>1876</v>
      </c>
      <c r="Z207" s="146">
        <v>1770</v>
      </c>
      <c r="AA207" s="147">
        <v>1173</v>
      </c>
      <c r="AB207" s="146">
        <v>1180</v>
      </c>
      <c r="AC207" s="147">
        <v>2167</v>
      </c>
      <c r="AD207" s="146">
        <v>2320</v>
      </c>
      <c r="AE207" s="147">
        <v>346.2</v>
      </c>
      <c r="AF207" s="146">
        <v>1007</v>
      </c>
      <c r="AG207" s="147">
        <v>3929</v>
      </c>
      <c r="AH207" s="146">
        <v>3427</v>
      </c>
      <c r="AI207" s="147"/>
      <c r="AJ207" s="146"/>
      <c r="AK207" s="147">
        <v>3929</v>
      </c>
      <c r="AL207" s="146">
        <v>3427</v>
      </c>
      <c r="AM207" s="194">
        <v>367</v>
      </c>
    </row>
    <row r="208" spans="1:39" ht="24" customHeight="1">
      <c r="A208" s="211">
        <v>368</v>
      </c>
      <c r="B208" s="210">
        <v>17751</v>
      </c>
      <c r="C208" s="210">
        <v>43775</v>
      </c>
      <c r="D208" s="209">
        <v>71</v>
      </c>
      <c r="E208" s="3" t="s">
        <v>61</v>
      </c>
      <c r="F208" s="143" t="s">
        <v>116</v>
      </c>
      <c r="G208" s="142">
        <v>24.434263501318895</v>
      </c>
      <c r="H208" s="5" t="s">
        <v>64</v>
      </c>
      <c r="I208" s="141" t="s">
        <v>62</v>
      </c>
      <c r="J208" s="147">
        <v>23247</v>
      </c>
      <c r="K208" s="146">
        <v>156033</v>
      </c>
      <c r="L208" s="147">
        <v>10247</v>
      </c>
      <c r="M208" s="146">
        <v>88857</v>
      </c>
      <c r="N208" s="147">
        <v>24070</v>
      </c>
      <c r="O208" s="146">
        <v>102320</v>
      </c>
      <c r="P208" s="147">
        <v>2292</v>
      </c>
      <c r="Q208" s="146">
        <v>43650</v>
      </c>
      <c r="R208" s="147">
        <v>112700</v>
      </c>
      <c r="S208" s="146">
        <v>181185</v>
      </c>
      <c r="T208" s="147">
        <v>35369</v>
      </c>
      <c r="U208" s="146">
        <v>88245</v>
      </c>
      <c r="V208" s="147">
        <v>60946</v>
      </c>
      <c r="W208" s="146">
        <v>100736</v>
      </c>
      <c r="X208" s="208">
        <v>368</v>
      </c>
      <c r="Y208" s="147">
        <v>1564</v>
      </c>
      <c r="Z208" s="146">
        <v>2448</v>
      </c>
      <c r="AA208" s="147">
        <v>778.8</v>
      </c>
      <c r="AB208" s="146">
        <v>1438</v>
      </c>
      <c r="AC208" s="147">
        <v>254.3</v>
      </c>
      <c r="AD208" s="146">
        <v>522.20000000000005</v>
      </c>
      <c r="AE208" s="147">
        <v>239.6</v>
      </c>
      <c r="AF208" s="146">
        <v>558.29999999999995</v>
      </c>
      <c r="AG208" s="147">
        <v>778.4</v>
      </c>
      <c r="AH208" s="146">
        <v>1889</v>
      </c>
      <c r="AI208" s="147"/>
      <c r="AJ208" s="146"/>
      <c r="AK208" s="147">
        <v>778.4</v>
      </c>
      <c r="AL208" s="146">
        <v>1889</v>
      </c>
      <c r="AM208" s="207">
        <v>368</v>
      </c>
    </row>
    <row r="209" spans="1:39" ht="24" customHeight="1">
      <c r="A209" s="206">
        <v>369</v>
      </c>
      <c r="B209" s="205">
        <v>19963</v>
      </c>
      <c r="C209" s="205">
        <v>43769</v>
      </c>
      <c r="D209" s="204">
        <v>65</v>
      </c>
      <c r="E209" s="4" t="s">
        <v>58</v>
      </c>
      <c r="F209" s="143" t="s">
        <v>116</v>
      </c>
      <c r="G209" s="142">
        <v>25.601851851851851</v>
      </c>
      <c r="H209" s="11" t="s">
        <v>59</v>
      </c>
      <c r="I209" s="141" t="s">
        <v>62</v>
      </c>
      <c r="J209" s="147">
        <v>187560</v>
      </c>
      <c r="K209" s="146">
        <v>219192</v>
      </c>
      <c r="L209" s="147">
        <v>95491</v>
      </c>
      <c r="M209" s="146">
        <v>88908</v>
      </c>
      <c r="N209" s="147">
        <v>246232</v>
      </c>
      <c r="O209" s="146">
        <v>283075</v>
      </c>
      <c r="P209" s="147">
        <v>162177</v>
      </c>
      <c r="Q209" s="146">
        <v>191965</v>
      </c>
      <c r="R209" s="147">
        <v>1272546</v>
      </c>
      <c r="S209" s="146">
        <v>1824265</v>
      </c>
      <c r="T209" s="147">
        <v>326999</v>
      </c>
      <c r="U209" s="146">
        <v>398056</v>
      </c>
      <c r="V209" s="147">
        <v>1152796</v>
      </c>
      <c r="W209" s="146">
        <v>1296970</v>
      </c>
      <c r="X209" s="203">
        <v>369</v>
      </c>
      <c r="Y209" s="147">
        <v>1765</v>
      </c>
      <c r="Z209" s="146">
        <v>1986</v>
      </c>
      <c r="AA209" s="147">
        <v>1006</v>
      </c>
      <c r="AB209" s="146">
        <v>1186</v>
      </c>
      <c r="AC209" s="147">
        <v>1446</v>
      </c>
      <c r="AD209" s="146">
        <v>1737</v>
      </c>
      <c r="AE209" s="147">
        <v>564.70000000000005</v>
      </c>
      <c r="AF209" s="146">
        <v>1001</v>
      </c>
      <c r="AG209" s="147">
        <v>11480</v>
      </c>
      <c r="AH209" s="146">
        <v>10304</v>
      </c>
      <c r="AI209" s="147"/>
      <c r="AJ209" s="146"/>
      <c r="AK209" s="147">
        <v>11480</v>
      </c>
      <c r="AL209" s="146">
        <v>10304</v>
      </c>
      <c r="AM209" s="202">
        <v>369</v>
      </c>
    </row>
    <row r="210" spans="1:39" ht="24" customHeight="1">
      <c r="A210" s="196">
        <v>370</v>
      </c>
      <c r="B210" s="180">
        <v>22455</v>
      </c>
      <c r="C210" s="180">
        <v>43773</v>
      </c>
      <c r="D210" s="179">
        <v>58</v>
      </c>
      <c r="E210" s="4" t="s">
        <v>58</v>
      </c>
      <c r="F210" s="143" t="s">
        <v>116</v>
      </c>
      <c r="G210" s="142">
        <v>21.061628155428711</v>
      </c>
      <c r="H210" s="11" t="s">
        <v>59</v>
      </c>
      <c r="I210" s="141" t="s">
        <v>62</v>
      </c>
      <c r="J210" s="147">
        <v>186662</v>
      </c>
      <c r="K210" s="146">
        <v>162696</v>
      </c>
      <c r="L210" s="147">
        <v>123716</v>
      </c>
      <c r="M210" s="146">
        <v>164777</v>
      </c>
      <c r="N210" s="147">
        <v>145786</v>
      </c>
      <c r="O210" s="146">
        <v>108962</v>
      </c>
      <c r="P210" s="147">
        <v>6952</v>
      </c>
      <c r="Q210" s="146">
        <v>19913</v>
      </c>
      <c r="R210" s="147">
        <v>552358</v>
      </c>
      <c r="S210" s="146">
        <v>457901</v>
      </c>
      <c r="T210" s="147">
        <v>188900</v>
      </c>
      <c r="U210" s="146">
        <v>157436</v>
      </c>
      <c r="V210" s="147">
        <v>200108</v>
      </c>
      <c r="W210" s="146">
        <v>368901</v>
      </c>
      <c r="X210" s="195">
        <v>370</v>
      </c>
      <c r="Y210" s="147">
        <v>10347</v>
      </c>
      <c r="Z210" s="146">
        <v>13071</v>
      </c>
      <c r="AA210" s="147">
        <v>5162</v>
      </c>
      <c r="AB210" s="146">
        <v>6258</v>
      </c>
      <c r="AC210" s="147">
        <v>2854</v>
      </c>
      <c r="AD210" s="146">
        <v>3174</v>
      </c>
      <c r="AE210" s="147">
        <v>823.4</v>
      </c>
      <c r="AF210" s="146">
        <v>910.7</v>
      </c>
      <c r="AG210" s="147">
        <v>26250</v>
      </c>
      <c r="AH210" s="146">
        <v>26349</v>
      </c>
      <c r="AI210" s="147"/>
      <c r="AJ210" s="146"/>
      <c r="AK210" s="147">
        <v>26250</v>
      </c>
      <c r="AL210" s="146">
        <v>26349</v>
      </c>
      <c r="AM210" s="194">
        <v>370</v>
      </c>
    </row>
    <row r="211" spans="1:39" ht="24" customHeight="1">
      <c r="A211" s="199">
        <v>371</v>
      </c>
      <c r="B211" s="190">
        <v>27067</v>
      </c>
      <c r="C211" s="190">
        <v>43773</v>
      </c>
      <c r="D211" s="189">
        <v>45</v>
      </c>
      <c r="E211" s="3" t="s">
        <v>61</v>
      </c>
      <c r="F211" s="143" t="s">
        <v>116</v>
      </c>
      <c r="G211" s="142">
        <v>25.468007654739839</v>
      </c>
      <c r="H211" s="11" t="s">
        <v>59</v>
      </c>
      <c r="I211" s="141" t="s">
        <v>62</v>
      </c>
      <c r="J211" s="147">
        <v>41357</v>
      </c>
      <c r="K211" s="146">
        <v>56804</v>
      </c>
      <c r="L211" s="147">
        <v>22380</v>
      </c>
      <c r="M211" s="146">
        <v>39097</v>
      </c>
      <c r="N211" s="147">
        <v>127931</v>
      </c>
      <c r="O211" s="146">
        <v>96500</v>
      </c>
      <c r="P211" s="147">
        <v>24001</v>
      </c>
      <c r="Q211" s="146">
        <v>40132</v>
      </c>
      <c r="R211" s="147">
        <v>168045</v>
      </c>
      <c r="S211" s="146">
        <v>141145</v>
      </c>
      <c r="T211" s="147">
        <v>49148</v>
      </c>
      <c r="U211" s="146">
        <v>76224</v>
      </c>
      <c r="V211" s="147">
        <v>110276</v>
      </c>
      <c r="W211" s="146">
        <v>93848</v>
      </c>
      <c r="X211" s="198">
        <v>371</v>
      </c>
      <c r="Y211" s="147">
        <v>5803</v>
      </c>
      <c r="Z211" s="146">
        <v>8123</v>
      </c>
      <c r="AA211" s="147">
        <v>6183</v>
      </c>
      <c r="AB211" s="146">
        <v>9813</v>
      </c>
      <c r="AC211" s="147">
        <v>5532</v>
      </c>
      <c r="AD211" s="146">
        <v>6254</v>
      </c>
      <c r="AE211" s="147">
        <v>2193</v>
      </c>
      <c r="AF211" s="146">
        <v>3525</v>
      </c>
      <c r="AG211" s="147">
        <v>10957</v>
      </c>
      <c r="AH211" s="146">
        <v>14583</v>
      </c>
      <c r="AI211" s="147"/>
      <c r="AJ211" s="146"/>
      <c r="AK211" s="147">
        <v>10957</v>
      </c>
      <c r="AL211" s="146">
        <v>14583</v>
      </c>
      <c r="AM211" s="197">
        <v>371</v>
      </c>
    </row>
    <row r="212" spans="1:39" ht="24" customHeight="1">
      <c r="A212" s="196">
        <v>372</v>
      </c>
      <c r="B212" s="180">
        <v>24577</v>
      </c>
      <c r="C212" s="180">
        <v>43781</v>
      </c>
      <c r="D212" s="179">
        <v>52</v>
      </c>
      <c r="E212" s="3" t="s">
        <v>61</v>
      </c>
      <c r="F212" s="143" t="s">
        <v>116</v>
      </c>
      <c r="G212" s="142">
        <v>22.517434095154389</v>
      </c>
      <c r="H212" s="11" t="s">
        <v>59</v>
      </c>
      <c r="I212" s="141" t="s">
        <v>62</v>
      </c>
      <c r="J212" s="147">
        <v>53113</v>
      </c>
      <c r="K212" s="146">
        <v>89942</v>
      </c>
      <c r="L212" s="147">
        <v>23056</v>
      </c>
      <c r="M212" s="146">
        <v>46343</v>
      </c>
      <c r="N212" s="147">
        <v>116760</v>
      </c>
      <c r="O212" s="146">
        <v>95708</v>
      </c>
      <c r="P212" s="147">
        <v>20555</v>
      </c>
      <c r="Q212" s="146">
        <v>32711</v>
      </c>
      <c r="R212" s="147">
        <v>200290</v>
      </c>
      <c r="S212" s="146">
        <v>176044</v>
      </c>
      <c r="T212" s="147">
        <v>59353</v>
      </c>
      <c r="U212" s="146">
        <v>63795</v>
      </c>
      <c r="V212" s="147">
        <v>81502</v>
      </c>
      <c r="W212" s="146">
        <v>86750</v>
      </c>
      <c r="X212" s="195">
        <v>372</v>
      </c>
      <c r="Y212" s="147">
        <v>2170</v>
      </c>
      <c r="Z212" s="146">
        <v>2235</v>
      </c>
      <c r="AA212" s="147">
        <v>1197</v>
      </c>
      <c r="AB212" s="146">
        <v>1063</v>
      </c>
      <c r="AC212" s="147">
        <v>4287</v>
      </c>
      <c r="AD212" s="146">
        <v>4837</v>
      </c>
      <c r="AE212" s="147">
        <v>2700</v>
      </c>
      <c r="AF212" s="146">
        <v>2873</v>
      </c>
      <c r="AG212" s="147">
        <v>20123</v>
      </c>
      <c r="AH212" s="146">
        <v>22964</v>
      </c>
      <c r="AI212" s="147"/>
      <c r="AJ212" s="146"/>
      <c r="AK212" s="147">
        <v>20123</v>
      </c>
      <c r="AL212" s="146">
        <v>22964</v>
      </c>
      <c r="AM212" s="194">
        <v>372</v>
      </c>
    </row>
    <row r="213" spans="1:39" ht="24" customHeight="1">
      <c r="A213" s="196">
        <v>373</v>
      </c>
      <c r="B213" s="180">
        <v>24904</v>
      </c>
      <c r="C213" s="180">
        <v>43777</v>
      </c>
      <c r="D213" s="179">
        <v>51</v>
      </c>
      <c r="E213" s="3" t="s">
        <v>61</v>
      </c>
      <c r="F213" s="143" t="s">
        <v>116</v>
      </c>
      <c r="G213" s="142">
        <v>22.977394408090426</v>
      </c>
      <c r="H213" s="11" t="s">
        <v>59</v>
      </c>
      <c r="I213" s="141" t="s">
        <v>62</v>
      </c>
      <c r="J213" s="147">
        <v>121605</v>
      </c>
      <c r="K213" s="146">
        <v>115988</v>
      </c>
      <c r="L213" s="147">
        <v>59452</v>
      </c>
      <c r="M213" s="146">
        <v>66584</v>
      </c>
      <c r="N213" s="147">
        <v>284511</v>
      </c>
      <c r="O213" s="146">
        <v>200754</v>
      </c>
      <c r="P213" s="147">
        <v>66949</v>
      </c>
      <c r="Q213" s="146">
        <v>78505</v>
      </c>
      <c r="R213" s="147">
        <v>1090980</v>
      </c>
      <c r="S213" s="146">
        <v>1083639</v>
      </c>
      <c r="T213" s="147">
        <v>214718</v>
      </c>
      <c r="U213" s="146">
        <v>226486</v>
      </c>
      <c r="V213" s="147">
        <v>505013</v>
      </c>
      <c r="W213" s="146">
        <v>829604</v>
      </c>
      <c r="X213" s="195">
        <v>373</v>
      </c>
      <c r="Y213" s="147">
        <v>2399</v>
      </c>
      <c r="Z213" s="146">
        <v>2256</v>
      </c>
      <c r="AA213" s="147">
        <v>1313</v>
      </c>
      <c r="AB213" s="146">
        <v>1268</v>
      </c>
      <c r="AC213" s="147">
        <v>3678</v>
      </c>
      <c r="AD213" s="146">
        <v>4593</v>
      </c>
      <c r="AE213" s="147">
        <v>1176</v>
      </c>
      <c r="AF213" s="146">
        <v>1395</v>
      </c>
      <c r="AG213" s="147">
        <v>8558</v>
      </c>
      <c r="AH213" s="146">
        <v>7986</v>
      </c>
      <c r="AI213" s="147"/>
      <c r="AJ213" s="146"/>
      <c r="AK213" s="147">
        <v>8558</v>
      </c>
      <c r="AL213" s="146">
        <v>7986</v>
      </c>
      <c r="AM213" s="194">
        <v>373</v>
      </c>
    </row>
    <row r="214" spans="1:39" ht="24" customHeight="1">
      <c r="A214" s="196">
        <v>374</v>
      </c>
      <c r="B214" s="180">
        <v>22809</v>
      </c>
      <c r="C214" s="180">
        <v>43781</v>
      </c>
      <c r="D214" s="179">
        <v>57</v>
      </c>
      <c r="E214" s="3" t="s">
        <v>61</v>
      </c>
      <c r="F214" s="143" t="s">
        <v>125</v>
      </c>
      <c r="G214" s="142">
        <v>35.483499334946224</v>
      </c>
      <c r="H214" s="11" t="s">
        <v>59</v>
      </c>
      <c r="I214" s="141" t="s">
        <v>62</v>
      </c>
      <c r="J214" s="147">
        <v>98285</v>
      </c>
      <c r="K214" s="146">
        <v>100893</v>
      </c>
      <c r="L214" s="147">
        <v>54517</v>
      </c>
      <c r="M214" s="146">
        <v>62624</v>
      </c>
      <c r="N214" s="147">
        <v>136555</v>
      </c>
      <c r="O214" s="146">
        <v>157991</v>
      </c>
      <c r="P214" s="147">
        <v>25953</v>
      </c>
      <c r="Q214" s="146">
        <v>42493</v>
      </c>
      <c r="R214" s="147">
        <v>289148</v>
      </c>
      <c r="S214" s="146">
        <v>345766</v>
      </c>
      <c r="T214" s="147">
        <v>76695</v>
      </c>
      <c r="U214" s="146">
        <v>67034</v>
      </c>
      <c r="V214" s="147">
        <v>114027</v>
      </c>
      <c r="W214" s="146">
        <v>114698</v>
      </c>
      <c r="X214" s="195">
        <v>374</v>
      </c>
      <c r="Y214" s="147">
        <v>3319</v>
      </c>
      <c r="Z214" s="146">
        <v>4504</v>
      </c>
      <c r="AA214" s="147">
        <v>721.9</v>
      </c>
      <c r="AB214" s="146">
        <v>1001</v>
      </c>
      <c r="AC214" s="147">
        <v>2751</v>
      </c>
      <c r="AD214" s="146">
        <v>2908</v>
      </c>
      <c r="AE214" s="147">
        <v>639.79999999999995</v>
      </c>
      <c r="AF214" s="146">
        <v>598.5</v>
      </c>
      <c r="AG214" s="147">
        <v>1936</v>
      </c>
      <c r="AH214" s="146">
        <v>2244</v>
      </c>
      <c r="AI214" s="147"/>
      <c r="AJ214" s="146"/>
      <c r="AK214" s="147">
        <v>1936</v>
      </c>
      <c r="AL214" s="146">
        <v>2244</v>
      </c>
      <c r="AM214" s="194">
        <v>374</v>
      </c>
    </row>
    <row r="215" spans="1:39" ht="24" customHeight="1">
      <c r="A215" s="196">
        <v>375</v>
      </c>
      <c r="B215" s="180">
        <v>20550</v>
      </c>
      <c r="C215" s="180">
        <v>43783</v>
      </c>
      <c r="D215" s="179">
        <v>63</v>
      </c>
      <c r="E215" s="4" t="s">
        <v>58</v>
      </c>
      <c r="F215" s="143" t="s">
        <v>116</v>
      </c>
      <c r="G215" s="142">
        <v>32.315340909090907</v>
      </c>
      <c r="H215" s="11" t="s">
        <v>59</v>
      </c>
      <c r="I215" s="141" t="s">
        <v>62</v>
      </c>
      <c r="J215" s="147">
        <v>119496</v>
      </c>
      <c r="K215" s="146" t="s">
        <v>280</v>
      </c>
      <c r="L215" s="147">
        <v>47415</v>
      </c>
      <c r="M215" s="146">
        <v>129687</v>
      </c>
      <c r="N215" s="147">
        <v>113913</v>
      </c>
      <c r="O215" s="146" t="s">
        <v>280</v>
      </c>
      <c r="P215" s="147">
        <v>24987</v>
      </c>
      <c r="Q215" s="146">
        <v>121883</v>
      </c>
      <c r="R215" s="147">
        <v>348643</v>
      </c>
      <c r="S215" s="146" t="s">
        <v>280</v>
      </c>
      <c r="T215" s="147">
        <v>101925</v>
      </c>
      <c r="U215" s="146">
        <v>138134</v>
      </c>
      <c r="V215" s="147">
        <v>364690</v>
      </c>
      <c r="W215" s="146">
        <v>899311</v>
      </c>
      <c r="X215" s="195">
        <v>375</v>
      </c>
      <c r="Y215" s="147">
        <v>5743</v>
      </c>
      <c r="Z215" s="146">
        <v>1197</v>
      </c>
      <c r="AA215" s="147">
        <v>4877</v>
      </c>
      <c r="AB215" s="146">
        <v>6347</v>
      </c>
      <c r="AC215" s="147">
        <v>18789</v>
      </c>
      <c r="AD215" s="146" t="s">
        <v>280</v>
      </c>
      <c r="AE215" s="147">
        <v>10535</v>
      </c>
      <c r="AF215" s="146">
        <v>16038</v>
      </c>
      <c r="AG215" s="147">
        <v>11012</v>
      </c>
      <c r="AH215" s="146" t="s">
        <v>280</v>
      </c>
      <c r="AI215" s="147"/>
      <c r="AJ215" s="146"/>
      <c r="AK215" s="147">
        <v>6030</v>
      </c>
      <c r="AL215" s="146">
        <v>5772</v>
      </c>
      <c r="AM215" s="194">
        <v>375</v>
      </c>
    </row>
    <row r="216" spans="1:39" ht="24" customHeight="1">
      <c r="A216" s="211">
        <v>376</v>
      </c>
      <c r="B216" s="210">
        <v>15089</v>
      </c>
      <c r="C216" s="210">
        <v>43767</v>
      </c>
      <c r="D216" s="209">
        <v>78</v>
      </c>
      <c r="E216" s="4" t="s">
        <v>58</v>
      </c>
      <c r="F216" s="143" t="s">
        <v>116</v>
      </c>
      <c r="G216" s="142">
        <v>33.46807042304679</v>
      </c>
      <c r="H216" s="5" t="s">
        <v>64</v>
      </c>
      <c r="I216" s="141" t="s">
        <v>62</v>
      </c>
      <c r="J216" s="147">
        <v>189405</v>
      </c>
      <c r="K216" s="146">
        <v>264280</v>
      </c>
      <c r="L216" s="147">
        <v>101024</v>
      </c>
      <c r="M216" s="146">
        <v>138610</v>
      </c>
      <c r="N216" s="147">
        <v>160026</v>
      </c>
      <c r="O216" s="146">
        <v>262838</v>
      </c>
      <c r="P216" s="147">
        <v>14135</v>
      </c>
      <c r="Q216" s="146">
        <v>41228</v>
      </c>
      <c r="R216" s="147">
        <v>348903</v>
      </c>
      <c r="S216" s="146">
        <v>433298</v>
      </c>
      <c r="T216" s="147">
        <v>177009</v>
      </c>
      <c r="U216" s="146">
        <v>169398</v>
      </c>
      <c r="V216" s="147">
        <v>97804</v>
      </c>
      <c r="W216" s="146">
        <v>119502</v>
      </c>
      <c r="X216" s="208">
        <v>376</v>
      </c>
      <c r="Y216" s="147">
        <v>5672</v>
      </c>
      <c r="Z216" s="146">
        <v>7129</v>
      </c>
      <c r="AA216" s="147">
        <v>2650</v>
      </c>
      <c r="AB216" s="146">
        <v>3217</v>
      </c>
      <c r="AC216" s="147">
        <v>5862</v>
      </c>
      <c r="AD216" s="146">
        <v>8302</v>
      </c>
      <c r="AE216" s="147">
        <v>3187</v>
      </c>
      <c r="AF216" s="146">
        <v>6247</v>
      </c>
      <c r="AG216" s="147">
        <v>6088</v>
      </c>
      <c r="AH216" s="146">
        <v>7166</v>
      </c>
      <c r="AI216" s="147"/>
      <c r="AJ216" s="146"/>
      <c r="AK216" s="147">
        <v>6088</v>
      </c>
      <c r="AL216" s="146">
        <v>7166</v>
      </c>
      <c r="AM216" s="207">
        <v>376</v>
      </c>
    </row>
    <row r="217" spans="1:39" ht="24" customHeight="1">
      <c r="A217" s="199">
        <v>377</v>
      </c>
      <c r="B217" s="190">
        <v>26341</v>
      </c>
      <c r="C217" s="190">
        <v>43783</v>
      </c>
      <c r="D217" s="189">
        <v>47</v>
      </c>
      <c r="E217" s="3" t="s">
        <v>61</v>
      </c>
      <c r="F217" s="143" t="s">
        <v>116</v>
      </c>
      <c r="G217" s="142">
        <v>38.094159118642686</v>
      </c>
      <c r="H217" s="11" t="s">
        <v>59</v>
      </c>
      <c r="I217" s="141" t="s">
        <v>62</v>
      </c>
      <c r="J217" s="147">
        <v>121998</v>
      </c>
      <c r="K217" s="146">
        <v>622176</v>
      </c>
      <c r="L217" s="147">
        <v>43171</v>
      </c>
      <c r="M217" s="146">
        <v>266499</v>
      </c>
      <c r="N217" s="147">
        <v>348711</v>
      </c>
      <c r="O217" s="146">
        <v>1219824</v>
      </c>
      <c r="P217" s="147">
        <v>102789</v>
      </c>
      <c r="Q217" s="146">
        <v>401055</v>
      </c>
      <c r="R217" s="147">
        <v>375473</v>
      </c>
      <c r="S217" s="146">
        <v>1756251</v>
      </c>
      <c r="T217" s="147">
        <v>88860</v>
      </c>
      <c r="U217" s="146">
        <v>551365</v>
      </c>
      <c r="V217" s="147">
        <v>357418</v>
      </c>
      <c r="W217" s="146">
        <v>1111706</v>
      </c>
      <c r="X217" s="198">
        <v>377</v>
      </c>
      <c r="Y217" s="147">
        <v>2171</v>
      </c>
      <c r="Z217" s="146">
        <v>3183</v>
      </c>
      <c r="AA217" s="147">
        <v>1110</v>
      </c>
      <c r="AB217" s="146">
        <v>1614</v>
      </c>
      <c r="AC217" s="147">
        <v>2207</v>
      </c>
      <c r="AD217" s="146">
        <v>3244</v>
      </c>
      <c r="AE217" s="147">
        <v>727.7</v>
      </c>
      <c r="AF217" s="146">
        <v>1359</v>
      </c>
      <c r="AG217" s="147">
        <v>31483</v>
      </c>
      <c r="AH217" s="146">
        <v>38709</v>
      </c>
      <c r="AI217" s="147"/>
      <c r="AJ217" s="146"/>
      <c r="AK217" s="147">
        <v>31483</v>
      </c>
      <c r="AL217" s="146">
        <v>38709</v>
      </c>
      <c r="AM217" s="197">
        <v>377</v>
      </c>
    </row>
    <row r="218" spans="1:39" ht="24" customHeight="1">
      <c r="A218" s="199">
        <v>378</v>
      </c>
      <c r="B218" s="190">
        <v>26265</v>
      </c>
      <c r="C218" s="190">
        <v>43806</v>
      </c>
      <c r="D218" s="189">
        <v>48</v>
      </c>
      <c r="E218" s="3" t="s">
        <v>61</v>
      </c>
      <c r="F218" s="143" t="s">
        <v>116</v>
      </c>
      <c r="G218" s="142">
        <v>27.672313868496868</v>
      </c>
      <c r="H218" s="11" t="s">
        <v>59</v>
      </c>
      <c r="I218" s="141" t="s">
        <v>62</v>
      </c>
      <c r="J218" s="147">
        <v>125524</v>
      </c>
      <c r="K218" s="146">
        <v>344385</v>
      </c>
      <c r="L218" s="147">
        <v>73583</v>
      </c>
      <c r="M218" s="146">
        <v>174548</v>
      </c>
      <c r="N218" s="147">
        <v>90225</v>
      </c>
      <c r="O218" s="146">
        <v>347723</v>
      </c>
      <c r="P218" s="147">
        <v>20846</v>
      </c>
      <c r="Q218" s="146">
        <v>81112</v>
      </c>
      <c r="R218" s="147" t="s">
        <v>1164</v>
      </c>
      <c r="S218" s="146" t="s">
        <v>1164</v>
      </c>
      <c r="T218" s="147">
        <v>92901</v>
      </c>
      <c r="U218" s="146">
        <v>200550</v>
      </c>
      <c r="V218" s="147">
        <v>188885</v>
      </c>
      <c r="W218" s="146">
        <v>411443</v>
      </c>
      <c r="X218" s="198">
        <v>378</v>
      </c>
      <c r="Y218" s="147">
        <v>7028</v>
      </c>
      <c r="Z218" s="146">
        <v>9857</v>
      </c>
      <c r="AA218" s="147">
        <v>3933</v>
      </c>
      <c r="AB218" s="146">
        <v>5279</v>
      </c>
      <c r="AC218" s="147">
        <v>3784</v>
      </c>
      <c r="AD218" s="146">
        <v>8676</v>
      </c>
      <c r="AE218" s="147">
        <v>1415</v>
      </c>
      <c r="AF218" s="146">
        <v>2673</v>
      </c>
      <c r="AG218" s="147">
        <v>3162</v>
      </c>
      <c r="AH218" s="146">
        <v>6051</v>
      </c>
      <c r="AI218" s="147"/>
      <c r="AJ218" s="146"/>
      <c r="AK218" s="147">
        <v>3162</v>
      </c>
      <c r="AL218" s="146">
        <v>6051</v>
      </c>
      <c r="AM218" s="197">
        <v>378</v>
      </c>
    </row>
    <row r="219" spans="1:39" ht="24" customHeight="1">
      <c r="A219" s="196">
        <v>379</v>
      </c>
      <c r="B219" s="180">
        <v>20569</v>
      </c>
      <c r="C219" s="180">
        <v>43784</v>
      </c>
      <c r="D219" s="179">
        <v>63</v>
      </c>
      <c r="E219" s="3" t="s">
        <v>61</v>
      </c>
      <c r="F219" s="143" t="s">
        <v>116</v>
      </c>
      <c r="G219" s="142">
        <v>21.760139004581422</v>
      </c>
      <c r="H219" s="11" t="s">
        <v>59</v>
      </c>
      <c r="I219" s="141" t="s">
        <v>62</v>
      </c>
      <c r="J219" s="147">
        <v>68615</v>
      </c>
      <c r="K219" s="146">
        <v>87543</v>
      </c>
      <c r="L219" s="147">
        <v>110298</v>
      </c>
      <c r="M219" s="146">
        <v>107676</v>
      </c>
      <c r="N219" s="147">
        <v>39168</v>
      </c>
      <c r="O219" s="146">
        <v>46251</v>
      </c>
      <c r="P219" s="147">
        <v>4450</v>
      </c>
      <c r="Q219" s="146">
        <v>5742</v>
      </c>
      <c r="R219" s="147">
        <v>193034</v>
      </c>
      <c r="S219" s="146">
        <v>191945</v>
      </c>
      <c r="T219" s="147">
        <v>122839</v>
      </c>
      <c r="U219" s="146">
        <v>123285</v>
      </c>
      <c r="V219" s="147">
        <v>124171</v>
      </c>
      <c r="W219" s="146">
        <v>140094</v>
      </c>
      <c r="X219" s="195">
        <v>379</v>
      </c>
      <c r="Y219" s="147">
        <v>16143</v>
      </c>
      <c r="Z219" s="146">
        <v>18866</v>
      </c>
      <c r="AA219" s="147">
        <v>9436</v>
      </c>
      <c r="AB219" s="146">
        <v>11129</v>
      </c>
      <c r="AC219" s="147">
        <v>4768</v>
      </c>
      <c r="AD219" s="146">
        <v>6170</v>
      </c>
      <c r="AE219" s="147">
        <v>1602</v>
      </c>
      <c r="AF219" s="146">
        <v>1834</v>
      </c>
      <c r="AG219" s="147">
        <v>10004</v>
      </c>
      <c r="AH219" s="146">
        <v>11774</v>
      </c>
      <c r="AI219" s="147"/>
      <c r="AJ219" s="146"/>
      <c r="AK219" s="147">
        <v>10004</v>
      </c>
      <c r="AL219" s="146">
        <v>11774</v>
      </c>
      <c r="AM219" s="194">
        <v>379</v>
      </c>
    </row>
    <row r="220" spans="1:39" ht="24" customHeight="1">
      <c r="A220" s="196">
        <v>380</v>
      </c>
      <c r="B220" s="180">
        <v>20398</v>
      </c>
      <c r="C220" s="180">
        <v>43784</v>
      </c>
      <c r="D220" s="179">
        <v>64</v>
      </c>
      <c r="E220" s="4" t="s">
        <v>58</v>
      </c>
      <c r="F220" s="143" t="s">
        <v>116</v>
      </c>
      <c r="G220" s="142">
        <v>26.397829142302658</v>
      </c>
      <c r="H220" s="11" t="s">
        <v>59</v>
      </c>
      <c r="I220" s="141" t="s">
        <v>62</v>
      </c>
      <c r="J220" s="147">
        <v>66786</v>
      </c>
      <c r="K220" s="146">
        <v>75305</v>
      </c>
      <c r="L220" s="147">
        <v>31980</v>
      </c>
      <c r="M220" s="146">
        <v>53288</v>
      </c>
      <c r="N220" s="147">
        <v>62092</v>
      </c>
      <c r="O220" s="146">
        <v>67861</v>
      </c>
      <c r="P220" s="147">
        <v>10293</v>
      </c>
      <c r="Q220" s="146">
        <v>17705</v>
      </c>
      <c r="R220" s="147">
        <v>570793</v>
      </c>
      <c r="S220" s="146">
        <v>574310</v>
      </c>
      <c r="T220" s="147">
        <v>162239</v>
      </c>
      <c r="U220" s="146">
        <v>137114</v>
      </c>
      <c r="V220" s="147">
        <v>90513</v>
      </c>
      <c r="W220" s="146">
        <v>103529</v>
      </c>
      <c r="X220" s="195">
        <v>380</v>
      </c>
      <c r="Y220" s="147">
        <v>3723</v>
      </c>
      <c r="Z220" s="146">
        <v>4839</v>
      </c>
      <c r="AA220" s="147">
        <v>2092</v>
      </c>
      <c r="AB220" s="146">
        <v>1454</v>
      </c>
      <c r="AC220" s="147">
        <v>4223</v>
      </c>
      <c r="AD220" s="146">
        <v>5328</v>
      </c>
      <c r="AE220" s="147">
        <v>1821</v>
      </c>
      <c r="AF220" s="146">
        <v>1544</v>
      </c>
      <c r="AG220" s="147">
        <v>17374</v>
      </c>
      <c r="AH220" s="146">
        <v>21459</v>
      </c>
      <c r="AI220" s="147"/>
      <c r="AJ220" s="146"/>
      <c r="AK220" s="147">
        <v>17374</v>
      </c>
      <c r="AL220" s="146">
        <v>21459</v>
      </c>
      <c r="AM220" s="194">
        <v>380</v>
      </c>
    </row>
    <row r="221" spans="1:39" ht="24" customHeight="1">
      <c r="A221" s="211">
        <v>381</v>
      </c>
      <c r="B221" s="210">
        <v>17425</v>
      </c>
      <c r="C221" s="210">
        <v>43781</v>
      </c>
      <c r="D221" s="209">
        <v>72</v>
      </c>
      <c r="E221" s="3" t="s">
        <v>61</v>
      </c>
      <c r="F221" s="143" t="s">
        <v>116</v>
      </c>
      <c r="G221" s="142">
        <v>36.220676245549363</v>
      </c>
      <c r="H221" s="5" t="s">
        <v>64</v>
      </c>
      <c r="I221" s="141" t="s">
        <v>62</v>
      </c>
      <c r="J221" s="147">
        <v>73506</v>
      </c>
      <c r="K221" s="146">
        <v>192563</v>
      </c>
      <c r="L221" s="147">
        <v>14544</v>
      </c>
      <c r="M221" s="146">
        <v>63309</v>
      </c>
      <c r="N221" s="147">
        <v>143666</v>
      </c>
      <c r="O221" s="146">
        <v>354564</v>
      </c>
      <c r="P221" s="147">
        <v>64103</v>
      </c>
      <c r="Q221" s="146">
        <v>167116</v>
      </c>
      <c r="R221" s="147">
        <v>272023</v>
      </c>
      <c r="S221" s="146">
        <v>415870</v>
      </c>
      <c r="T221" s="147">
        <v>40389</v>
      </c>
      <c r="U221" s="146">
        <v>54524</v>
      </c>
      <c r="V221" s="147">
        <v>106289</v>
      </c>
      <c r="W221" s="146">
        <v>170115</v>
      </c>
      <c r="X221" s="208">
        <v>381</v>
      </c>
      <c r="Y221" s="147">
        <v>1849</v>
      </c>
      <c r="Z221" s="146">
        <v>1199</v>
      </c>
      <c r="AA221" s="147">
        <v>509.5</v>
      </c>
      <c r="AB221" s="146">
        <v>580.79999999999995</v>
      </c>
      <c r="AC221" s="147">
        <v>5610</v>
      </c>
      <c r="AD221" s="146">
        <v>7094</v>
      </c>
      <c r="AE221" s="147">
        <v>708.5</v>
      </c>
      <c r="AF221" s="146">
        <v>1329</v>
      </c>
      <c r="AG221" s="147">
        <v>11523</v>
      </c>
      <c r="AH221" s="146">
        <v>17464</v>
      </c>
      <c r="AI221" s="147"/>
      <c r="AJ221" s="146"/>
      <c r="AK221" s="147">
        <v>11523</v>
      </c>
      <c r="AL221" s="146">
        <v>17464</v>
      </c>
      <c r="AM221" s="207">
        <v>381</v>
      </c>
    </row>
    <row r="222" spans="1:39" ht="24" customHeight="1">
      <c r="A222" s="196">
        <v>382</v>
      </c>
      <c r="B222" s="180">
        <v>24498</v>
      </c>
      <c r="C222" s="180">
        <v>43781</v>
      </c>
      <c r="D222" s="179">
        <v>52</v>
      </c>
      <c r="E222" s="3" t="s">
        <v>61</v>
      </c>
      <c r="F222" s="143" t="s">
        <v>120</v>
      </c>
      <c r="G222" s="142">
        <v>28.58283661047815</v>
      </c>
      <c r="H222" s="11" t="s">
        <v>59</v>
      </c>
      <c r="I222" s="141" t="s">
        <v>62</v>
      </c>
      <c r="J222" s="147">
        <v>38096</v>
      </c>
      <c r="K222" s="146">
        <v>124932</v>
      </c>
      <c r="L222" s="147">
        <v>18954</v>
      </c>
      <c r="M222" s="146">
        <v>74473</v>
      </c>
      <c r="N222" s="147">
        <v>94910</v>
      </c>
      <c r="O222" s="146">
        <v>170317</v>
      </c>
      <c r="P222" s="147">
        <v>17556</v>
      </c>
      <c r="Q222" s="146">
        <v>37501</v>
      </c>
      <c r="R222" s="147" t="s">
        <v>1164</v>
      </c>
      <c r="S222" s="146" t="s">
        <v>1164</v>
      </c>
      <c r="T222" s="147">
        <v>119994</v>
      </c>
      <c r="U222" s="146">
        <v>193898</v>
      </c>
      <c r="V222" s="147">
        <v>220084</v>
      </c>
      <c r="W222" s="146">
        <v>407197</v>
      </c>
      <c r="X222" s="195">
        <v>382</v>
      </c>
      <c r="Y222" s="147">
        <v>2121</v>
      </c>
      <c r="Z222" s="146">
        <v>2476</v>
      </c>
      <c r="AA222" s="147">
        <v>484.7</v>
      </c>
      <c r="AB222" s="146">
        <v>671.9</v>
      </c>
      <c r="AC222" s="147">
        <v>4346</v>
      </c>
      <c r="AD222" s="146">
        <v>5800</v>
      </c>
      <c r="AE222" s="147">
        <v>1645</v>
      </c>
      <c r="AF222" s="146">
        <v>2067</v>
      </c>
      <c r="AG222" s="147">
        <v>9293</v>
      </c>
      <c r="AH222" s="146">
        <v>11015</v>
      </c>
      <c r="AI222" s="147"/>
      <c r="AJ222" s="146"/>
      <c r="AK222" s="147">
        <v>9293</v>
      </c>
      <c r="AL222" s="146">
        <v>11015</v>
      </c>
      <c r="AM222" s="194">
        <v>382</v>
      </c>
    </row>
    <row r="223" spans="1:39" ht="24" customHeight="1">
      <c r="A223" s="196">
        <v>383</v>
      </c>
      <c r="B223" s="180">
        <v>21213</v>
      </c>
      <c r="C223" s="180">
        <v>43781</v>
      </c>
      <c r="D223" s="179">
        <v>61</v>
      </c>
      <c r="E223" s="3" t="s">
        <v>61</v>
      </c>
      <c r="F223" s="143" t="s">
        <v>116</v>
      </c>
      <c r="G223" s="142">
        <v>30.699349988252798</v>
      </c>
      <c r="H223" s="11" t="s">
        <v>59</v>
      </c>
      <c r="I223" s="141" t="s">
        <v>62</v>
      </c>
      <c r="J223" s="147">
        <v>64166</v>
      </c>
      <c r="K223" s="146">
        <v>73641</v>
      </c>
      <c r="L223" s="147">
        <v>97047</v>
      </c>
      <c r="M223" s="146">
        <v>117102</v>
      </c>
      <c r="N223" s="147">
        <v>49453</v>
      </c>
      <c r="O223" s="146">
        <v>56051</v>
      </c>
      <c r="P223" s="147">
        <v>4594</v>
      </c>
      <c r="Q223" s="146">
        <v>9037</v>
      </c>
      <c r="R223" s="147">
        <v>286057</v>
      </c>
      <c r="S223" s="146">
        <v>259624</v>
      </c>
      <c r="T223" s="147">
        <v>84486</v>
      </c>
      <c r="U223" s="146">
        <v>113006</v>
      </c>
      <c r="V223" s="147">
        <v>58116</v>
      </c>
      <c r="W223" s="146">
        <v>65917</v>
      </c>
      <c r="X223" s="195">
        <v>383</v>
      </c>
      <c r="Y223" s="147">
        <v>3326</v>
      </c>
      <c r="Z223" s="146">
        <v>4245</v>
      </c>
      <c r="AA223" s="147">
        <v>1032</v>
      </c>
      <c r="AB223" s="146">
        <v>1399</v>
      </c>
      <c r="AC223" s="147">
        <v>2821</v>
      </c>
      <c r="AD223" s="146">
        <v>5058</v>
      </c>
      <c r="AE223" s="147">
        <v>845.2</v>
      </c>
      <c r="AF223" s="146">
        <v>2086</v>
      </c>
      <c r="AG223" s="147">
        <v>16963</v>
      </c>
      <c r="AH223" s="146">
        <v>21462</v>
      </c>
      <c r="AI223" s="147"/>
      <c r="AJ223" s="146"/>
      <c r="AK223" s="147">
        <v>16963</v>
      </c>
      <c r="AL223" s="146">
        <v>21462</v>
      </c>
      <c r="AM223" s="194">
        <v>383</v>
      </c>
    </row>
    <row r="224" spans="1:39" ht="24" customHeight="1">
      <c r="A224" s="196">
        <v>384</v>
      </c>
      <c r="B224" s="180">
        <v>22475</v>
      </c>
      <c r="C224" s="180">
        <v>43777</v>
      </c>
      <c r="D224" s="179">
        <v>58</v>
      </c>
      <c r="E224" s="3" t="s">
        <v>61</v>
      </c>
      <c r="F224" s="143" t="s">
        <v>116</v>
      </c>
      <c r="G224" s="142">
        <v>37.220554064234108</v>
      </c>
      <c r="H224" s="11" t="s">
        <v>59</v>
      </c>
      <c r="I224" s="141" t="s">
        <v>62</v>
      </c>
      <c r="J224" s="147">
        <v>19316</v>
      </c>
      <c r="K224" s="146">
        <v>42939</v>
      </c>
      <c r="L224" s="147">
        <v>10112</v>
      </c>
      <c r="M224" s="146">
        <v>26055</v>
      </c>
      <c r="N224" s="147">
        <v>49371</v>
      </c>
      <c r="O224" s="146">
        <v>181012</v>
      </c>
      <c r="P224" s="147">
        <v>11331</v>
      </c>
      <c r="Q224" s="146">
        <v>60102</v>
      </c>
      <c r="R224" s="147">
        <v>117575</v>
      </c>
      <c r="S224" s="146">
        <v>208969</v>
      </c>
      <c r="T224" s="147">
        <v>70513</v>
      </c>
      <c r="U224" s="146">
        <v>131576</v>
      </c>
      <c r="V224" s="147">
        <v>96559</v>
      </c>
      <c r="W224" s="146">
        <v>386111</v>
      </c>
      <c r="X224" s="195">
        <v>384</v>
      </c>
      <c r="Y224" s="147">
        <v>1724</v>
      </c>
      <c r="Z224" s="146">
        <v>1872</v>
      </c>
      <c r="AA224" s="147">
        <v>138.80000000000001</v>
      </c>
      <c r="AB224" s="146">
        <v>504.7</v>
      </c>
      <c r="AC224" s="147">
        <v>2709</v>
      </c>
      <c r="AD224" s="146">
        <v>6762</v>
      </c>
      <c r="AE224" s="147">
        <v>1248</v>
      </c>
      <c r="AF224" s="146">
        <v>3692</v>
      </c>
      <c r="AG224" s="147">
        <v>5658</v>
      </c>
      <c r="AH224" s="146">
        <v>7606</v>
      </c>
      <c r="AI224" s="147"/>
      <c r="AJ224" s="146"/>
      <c r="AK224" s="147">
        <v>5658</v>
      </c>
      <c r="AL224" s="146">
        <v>7606</v>
      </c>
      <c r="AM224" s="194">
        <v>384</v>
      </c>
    </row>
    <row r="225" spans="1:39" ht="24" customHeight="1">
      <c r="A225" s="196">
        <v>385</v>
      </c>
      <c r="B225" s="180">
        <v>22437</v>
      </c>
      <c r="C225" s="180">
        <v>43783</v>
      </c>
      <c r="D225" s="179">
        <v>58</v>
      </c>
      <c r="E225" s="3" t="s">
        <v>61</v>
      </c>
      <c r="F225" s="143" t="s">
        <v>116</v>
      </c>
      <c r="G225" s="142">
        <v>25.303748544948157</v>
      </c>
      <c r="H225" s="11" t="s">
        <v>59</v>
      </c>
      <c r="I225" s="141" t="s">
        <v>62</v>
      </c>
      <c r="J225" s="147">
        <v>43513</v>
      </c>
      <c r="K225" s="146">
        <v>810118</v>
      </c>
      <c r="L225" s="147">
        <v>26785</v>
      </c>
      <c r="M225" s="146">
        <v>437923</v>
      </c>
      <c r="N225" s="147">
        <v>77974</v>
      </c>
      <c r="O225" s="146">
        <v>601934</v>
      </c>
      <c r="P225" s="147">
        <v>23386</v>
      </c>
      <c r="Q225" s="146">
        <v>139465</v>
      </c>
      <c r="R225" s="147">
        <v>785891</v>
      </c>
      <c r="S225" s="146">
        <v>1118263</v>
      </c>
      <c r="T225" s="147">
        <v>111878</v>
      </c>
      <c r="U225" s="146">
        <v>126346</v>
      </c>
      <c r="V225" s="147">
        <v>113016</v>
      </c>
      <c r="W225" s="146">
        <v>408109</v>
      </c>
      <c r="X225" s="195">
        <v>385</v>
      </c>
      <c r="Y225" s="147">
        <v>1509</v>
      </c>
      <c r="Z225" s="146">
        <v>4958</v>
      </c>
      <c r="AA225" s="147">
        <v>737.7</v>
      </c>
      <c r="AB225" s="146">
        <v>1455</v>
      </c>
      <c r="AC225" s="147">
        <v>2357</v>
      </c>
      <c r="AD225" s="146">
        <v>12031</v>
      </c>
      <c r="AE225" s="147">
        <v>493.1</v>
      </c>
      <c r="AF225" s="146">
        <v>2547</v>
      </c>
      <c r="AG225" s="147">
        <v>5994</v>
      </c>
      <c r="AH225" s="146">
        <v>8610</v>
      </c>
      <c r="AI225" s="147"/>
      <c r="AJ225" s="146"/>
      <c r="AK225" s="147">
        <v>5994</v>
      </c>
      <c r="AL225" s="146">
        <v>8610</v>
      </c>
      <c r="AM225" s="194">
        <v>385</v>
      </c>
    </row>
    <row r="226" spans="1:39" ht="24" customHeight="1">
      <c r="A226" s="199">
        <v>386</v>
      </c>
      <c r="B226" s="190">
        <v>27457</v>
      </c>
      <c r="C226" s="190">
        <v>43801</v>
      </c>
      <c r="D226" s="189">
        <v>44</v>
      </c>
      <c r="E226" s="3" t="s">
        <v>61</v>
      </c>
      <c r="F226" s="143" t="s">
        <v>116</v>
      </c>
      <c r="G226" s="142">
        <v>31.547253723728769</v>
      </c>
      <c r="H226" s="11" t="s">
        <v>59</v>
      </c>
      <c r="I226" s="141" t="s">
        <v>62</v>
      </c>
      <c r="J226" s="147">
        <v>27790</v>
      </c>
      <c r="K226" s="146">
        <v>362778</v>
      </c>
      <c r="L226" s="147">
        <v>11653</v>
      </c>
      <c r="M226" s="146">
        <v>208625</v>
      </c>
      <c r="N226" s="147">
        <v>92858</v>
      </c>
      <c r="O226" s="146">
        <v>152883</v>
      </c>
      <c r="P226" s="147">
        <v>12764</v>
      </c>
      <c r="Q226" s="146">
        <v>51969</v>
      </c>
      <c r="R226" s="147" t="s">
        <v>1164</v>
      </c>
      <c r="S226" s="146" t="s">
        <v>1164</v>
      </c>
      <c r="T226" s="147"/>
      <c r="U226" s="146"/>
      <c r="V226" s="147">
        <v>350117</v>
      </c>
      <c r="W226" s="146">
        <v>589499</v>
      </c>
      <c r="X226" s="198">
        <v>386</v>
      </c>
      <c r="Y226" s="147">
        <v>2620</v>
      </c>
      <c r="Z226" s="146">
        <v>3638</v>
      </c>
      <c r="AA226" s="147">
        <v>740.7</v>
      </c>
      <c r="AB226" s="146">
        <v>1803</v>
      </c>
      <c r="AC226" s="147">
        <v>1562</v>
      </c>
      <c r="AD226" s="146">
        <v>2089</v>
      </c>
      <c r="AE226" s="147">
        <v>689.1</v>
      </c>
      <c r="AF226" s="146">
        <v>734.3</v>
      </c>
      <c r="AG226" s="147">
        <v>12594</v>
      </c>
      <c r="AH226" s="146">
        <v>14843</v>
      </c>
      <c r="AI226" s="147"/>
      <c r="AJ226" s="146"/>
      <c r="AK226" s="147">
        <v>12594</v>
      </c>
      <c r="AL226" s="146">
        <v>14843</v>
      </c>
      <c r="AM226" s="197">
        <v>386</v>
      </c>
    </row>
    <row r="227" spans="1:39" ht="24" customHeight="1">
      <c r="A227" s="199">
        <v>387</v>
      </c>
      <c r="B227" s="190">
        <v>27831</v>
      </c>
      <c r="C227" s="190">
        <v>43776</v>
      </c>
      <c r="D227" s="189">
        <v>43</v>
      </c>
      <c r="E227" s="4" t="s">
        <v>58</v>
      </c>
      <c r="F227" s="143" t="s">
        <v>116</v>
      </c>
      <c r="G227" s="142">
        <v>27.155628655605817</v>
      </c>
      <c r="H227" s="11" t="s">
        <v>59</v>
      </c>
      <c r="I227" s="141" t="s">
        <v>62</v>
      </c>
      <c r="J227" s="147">
        <v>58704</v>
      </c>
      <c r="K227" s="146">
        <v>73362</v>
      </c>
      <c r="L227" s="147">
        <v>92795</v>
      </c>
      <c r="M227" s="146">
        <v>125200</v>
      </c>
      <c r="N227" s="147">
        <v>85279</v>
      </c>
      <c r="O227" s="146">
        <v>122558</v>
      </c>
      <c r="P227" s="147">
        <v>15126</v>
      </c>
      <c r="Q227" s="146">
        <v>37213</v>
      </c>
      <c r="R227" s="147">
        <v>539623</v>
      </c>
      <c r="S227" s="146">
        <v>543463</v>
      </c>
      <c r="T227" s="147"/>
      <c r="U227" s="146"/>
      <c r="V227" s="147">
        <v>370372</v>
      </c>
      <c r="W227" s="146">
        <v>375023</v>
      </c>
      <c r="X227" s="198">
        <v>387</v>
      </c>
      <c r="Y227" s="147">
        <v>1981</v>
      </c>
      <c r="Z227" s="146">
        <v>2133</v>
      </c>
      <c r="AA227" s="147">
        <v>593.70000000000005</v>
      </c>
      <c r="AB227" s="146">
        <v>630.5</v>
      </c>
      <c r="AC227" s="147">
        <v>2559</v>
      </c>
      <c r="AD227" s="146">
        <v>4204</v>
      </c>
      <c r="AE227" s="147">
        <v>912.5</v>
      </c>
      <c r="AF227" s="146">
        <v>2402</v>
      </c>
      <c r="AG227" s="147">
        <v>5762</v>
      </c>
      <c r="AH227" s="146">
        <v>7158</v>
      </c>
      <c r="AI227" s="147"/>
      <c r="AJ227" s="146"/>
      <c r="AK227" s="147">
        <v>5762</v>
      </c>
      <c r="AL227" s="146">
        <v>7158</v>
      </c>
      <c r="AM227" s="197">
        <v>387</v>
      </c>
    </row>
    <row r="228" spans="1:39" ht="24" customHeight="1">
      <c r="A228" s="196">
        <v>388</v>
      </c>
      <c r="B228" s="180">
        <v>24151</v>
      </c>
      <c r="C228" s="180">
        <v>43783</v>
      </c>
      <c r="D228" s="179">
        <v>53</v>
      </c>
      <c r="E228" s="3" t="s">
        <v>61</v>
      </c>
      <c r="F228" s="143" t="s">
        <v>116</v>
      </c>
      <c r="G228" s="142">
        <v>28.182629387269486</v>
      </c>
      <c r="H228" s="11" t="s">
        <v>59</v>
      </c>
      <c r="I228" s="141" t="s">
        <v>62</v>
      </c>
      <c r="J228" s="147">
        <v>21775</v>
      </c>
      <c r="K228" s="146">
        <v>147304</v>
      </c>
      <c r="L228" s="147">
        <v>7593</v>
      </c>
      <c r="M228" s="146">
        <v>93598</v>
      </c>
      <c r="N228" s="147">
        <v>10903</v>
      </c>
      <c r="O228" s="146">
        <v>34026</v>
      </c>
      <c r="P228" s="147">
        <v>1095</v>
      </c>
      <c r="Q228" s="146">
        <v>6893</v>
      </c>
      <c r="R228" s="147">
        <v>18201</v>
      </c>
      <c r="S228" s="146">
        <v>229619</v>
      </c>
      <c r="T228" s="147"/>
      <c r="U228" s="146"/>
      <c r="V228" s="147">
        <v>9655</v>
      </c>
      <c r="W228" s="146">
        <v>30972</v>
      </c>
      <c r="X228" s="195">
        <v>388</v>
      </c>
      <c r="Y228" s="147">
        <v>4946</v>
      </c>
      <c r="Z228" s="146">
        <v>34847</v>
      </c>
      <c r="AA228" s="147">
        <v>2078</v>
      </c>
      <c r="AB228" s="146">
        <v>43109</v>
      </c>
      <c r="AC228" s="147">
        <v>875.9</v>
      </c>
      <c r="AD228" s="146">
        <v>4450</v>
      </c>
      <c r="AE228" s="147">
        <v>792</v>
      </c>
      <c r="AF228" s="146">
        <v>1622</v>
      </c>
      <c r="AG228" s="147">
        <v>5764</v>
      </c>
      <c r="AH228" s="146">
        <v>118907</v>
      </c>
      <c r="AI228" s="147"/>
      <c r="AJ228" s="146"/>
      <c r="AK228" s="147">
        <v>5764</v>
      </c>
      <c r="AL228" s="146">
        <v>118907</v>
      </c>
      <c r="AM228" s="194">
        <v>388</v>
      </c>
    </row>
    <row r="229" spans="1:39" ht="24" customHeight="1">
      <c r="A229" s="211">
        <v>389</v>
      </c>
      <c r="B229" s="210">
        <v>19190</v>
      </c>
      <c r="C229" s="210">
        <v>43774</v>
      </c>
      <c r="D229" s="209">
        <v>67</v>
      </c>
      <c r="E229" s="3" t="s">
        <v>61</v>
      </c>
      <c r="F229" s="143" t="s">
        <v>126</v>
      </c>
      <c r="G229" s="142">
        <v>21.240498806659701</v>
      </c>
      <c r="H229" s="5" t="s">
        <v>64</v>
      </c>
      <c r="I229" s="141" t="s">
        <v>62</v>
      </c>
      <c r="J229" s="147">
        <v>126947</v>
      </c>
      <c r="K229" s="146">
        <v>216158</v>
      </c>
      <c r="L229" s="147">
        <v>50705</v>
      </c>
      <c r="M229" s="146">
        <v>80755</v>
      </c>
      <c r="N229" s="147">
        <v>188774</v>
      </c>
      <c r="O229" s="146">
        <v>372889</v>
      </c>
      <c r="P229" s="147">
        <v>83263</v>
      </c>
      <c r="Q229" s="146">
        <v>223000</v>
      </c>
      <c r="R229" s="147">
        <v>1459676</v>
      </c>
      <c r="S229" s="146">
        <v>2304911</v>
      </c>
      <c r="T229" s="147"/>
      <c r="U229" s="146"/>
      <c r="V229" s="147">
        <v>267357</v>
      </c>
      <c r="W229" s="146">
        <v>465667</v>
      </c>
      <c r="X229" s="208">
        <v>389</v>
      </c>
      <c r="Y229" s="147">
        <v>44063</v>
      </c>
      <c r="Z229" s="146">
        <v>48519</v>
      </c>
      <c r="AA229" s="147">
        <v>9853</v>
      </c>
      <c r="AB229" s="146">
        <v>11832</v>
      </c>
      <c r="AC229" s="147">
        <v>7577</v>
      </c>
      <c r="AD229" s="146">
        <v>9810</v>
      </c>
      <c r="AE229" s="147">
        <v>1543</v>
      </c>
      <c r="AF229" s="146">
        <v>3564</v>
      </c>
      <c r="AG229" s="147">
        <v>9088</v>
      </c>
      <c r="AH229" s="146">
        <v>12878</v>
      </c>
      <c r="AI229" s="147"/>
      <c r="AJ229" s="146"/>
      <c r="AK229" s="147">
        <v>9088</v>
      </c>
      <c r="AL229" s="146">
        <v>12878</v>
      </c>
      <c r="AM229" s="207">
        <v>389</v>
      </c>
    </row>
    <row r="230" spans="1:39" ht="24" customHeight="1">
      <c r="A230" s="196">
        <v>390</v>
      </c>
      <c r="B230" s="180">
        <v>21872</v>
      </c>
      <c r="C230" s="180">
        <v>43777</v>
      </c>
      <c r="D230" s="179">
        <v>59</v>
      </c>
      <c r="E230" s="4" t="s">
        <v>58</v>
      </c>
      <c r="F230" s="143" t="s">
        <v>116</v>
      </c>
      <c r="G230" s="142">
        <v>21.083570742440536</v>
      </c>
      <c r="H230" s="11" t="s">
        <v>59</v>
      </c>
      <c r="I230" s="141" t="s">
        <v>62</v>
      </c>
      <c r="J230" s="147">
        <v>114955</v>
      </c>
      <c r="K230" s="146">
        <v>173758</v>
      </c>
      <c r="L230" s="147">
        <v>57834</v>
      </c>
      <c r="M230" s="146">
        <v>69977</v>
      </c>
      <c r="N230" s="147">
        <v>120812</v>
      </c>
      <c r="O230" s="146">
        <v>157384</v>
      </c>
      <c r="P230" s="147">
        <v>20044</v>
      </c>
      <c r="Q230" s="146">
        <v>25947</v>
      </c>
      <c r="R230" s="147" t="s">
        <v>1164</v>
      </c>
      <c r="S230" s="146" t="s">
        <v>1164</v>
      </c>
      <c r="T230" s="147"/>
      <c r="U230" s="146"/>
      <c r="V230" s="147">
        <v>166631</v>
      </c>
      <c r="W230" s="146">
        <v>336962</v>
      </c>
      <c r="X230" s="195">
        <v>390</v>
      </c>
      <c r="Y230" s="147">
        <v>7237</v>
      </c>
      <c r="Z230" s="146">
        <v>8865</v>
      </c>
      <c r="AA230" s="147">
        <v>3165</v>
      </c>
      <c r="AB230" s="146">
        <v>4935</v>
      </c>
      <c r="AC230" s="147">
        <v>3361</v>
      </c>
      <c r="AD230" s="146">
        <v>4879</v>
      </c>
      <c r="AE230" s="147">
        <v>2447</v>
      </c>
      <c r="AF230" s="146">
        <v>2709</v>
      </c>
      <c r="AG230" s="147">
        <v>7891</v>
      </c>
      <c r="AH230" s="146">
        <v>8904</v>
      </c>
      <c r="AI230" s="147"/>
      <c r="AJ230" s="146"/>
      <c r="AK230" s="147">
        <v>7891</v>
      </c>
      <c r="AL230" s="146">
        <v>8904</v>
      </c>
      <c r="AM230" s="194">
        <v>390</v>
      </c>
    </row>
    <row r="231" spans="1:39" ht="24" customHeight="1">
      <c r="A231" s="211">
        <v>391</v>
      </c>
      <c r="B231" s="210">
        <v>20001</v>
      </c>
      <c r="C231" s="210">
        <v>43781</v>
      </c>
      <c r="D231" s="209">
        <v>65</v>
      </c>
      <c r="E231" s="3" t="s">
        <v>61</v>
      </c>
      <c r="F231" s="143" t="s">
        <v>116</v>
      </c>
      <c r="G231" s="142">
        <v>22.198805321939247</v>
      </c>
      <c r="H231" s="5" t="s">
        <v>64</v>
      </c>
      <c r="I231" s="141" t="s">
        <v>62</v>
      </c>
      <c r="J231" s="147">
        <v>51209</v>
      </c>
      <c r="K231" s="146">
        <v>98777</v>
      </c>
      <c r="L231" s="147">
        <v>46428</v>
      </c>
      <c r="M231" s="146">
        <v>119190</v>
      </c>
      <c r="N231" s="147">
        <v>295280</v>
      </c>
      <c r="O231" s="146">
        <v>227552</v>
      </c>
      <c r="P231" s="147">
        <v>11620</v>
      </c>
      <c r="Q231" s="146">
        <v>30164</v>
      </c>
      <c r="R231" s="147">
        <v>224078</v>
      </c>
      <c r="S231" s="146">
        <v>185642</v>
      </c>
      <c r="T231" s="147">
        <v>81799</v>
      </c>
      <c r="U231" s="146">
        <v>104369</v>
      </c>
      <c r="V231" s="147">
        <v>200615</v>
      </c>
      <c r="W231" s="146">
        <v>169446</v>
      </c>
      <c r="X231" s="208">
        <v>391</v>
      </c>
      <c r="Y231" s="147">
        <v>4219</v>
      </c>
      <c r="Z231" s="146">
        <v>7266</v>
      </c>
      <c r="AA231" s="147">
        <v>1381</v>
      </c>
      <c r="AB231" s="146">
        <v>2386</v>
      </c>
      <c r="AC231" s="147">
        <v>3670</v>
      </c>
      <c r="AD231" s="146">
        <v>5596</v>
      </c>
      <c r="AE231" s="147">
        <v>565.4</v>
      </c>
      <c r="AF231" s="146">
        <v>1381</v>
      </c>
      <c r="AG231" s="147">
        <v>13772</v>
      </c>
      <c r="AH231" s="146">
        <v>18901</v>
      </c>
      <c r="AI231" s="147"/>
      <c r="AJ231" s="146"/>
      <c r="AK231" s="147">
        <v>13772</v>
      </c>
      <c r="AL231" s="146">
        <v>18901</v>
      </c>
      <c r="AM231" s="207">
        <v>391</v>
      </c>
    </row>
    <row r="232" spans="1:39" ht="24" customHeight="1">
      <c r="A232" s="199">
        <v>392</v>
      </c>
      <c r="B232" s="190">
        <v>26142</v>
      </c>
      <c r="C232" s="190">
        <v>43775</v>
      </c>
      <c r="D232" s="189">
        <v>48</v>
      </c>
      <c r="E232" s="3" t="s">
        <v>61</v>
      </c>
      <c r="F232" s="143" t="s">
        <v>116</v>
      </c>
      <c r="G232" s="142">
        <v>22.526988303599033</v>
      </c>
      <c r="H232" s="11" t="s">
        <v>59</v>
      </c>
      <c r="I232" s="141" t="s">
        <v>62</v>
      </c>
      <c r="J232" s="147">
        <v>50074</v>
      </c>
      <c r="K232" s="146">
        <v>258499</v>
      </c>
      <c r="L232" s="147">
        <v>28092</v>
      </c>
      <c r="M232" s="146">
        <v>156559</v>
      </c>
      <c r="N232" s="147">
        <v>84004</v>
      </c>
      <c r="O232" s="146">
        <v>240527</v>
      </c>
      <c r="P232" s="147">
        <v>13364</v>
      </c>
      <c r="Q232" s="146">
        <v>57133</v>
      </c>
      <c r="R232" s="147">
        <v>424250</v>
      </c>
      <c r="S232" s="146">
        <v>467083</v>
      </c>
      <c r="T232" s="147">
        <v>124763</v>
      </c>
      <c r="U232" s="146">
        <v>137927</v>
      </c>
      <c r="V232" s="147">
        <v>259494</v>
      </c>
      <c r="W232" s="146">
        <v>381128</v>
      </c>
      <c r="X232" s="198">
        <v>392</v>
      </c>
      <c r="Y232" s="147">
        <v>2369</v>
      </c>
      <c r="Z232" s="146">
        <v>7732</v>
      </c>
      <c r="AA232" s="147">
        <v>1728</v>
      </c>
      <c r="AB232" s="146">
        <v>6863</v>
      </c>
      <c r="AC232" s="147">
        <v>7053</v>
      </c>
      <c r="AD232" s="146">
        <v>22353</v>
      </c>
      <c r="AE232" s="147">
        <v>10732</v>
      </c>
      <c r="AF232" s="146">
        <v>30519</v>
      </c>
      <c r="AG232" s="147">
        <v>14876</v>
      </c>
      <c r="AH232" s="146">
        <v>24909</v>
      </c>
      <c r="AI232" s="147"/>
      <c r="AJ232" s="146"/>
      <c r="AK232" s="147">
        <v>14876</v>
      </c>
      <c r="AL232" s="146">
        <v>24909</v>
      </c>
      <c r="AM232" s="197">
        <v>392</v>
      </c>
    </row>
    <row r="233" spans="1:39" ht="24" customHeight="1">
      <c r="A233" s="196">
        <v>393</v>
      </c>
      <c r="B233" s="180">
        <v>24557</v>
      </c>
      <c r="C233" s="180">
        <v>43787</v>
      </c>
      <c r="D233" s="179">
        <v>52</v>
      </c>
      <c r="E233" s="4" t="s">
        <v>58</v>
      </c>
      <c r="F233" s="143" t="s">
        <v>116</v>
      </c>
      <c r="G233" s="142">
        <v>30.987803212305185</v>
      </c>
      <c r="H233" s="11" t="s">
        <v>59</v>
      </c>
      <c r="I233" s="141" t="s">
        <v>62</v>
      </c>
      <c r="J233" s="147">
        <v>224213</v>
      </c>
      <c r="K233" s="146">
        <v>286994</v>
      </c>
      <c r="L233" s="147">
        <v>99978</v>
      </c>
      <c r="M233" s="146">
        <v>114871</v>
      </c>
      <c r="N233" s="147">
        <v>321295</v>
      </c>
      <c r="O233" s="146">
        <v>296367</v>
      </c>
      <c r="P233" s="147">
        <v>66249</v>
      </c>
      <c r="Q233" s="146">
        <v>126968</v>
      </c>
      <c r="R233" s="147">
        <v>1089994</v>
      </c>
      <c r="S233" s="146">
        <v>1393053</v>
      </c>
      <c r="T233" s="147">
        <v>155701</v>
      </c>
      <c r="U233" s="146">
        <v>192752</v>
      </c>
      <c r="V233" s="147">
        <v>342051</v>
      </c>
      <c r="W233" s="146">
        <v>373951</v>
      </c>
      <c r="X233" s="195">
        <v>393</v>
      </c>
      <c r="Y233" s="147">
        <v>15367</v>
      </c>
      <c r="Z233" s="146">
        <v>17933</v>
      </c>
      <c r="AA233" s="147">
        <v>7858</v>
      </c>
      <c r="AB233" s="146">
        <v>9339</v>
      </c>
      <c r="AC233" s="147">
        <v>6894</v>
      </c>
      <c r="AD233" s="146">
        <v>8290</v>
      </c>
      <c r="AE233" s="147">
        <v>1881</v>
      </c>
      <c r="AF233" s="146">
        <v>2829</v>
      </c>
      <c r="AG233" s="147">
        <v>4790</v>
      </c>
      <c r="AH233" s="146">
        <v>5658</v>
      </c>
      <c r="AI233" s="147"/>
      <c r="AJ233" s="146"/>
      <c r="AK233" s="147">
        <v>4790</v>
      </c>
      <c r="AL233" s="146">
        <v>5658</v>
      </c>
      <c r="AM233" s="194">
        <v>393</v>
      </c>
    </row>
    <row r="234" spans="1:39" ht="24" customHeight="1">
      <c r="A234" s="199">
        <v>394</v>
      </c>
      <c r="B234" s="190">
        <v>28371</v>
      </c>
      <c r="C234" s="190">
        <v>43790</v>
      </c>
      <c r="D234" s="189">
        <v>42</v>
      </c>
      <c r="E234" s="3" t="s">
        <v>61</v>
      </c>
      <c r="F234" s="143" t="s">
        <v>116</v>
      </c>
      <c r="G234" s="142">
        <v>36.161920774538615</v>
      </c>
      <c r="H234" s="11" t="s">
        <v>59</v>
      </c>
      <c r="I234" s="141" t="s">
        <v>62</v>
      </c>
      <c r="J234" s="147">
        <v>94786</v>
      </c>
      <c r="K234" s="146">
        <v>238134</v>
      </c>
      <c r="L234" s="147">
        <v>46308</v>
      </c>
      <c r="M234" s="146">
        <v>90685</v>
      </c>
      <c r="N234" s="147">
        <v>74256</v>
      </c>
      <c r="O234" s="146">
        <v>158651</v>
      </c>
      <c r="P234" s="147">
        <v>13925</v>
      </c>
      <c r="Q234" s="146">
        <v>23930</v>
      </c>
      <c r="R234" s="147" t="s">
        <v>1164</v>
      </c>
      <c r="S234" s="146" t="s">
        <v>1164</v>
      </c>
      <c r="T234" s="147">
        <v>72731</v>
      </c>
      <c r="U234" s="146">
        <v>92185</v>
      </c>
      <c r="V234" s="147">
        <v>230600</v>
      </c>
      <c r="W234" s="146">
        <v>445304</v>
      </c>
      <c r="X234" s="198">
        <v>394</v>
      </c>
      <c r="Y234" s="147">
        <v>13629</v>
      </c>
      <c r="Z234" s="146">
        <v>27958</v>
      </c>
      <c r="AA234" s="147">
        <v>8559</v>
      </c>
      <c r="AB234" s="146">
        <v>16936</v>
      </c>
      <c r="AC234" s="147">
        <v>3322</v>
      </c>
      <c r="AD234" s="146">
        <v>6325</v>
      </c>
      <c r="AE234" s="147">
        <v>1694</v>
      </c>
      <c r="AF234" s="146">
        <v>2596</v>
      </c>
      <c r="AG234" s="147">
        <v>2024</v>
      </c>
      <c r="AH234" s="146">
        <v>2806</v>
      </c>
      <c r="AI234" s="147"/>
      <c r="AJ234" s="146"/>
      <c r="AK234" s="147">
        <v>2024</v>
      </c>
      <c r="AL234" s="146">
        <v>2806</v>
      </c>
      <c r="AM234" s="197">
        <v>394</v>
      </c>
    </row>
    <row r="235" spans="1:39" ht="24" customHeight="1">
      <c r="A235" s="199">
        <v>395</v>
      </c>
      <c r="B235" s="190">
        <v>26813</v>
      </c>
      <c r="C235" s="190">
        <v>43792</v>
      </c>
      <c r="D235" s="189">
        <v>46</v>
      </c>
      <c r="E235" s="3" t="s">
        <v>61</v>
      </c>
      <c r="F235" s="143" t="s">
        <v>116</v>
      </c>
      <c r="G235" s="142">
        <v>30.067764323327424</v>
      </c>
      <c r="H235" s="11" t="s">
        <v>59</v>
      </c>
      <c r="I235" s="141" t="s">
        <v>62</v>
      </c>
      <c r="J235" s="147">
        <v>41803</v>
      </c>
      <c r="K235" s="146">
        <v>444457</v>
      </c>
      <c r="L235" s="147">
        <v>56492</v>
      </c>
      <c r="M235" s="146">
        <v>906348</v>
      </c>
      <c r="N235" s="147">
        <v>22215</v>
      </c>
      <c r="O235" s="146">
        <v>67859</v>
      </c>
      <c r="P235" s="147">
        <v>2359</v>
      </c>
      <c r="Q235" s="146">
        <v>10069</v>
      </c>
      <c r="R235" s="147">
        <v>36415</v>
      </c>
      <c r="S235" s="146">
        <v>310353</v>
      </c>
      <c r="T235" s="147">
        <v>24432</v>
      </c>
      <c r="U235" s="146">
        <v>284516</v>
      </c>
      <c r="V235" s="147">
        <v>27884</v>
      </c>
      <c r="W235" s="146">
        <v>150252</v>
      </c>
      <c r="X235" s="198">
        <v>395</v>
      </c>
      <c r="Y235" s="147">
        <v>3361</v>
      </c>
      <c r="Z235" s="146">
        <v>20824</v>
      </c>
      <c r="AA235" s="147">
        <v>1704</v>
      </c>
      <c r="AB235" s="146">
        <v>10115</v>
      </c>
      <c r="AC235" s="147">
        <v>1019</v>
      </c>
      <c r="AD235" s="146">
        <v>5865</v>
      </c>
      <c r="AE235" s="147">
        <v>530.20000000000005</v>
      </c>
      <c r="AF235" s="146">
        <v>2219</v>
      </c>
      <c r="AG235" s="147">
        <v>5672</v>
      </c>
      <c r="AH235" s="146">
        <v>39945</v>
      </c>
      <c r="AI235" s="147"/>
      <c r="AJ235" s="146"/>
      <c r="AK235" s="147">
        <v>5672</v>
      </c>
      <c r="AL235" s="146">
        <v>39945</v>
      </c>
      <c r="AM235" s="197">
        <v>395</v>
      </c>
    </row>
    <row r="236" spans="1:39" ht="24" customHeight="1">
      <c r="A236" s="199">
        <v>396</v>
      </c>
      <c r="B236" s="190">
        <v>31311</v>
      </c>
      <c r="C236" s="190">
        <v>43780</v>
      </c>
      <c r="D236" s="189">
        <v>34</v>
      </c>
      <c r="E236" s="3" t="s">
        <v>61</v>
      </c>
      <c r="F236" s="143" t="s">
        <v>116</v>
      </c>
      <c r="G236" s="142">
        <v>23.154799411888259</v>
      </c>
      <c r="H236" s="11" t="s">
        <v>59</v>
      </c>
      <c r="I236" s="141" t="s">
        <v>62</v>
      </c>
      <c r="J236" s="147">
        <v>112850</v>
      </c>
      <c r="K236" s="146">
        <v>328230</v>
      </c>
      <c r="L236" s="147">
        <v>53018</v>
      </c>
      <c r="M236" s="146">
        <v>288632</v>
      </c>
      <c r="N236" s="147">
        <v>61752</v>
      </c>
      <c r="O236" s="146">
        <v>164838</v>
      </c>
      <c r="P236" s="147">
        <v>7458</v>
      </c>
      <c r="Q236" s="146">
        <v>71461</v>
      </c>
      <c r="R236" s="147">
        <v>93889</v>
      </c>
      <c r="S236" s="146">
        <v>457163</v>
      </c>
      <c r="T236" s="147">
        <v>50939</v>
      </c>
      <c r="U236" s="146">
        <v>146225</v>
      </c>
      <c r="V236" s="147">
        <v>183086</v>
      </c>
      <c r="W236" s="146">
        <v>460782</v>
      </c>
      <c r="X236" s="198">
        <v>396</v>
      </c>
      <c r="Y236" s="147">
        <v>3506</v>
      </c>
      <c r="Z236" s="146">
        <v>7428</v>
      </c>
      <c r="AA236" s="147">
        <v>2048</v>
      </c>
      <c r="AB236" s="146">
        <v>5050</v>
      </c>
      <c r="AC236" s="147">
        <v>5162</v>
      </c>
      <c r="AD236" s="146">
        <v>19062</v>
      </c>
      <c r="AE236" s="147">
        <v>1724</v>
      </c>
      <c r="AF236" s="146">
        <v>5310</v>
      </c>
      <c r="AG236" s="147">
        <v>3976</v>
      </c>
      <c r="AH236" s="146">
        <v>11702</v>
      </c>
      <c r="AI236" s="147"/>
      <c r="AJ236" s="146"/>
      <c r="AK236" s="147">
        <v>3976</v>
      </c>
      <c r="AL236" s="146">
        <v>11702</v>
      </c>
      <c r="AM236" s="197">
        <v>396</v>
      </c>
    </row>
    <row r="237" spans="1:39" ht="24" customHeight="1">
      <c r="A237" s="199">
        <v>397</v>
      </c>
      <c r="B237" s="190">
        <v>26530</v>
      </c>
      <c r="C237" s="190">
        <v>43771</v>
      </c>
      <c r="D237" s="189">
        <v>47</v>
      </c>
      <c r="E237" s="3" t="s">
        <v>61</v>
      </c>
      <c r="F237" s="143" t="s">
        <v>117</v>
      </c>
      <c r="G237" s="142">
        <v>36.977324919675056</v>
      </c>
      <c r="H237" s="11" t="s">
        <v>59</v>
      </c>
      <c r="I237" s="141" t="s">
        <v>62</v>
      </c>
      <c r="J237" s="147">
        <v>38378</v>
      </c>
      <c r="K237" s="146">
        <v>111797</v>
      </c>
      <c r="L237" s="147">
        <v>14940</v>
      </c>
      <c r="M237" s="146">
        <v>54415</v>
      </c>
      <c r="N237" s="147">
        <v>87880</v>
      </c>
      <c r="O237" s="146">
        <v>133001</v>
      </c>
      <c r="P237" s="147">
        <v>44354</v>
      </c>
      <c r="Q237" s="146">
        <v>74292</v>
      </c>
      <c r="R237" s="147">
        <v>525300</v>
      </c>
      <c r="S237" s="146">
        <v>646604</v>
      </c>
      <c r="T237" s="147">
        <v>128538</v>
      </c>
      <c r="U237" s="146">
        <v>132080</v>
      </c>
      <c r="V237" s="147">
        <v>120067</v>
      </c>
      <c r="W237" s="146">
        <v>183052</v>
      </c>
      <c r="X237" s="198">
        <v>397</v>
      </c>
      <c r="Y237" s="147">
        <v>1584</v>
      </c>
      <c r="Z237" s="146">
        <v>2447</v>
      </c>
      <c r="AA237" s="147">
        <v>837</v>
      </c>
      <c r="AB237" s="146">
        <v>1063</v>
      </c>
      <c r="AC237" s="147">
        <v>6704</v>
      </c>
      <c r="AD237" s="146">
        <v>8321</v>
      </c>
      <c r="AE237" s="147">
        <v>1970</v>
      </c>
      <c r="AF237" s="146">
        <v>1890</v>
      </c>
      <c r="AG237" s="147">
        <v>2713</v>
      </c>
      <c r="AH237" s="146">
        <v>4497</v>
      </c>
      <c r="AI237" s="147"/>
      <c r="AJ237" s="146"/>
      <c r="AK237" s="147">
        <v>2713</v>
      </c>
      <c r="AL237" s="146">
        <v>4497</v>
      </c>
      <c r="AM237" s="197">
        <v>397</v>
      </c>
    </row>
    <row r="238" spans="1:39" ht="24" customHeight="1">
      <c r="A238" s="196">
        <v>399</v>
      </c>
      <c r="B238" s="180">
        <v>21311</v>
      </c>
      <c r="C238" s="180">
        <v>43782</v>
      </c>
      <c r="D238" s="179">
        <v>61</v>
      </c>
      <c r="E238" s="4" t="s">
        <v>58</v>
      </c>
      <c r="F238" s="143" t="s">
        <v>116</v>
      </c>
      <c r="G238" s="142">
        <v>43.746768892022359</v>
      </c>
      <c r="H238" s="11" t="s">
        <v>59</v>
      </c>
      <c r="I238" s="141" t="s">
        <v>62</v>
      </c>
      <c r="J238" s="147"/>
      <c r="K238" s="146"/>
      <c r="L238" s="147">
        <v>20004</v>
      </c>
      <c r="M238" s="146">
        <v>139733</v>
      </c>
      <c r="N238" s="147"/>
      <c r="O238" s="146"/>
      <c r="P238" s="147">
        <v>5523</v>
      </c>
      <c r="Q238" s="146">
        <v>41097</v>
      </c>
      <c r="R238" s="147"/>
      <c r="S238" s="146"/>
      <c r="T238" s="147">
        <v>26292</v>
      </c>
      <c r="U238" s="146">
        <v>290730</v>
      </c>
      <c r="V238" s="147">
        <v>154363</v>
      </c>
      <c r="W238" s="146">
        <v>2021673</v>
      </c>
      <c r="X238" s="195">
        <v>399</v>
      </c>
      <c r="Y238" s="147"/>
      <c r="Z238" s="146"/>
      <c r="AA238" s="147">
        <v>12387</v>
      </c>
      <c r="AB238" s="146">
        <v>24680</v>
      </c>
      <c r="AC238" s="147"/>
      <c r="AD238" s="146"/>
      <c r="AE238" s="147">
        <v>1308</v>
      </c>
      <c r="AF238" s="146">
        <v>7242</v>
      </c>
      <c r="AG238" s="147"/>
      <c r="AH238" s="146"/>
      <c r="AI238" s="147"/>
      <c r="AJ238" s="146"/>
      <c r="AK238" s="147">
        <v>5275</v>
      </c>
      <c r="AL238" s="146">
        <v>10015</v>
      </c>
      <c r="AM238" s="194">
        <v>399</v>
      </c>
    </row>
    <row r="239" spans="1:39" ht="24" customHeight="1">
      <c r="A239" s="196">
        <v>400</v>
      </c>
      <c r="B239" s="180">
        <v>21901</v>
      </c>
      <c r="C239" s="180">
        <v>43780</v>
      </c>
      <c r="D239" s="179">
        <v>59</v>
      </c>
      <c r="E239" s="4" t="s">
        <v>58</v>
      </c>
      <c r="F239" s="143" t="s">
        <v>116</v>
      </c>
      <c r="G239" s="142">
        <v>25.959978366684695</v>
      </c>
      <c r="H239" s="11" t="s">
        <v>59</v>
      </c>
      <c r="I239" s="141" t="s">
        <v>62</v>
      </c>
      <c r="J239" s="147"/>
      <c r="K239" s="146"/>
      <c r="L239" s="147">
        <v>30648</v>
      </c>
      <c r="M239" s="146">
        <v>58419</v>
      </c>
      <c r="N239" s="147"/>
      <c r="O239" s="146"/>
      <c r="P239" s="147">
        <v>12333</v>
      </c>
      <c r="Q239" s="146">
        <v>22455</v>
      </c>
      <c r="R239" s="147"/>
      <c r="S239" s="146"/>
      <c r="T239" s="147">
        <v>84947</v>
      </c>
      <c r="U239" s="146">
        <v>71946</v>
      </c>
      <c r="V239" s="147">
        <v>9864</v>
      </c>
      <c r="W239" s="146">
        <v>48378</v>
      </c>
      <c r="X239" s="195">
        <v>400</v>
      </c>
      <c r="Y239" s="147"/>
      <c r="Z239" s="146"/>
      <c r="AA239" s="147">
        <v>2020</v>
      </c>
      <c r="AB239" s="146">
        <v>1650</v>
      </c>
      <c r="AC239" s="147"/>
      <c r="AD239" s="146"/>
      <c r="AE239" s="147">
        <v>3159</v>
      </c>
      <c r="AF239" s="146">
        <v>2458</v>
      </c>
      <c r="AG239" s="147"/>
      <c r="AH239" s="146"/>
      <c r="AI239" s="147"/>
      <c r="AJ239" s="146"/>
      <c r="AK239" s="147">
        <v>2623</v>
      </c>
      <c r="AL239" s="146">
        <v>1981</v>
      </c>
      <c r="AM239" s="194">
        <v>400</v>
      </c>
    </row>
    <row r="240" spans="1:39" ht="24" customHeight="1">
      <c r="A240" s="211">
        <v>401</v>
      </c>
      <c r="B240" s="210">
        <v>19939</v>
      </c>
      <c r="C240" s="210">
        <v>43782</v>
      </c>
      <c r="D240" s="209">
        <v>65</v>
      </c>
      <c r="E240" s="4" t="s">
        <v>58</v>
      </c>
      <c r="F240" s="143" t="s">
        <v>117</v>
      </c>
      <c r="G240" s="142">
        <v>37.676928705208269</v>
      </c>
      <c r="H240" s="5" t="s">
        <v>64</v>
      </c>
      <c r="I240" s="141" t="s">
        <v>62</v>
      </c>
      <c r="J240" s="147"/>
      <c r="K240" s="146"/>
      <c r="L240" s="147">
        <v>353634</v>
      </c>
      <c r="M240" s="146">
        <v>1013172</v>
      </c>
      <c r="N240" s="147"/>
      <c r="O240" s="146"/>
      <c r="P240" s="147">
        <v>70945</v>
      </c>
      <c r="Q240" s="146">
        <v>267766</v>
      </c>
      <c r="R240" s="147"/>
      <c r="S240" s="146"/>
      <c r="T240" s="147">
        <v>333205</v>
      </c>
      <c r="U240" s="146">
        <v>574524</v>
      </c>
      <c r="V240" s="147">
        <v>393485</v>
      </c>
      <c r="W240" s="146">
        <v>2155972</v>
      </c>
      <c r="X240" s="208">
        <v>401</v>
      </c>
      <c r="Y240" s="147"/>
      <c r="Z240" s="146"/>
      <c r="AA240" s="147">
        <v>7876</v>
      </c>
      <c r="AB240" s="146">
        <v>11925</v>
      </c>
      <c r="AC240" s="147"/>
      <c r="AD240" s="146"/>
      <c r="AE240" s="147">
        <v>9793</v>
      </c>
      <c r="AF240" s="146">
        <v>105000</v>
      </c>
      <c r="AG240" s="147"/>
      <c r="AH240" s="146"/>
      <c r="AI240" s="147"/>
      <c r="AJ240" s="146"/>
      <c r="AK240" s="147">
        <v>50229</v>
      </c>
      <c r="AL240" s="146">
        <v>82877</v>
      </c>
      <c r="AM240" s="207">
        <v>401</v>
      </c>
    </row>
    <row r="241" spans="1:39" ht="24" customHeight="1">
      <c r="A241" s="196">
        <v>402</v>
      </c>
      <c r="B241" s="180">
        <v>23557</v>
      </c>
      <c r="C241" s="180">
        <v>43784</v>
      </c>
      <c r="D241" s="179">
        <v>55</v>
      </c>
      <c r="E241" s="4" t="s">
        <v>58</v>
      </c>
      <c r="F241" s="143" t="s">
        <v>116</v>
      </c>
      <c r="G241" s="142">
        <v>32.592592592592588</v>
      </c>
      <c r="H241" s="11" t="s">
        <v>59</v>
      </c>
      <c r="I241" s="141" t="s">
        <v>62</v>
      </c>
      <c r="J241" s="147"/>
      <c r="K241" s="146"/>
      <c r="L241" s="147">
        <v>45192</v>
      </c>
      <c r="M241" s="146">
        <v>108354</v>
      </c>
      <c r="N241" s="147"/>
      <c r="O241" s="146"/>
      <c r="P241" s="147">
        <v>36767</v>
      </c>
      <c r="Q241" s="146">
        <v>42869</v>
      </c>
      <c r="R241" s="147"/>
      <c r="S241" s="146"/>
      <c r="T241" s="147">
        <v>62951</v>
      </c>
      <c r="U241" s="146">
        <v>125094</v>
      </c>
      <c r="V241" s="147">
        <v>71313</v>
      </c>
      <c r="W241" s="146">
        <v>331340</v>
      </c>
      <c r="X241" s="195">
        <v>402</v>
      </c>
      <c r="Y241" s="147"/>
      <c r="Z241" s="146"/>
      <c r="AA241" s="147">
        <v>1726</v>
      </c>
      <c r="AB241" s="146">
        <v>4733</v>
      </c>
      <c r="AC241" s="147"/>
      <c r="AD241" s="146"/>
      <c r="AE241" s="147">
        <v>2677</v>
      </c>
      <c r="AF241" s="146">
        <v>6558</v>
      </c>
      <c r="AG241" s="147"/>
      <c r="AH241" s="146"/>
      <c r="AI241" s="147"/>
      <c r="AJ241" s="146"/>
      <c r="AK241" s="147">
        <v>6152</v>
      </c>
      <c r="AL241" s="146">
        <v>13308</v>
      </c>
      <c r="AM241" s="194">
        <v>402</v>
      </c>
    </row>
    <row r="242" spans="1:39" ht="24" customHeight="1">
      <c r="A242" s="196">
        <v>403</v>
      </c>
      <c r="B242" s="180">
        <v>22443</v>
      </c>
      <c r="C242" s="180">
        <v>43781</v>
      </c>
      <c r="D242" s="179">
        <v>58</v>
      </c>
      <c r="E242" s="3" t="s">
        <v>61</v>
      </c>
      <c r="F242" s="143" t="s">
        <v>116</v>
      </c>
      <c r="G242" s="142">
        <v>29.902787729701359</v>
      </c>
      <c r="H242" s="11" t="s">
        <v>59</v>
      </c>
      <c r="I242" s="141" t="s">
        <v>62</v>
      </c>
      <c r="J242" s="147"/>
      <c r="K242" s="146"/>
      <c r="L242" s="147">
        <v>146482</v>
      </c>
      <c r="M242" s="146">
        <v>421052</v>
      </c>
      <c r="N242" s="147"/>
      <c r="O242" s="146"/>
      <c r="P242" s="147">
        <v>41349</v>
      </c>
      <c r="Q242" s="146">
        <v>77537</v>
      </c>
      <c r="R242" s="147"/>
      <c r="S242" s="146"/>
      <c r="T242" s="147">
        <v>200413</v>
      </c>
      <c r="U242" s="146">
        <v>353194</v>
      </c>
      <c r="V242" s="147">
        <v>71109</v>
      </c>
      <c r="W242" s="146">
        <v>94200</v>
      </c>
      <c r="X242" s="195">
        <v>403</v>
      </c>
      <c r="Y242" s="147"/>
      <c r="Z242" s="146"/>
      <c r="AA242" s="147">
        <v>4014</v>
      </c>
      <c r="AB242" s="146">
        <v>5569</v>
      </c>
      <c r="AC242" s="147"/>
      <c r="AD242" s="146"/>
      <c r="AE242" s="147">
        <v>9582</v>
      </c>
      <c r="AF242" s="146">
        <v>18915</v>
      </c>
      <c r="AG242" s="147"/>
      <c r="AH242" s="146"/>
      <c r="AI242" s="147"/>
      <c r="AJ242" s="146"/>
      <c r="AK242" s="147">
        <v>14997</v>
      </c>
      <c r="AL242" s="146">
        <v>34971</v>
      </c>
      <c r="AM242" s="194">
        <v>403</v>
      </c>
    </row>
    <row r="243" spans="1:39" ht="24" customHeight="1">
      <c r="A243" s="199">
        <v>404</v>
      </c>
      <c r="B243" s="190">
        <v>25901</v>
      </c>
      <c r="C243" s="190">
        <v>43794</v>
      </c>
      <c r="D243" s="189">
        <v>48</v>
      </c>
      <c r="E243" s="3" t="s">
        <v>61</v>
      </c>
      <c r="F243" s="143" t="s">
        <v>116</v>
      </c>
      <c r="G243" s="142">
        <v>40.785777809085218</v>
      </c>
      <c r="H243" s="11" t="s">
        <v>59</v>
      </c>
      <c r="I243" s="141" t="s">
        <v>62</v>
      </c>
      <c r="J243" s="147"/>
      <c r="K243" s="146"/>
      <c r="L243" s="147">
        <v>155127</v>
      </c>
      <c r="M243" s="146">
        <v>227499</v>
      </c>
      <c r="N243" s="147"/>
      <c r="O243" s="146"/>
      <c r="P243" s="147">
        <v>36573</v>
      </c>
      <c r="Q243" s="146">
        <v>87388</v>
      </c>
      <c r="R243" s="147"/>
      <c r="S243" s="146"/>
      <c r="T243" s="147">
        <v>240884</v>
      </c>
      <c r="U243" s="146">
        <v>367608</v>
      </c>
      <c r="V243" s="147">
        <v>417378</v>
      </c>
      <c r="W243" s="146">
        <v>897264</v>
      </c>
      <c r="X243" s="198">
        <v>404</v>
      </c>
      <c r="Y243" s="147"/>
      <c r="Z243" s="146"/>
      <c r="AA243" s="147">
        <v>1893</v>
      </c>
      <c r="AB243" s="146">
        <v>2101</v>
      </c>
      <c r="AC243" s="147"/>
      <c r="AD243" s="146"/>
      <c r="AE243" s="147">
        <v>2868</v>
      </c>
      <c r="AF243" s="146">
        <v>3460</v>
      </c>
      <c r="AG243" s="147"/>
      <c r="AH243" s="146"/>
      <c r="AI243" s="147"/>
      <c r="AJ243" s="146"/>
      <c r="AK243" s="147">
        <v>19663</v>
      </c>
      <c r="AL243" s="146">
        <v>39132</v>
      </c>
      <c r="AM243" s="197">
        <v>404</v>
      </c>
    </row>
    <row r="244" spans="1:39" ht="24" customHeight="1">
      <c r="A244" s="196">
        <v>405</v>
      </c>
      <c r="B244" s="180">
        <v>23149</v>
      </c>
      <c r="C244" s="180">
        <v>43776</v>
      </c>
      <c r="D244" s="179">
        <v>56</v>
      </c>
      <c r="E244" s="3" t="s">
        <v>61</v>
      </c>
      <c r="F244" s="143" t="s">
        <v>116</v>
      </c>
      <c r="G244" s="142">
        <v>26.212280472151051</v>
      </c>
      <c r="H244" s="11" t="s">
        <v>59</v>
      </c>
      <c r="I244" s="141" t="s">
        <v>62</v>
      </c>
      <c r="J244" s="147"/>
      <c r="K244" s="146"/>
      <c r="L244" s="147">
        <v>22254</v>
      </c>
      <c r="M244" s="146">
        <v>228289</v>
      </c>
      <c r="N244" s="147"/>
      <c r="O244" s="146"/>
      <c r="P244" s="147">
        <v>81387</v>
      </c>
      <c r="Q244" s="146">
        <v>118415</v>
      </c>
      <c r="R244" s="147"/>
      <c r="S244" s="146"/>
      <c r="T244" s="147">
        <v>57347</v>
      </c>
      <c r="U244" s="146">
        <v>398155</v>
      </c>
      <c r="V244" s="147">
        <v>38304</v>
      </c>
      <c r="W244" s="146">
        <v>285290</v>
      </c>
      <c r="X244" s="195">
        <v>405</v>
      </c>
      <c r="Y244" s="147"/>
      <c r="Z244" s="146"/>
      <c r="AA244" s="147">
        <v>871.5</v>
      </c>
      <c r="AB244" s="146">
        <v>3578</v>
      </c>
      <c r="AC244" s="147"/>
      <c r="AD244" s="146"/>
      <c r="AE244" s="147">
        <v>8491</v>
      </c>
      <c r="AF244" s="146">
        <v>44755</v>
      </c>
      <c r="AG244" s="147"/>
      <c r="AH244" s="146"/>
      <c r="AI244" s="147"/>
      <c r="AJ244" s="146"/>
      <c r="AK244" s="147">
        <v>3230</v>
      </c>
      <c r="AL244" s="146">
        <v>15632</v>
      </c>
      <c r="AM244" s="194">
        <v>405</v>
      </c>
    </row>
    <row r="245" spans="1:39" ht="24" customHeight="1">
      <c r="A245" s="206">
        <v>406</v>
      </c>
      <c r="B245" s="205">
        <v>16809</v>
      </c>
      <c r="C245" s="205">
        <v>43787</v>
      </c>
      <c r="D245" s="204">
        <v>73</v>
      </c>
      <c r="E245" s="3" t="s">
        <v>61</v>
      </c>
      <c r="F245" s="143" t="s">
        <v>116</v>
      </c>
      <c r="G245" s="142">
        <v>25.97342125979096</v>
      </c>
      <c r="H245" s="11" t="s">
        <v>59</v>
      </c>
      <c r="I245" s="141" t="s">
        <v>62</v>
      </c>
      <c r="J245" s="147"/>
      <c r="K245" s="146"/>
      <c r="L245" s="147">
        <v>37561</v>
      </c>
      <c r="M245" s="146">
        <v>170057</v>
      </c>
      <c r="N245" s="147"/>
      <c r="O245" s="146"/>
      <c r="P245" s="147">
        <v>9584</v>
      </c>
      <c r="Q245" s="146">
        <v>59353</v>
      </c>
      <c r="R245" s="147"/>
      <c r="S245" s="146"/>
      <c r="T245" s="147">
        <v>58352</v>
      </c>
      <c r="U245" s="146">
        <v>160973</v>
      </c>
      <c r="V245" s="147">
        <v>20400</v>
      </c>
      <c r="W245" s="146">
        <v>114559</v>
      </c>
      <c r="X245" s="203">
        <v>406</v>
      </c>
      <c r="Y245" s="147"/>
      <c r="Z245" s="146"/>
      <c r="AA245" s="147">
        <v>1589</v>
      </c>
      <c r="AB245" s="146">
        <v>4621</v>
      </c>
      <c r="AC245" s="147"/>
      <c r="AD245" s="146"/>
      <c r="AE245" s="147">
        <v>845.6</v>
      </c>
      <c r="AF245" s="146">
        <v>2818</v>
      </c>
      <c r="AG245" s="147"/>
      <c r="AH245" s="146"/>
      <c r="AI245" s="147"/>
      <c r="AJ245" s="146"/>
      <c r="AK245" s="147">
        <v>1778</v>
      </c>
      <c r="AL245" s="146">
        <v>2501</v>
      </c>
      <c r="AM245" s="202">
        <v>406</v>
      </c>
    </row>
    <row r="246" spans="1:39" ht="24" customHeight="1">
      <c r="A246" s="199">
        <v>407</v>
      </c>
      <c r="B246" s="190">
        <v>28799</v>
      </c>
      <c r="C246" s="190">
        <v>43784</v>
      </c>
      <c r="D246" s="189">
        <v>41</v>
      </c>
      <c r="E246" s="4" t="s">
        <v>58</v>
      </c>
      <c r="F246" s="143" t="s">
        <v>116</v>
      </c>
      <c r="G246" s="142">
        <v>29.967626728652696</v>
      </c>
      <c r="H246" s="11" t="s">
        <v>59</v>
      </c>
      <c r="I246" s="141" t="s">
        <v>62</v>
      </c>
      <c r="J246" s="147"/>
      <c r="K246" s="146"/>
      <c r="L246" s="147">
        <v>124006</v>
      </c>
      <c r="M246" s="146">
        <v>132827</v>
      </c>
      <c r="N246" s="147"/>
      <c r="O246" s="146"/>
      <c r="P246" s="147">
        <v>32865</v>
      </c>
      <c r="Q246" s="146">
        <v>183667</v>
      </c>
      <c r="R246" s="147"/>
      <c r="S246" s="146"/>
      <c r="T246" s="147">
        <v>82553</v>
      </c>
      <c r="U246" s="146">
        <v>92871</v>
      </c>
      <c r="V246" s="147">
        <v>122493</v>
      </c>
      <c r="W246" s="146">
        <v>184112</v>
      </c>
      <c r="X246" s="198">
        <v>407</v>
      </c>
      <c r="Y246" s="147"/>
      <c r="Z246" s="146"/>
      <c r="AA246" s="147">
        <v>954.3</v>
      </c>
      <c r="AB246" s="146">
        <v>908.6</v>
      </c>
      <c r="AC246" s="147"/>
      <c r="AD246" s="146"/>
      <c r="AE246" s="147">
        <v>526.1</v>
      </c>
      <c r="AF246" s="146">
        <v>549.6</v>
      </c>
      <c r="AG246" s="147"/>
      <c r="AH246" s="146"/>
      <c r="AI246" s="147"/>
      <c r="AJ246" s="146"/>
      <c r="AK246" s="147">
        <v>3155</v>
      </c>
      <c r="AL246" s="146">
        <v>3264</v>
      </c>
      <c r="AM246" s="197">
        <v>407</v>
      </c>
    </row>
    <row r="247" spans="1:39" ht="24" customHeight="1">
      <c r="A247" s="201">
        <v>408</v>
      </c>
      <c r="B247" s="183">
        <v>36830</v>
      </c>
      <c r="C247" s="183">
        <v>43812</v>
      </c>
      <c r="D247" s="182">
        <v>19</v>
      </c>
      <c r="E247" s="3" t="s">
        <v>61</v>
      </c>
      <c r="F247" s="143" t="s">
        <v>116</v>
      </c>
      <c r="G247" s="142">
        <v>20.272246695683641</v>
      </c>
      <c r="H247" s="11" t="s">
        <v>59</v>
      </c>
      <c r="I247" s="141" t="s">
        <v>62</v>
      </c>
      <c r="J247" s="147"/>
      <c r="K247" s="146"/>
      <c r="L247" s="147">
        <v>430582</v>
      </c>
      <c r="M247" s="146">
        <v>288914</v>
      </c>
      <c r="N247" s="147"/>
      <c r="O247" s="146"/>
      <c r="P247" s="147">
        <v>44261</v>
      </c>
      <c r="Q247" s="146">
        <v>380295</v>
      </c>
      <c r="R247" s="147"/>
      <c r="S247" s="146"/>
      <c r="T247" s="147">
        <v>28312</v>
      </c>
      <c r="U247" s="146">
        <v>46563</v>
      </c>
      <c r="V247" s="147">
        <v>48707</v>
      </c>
      <c r="W247" s="146">
        <v>75828</v>
      </c>
      <c r="X247" s="32">
        <v>408</v>
      </c>
      <c r="Y247" s="147"/>
      <c r="Z247" s="146"/>
      <c r="AA247" s="147">
        <v>2504</v>
      </c>
      <c r="AB247" s="146">
        <v>2570</v>
      </c>
      <c r="AC247" s="147"/>
      <c r="AD247" s="146"/>
      <c r="AE247" s="147">
        <v>3791</v>
      </c>
      <c r="AF247" s="146">
        <v>8560</v>
      </c>
      <c r="AG247" s="147"/>
      <c r="AH247" s="146"/>
      <c r="AI247" s="147"/>
      <c r="AJ247" s="146"/>
      <c r="AK247" s="147">
        <v>645.4</v>
      </c>
      <c r="AL247" s="146">
        <v>977.9</v>
      </c>
      <c r="AM247" s="200">
        <v>408</v>
      </c>
    </row>
    <row r="248" spans="1:39" ht="24" customHeight="1">
      <c r="A248" s="199">
        <v>409</v>
      </c>
      <c r="B248" s="190">
        <v>27363</v>
      </c>
      <c r="C248" s="190">
        <v>43782</v>
      </c>
      <c r="D248" s="189">
        <v>44</v>
      </c>
      <c r="E248" s="3" t="s">
        <v>61</v>
      </c>
      <c r="F248" s="143" t="s">
        <v>117</v>
      </c>
      <c r="G248" s="142">
        <v>35.622217180266034</v>
      </c>
      <c r="H248" s="11" t="s">
        <v>59</v>
      </c>
      <c r="I248" s="141" t="s">
        <v>62</v>
      </c>
      <c r="J248" s="147"/>
      <c r="K248" s="146"/>
      <c r="L248" s="147">
        <v>12495</v>
      </c>
      <c r="M248" s="146">
        <v>214732</v>
      </c>
      <c r="N248" s="147"/>
      <c r="O248" s="146"/>
      <c r="P248" s="147">
        <v>12958</v>
      </c>
      <c r="Q248" s="146">
        <v>30634</v>
      </c>
      <c r="R248" s="147"/>
      <c r="S248" s="146"/>
      <c r="T248" s="147">
        <v>79567</v>
      </c>
      <c r="U248" s="146">
        <v>301692</v>
      </c>
      <c r="V248" s="147">
        <v>55492</v>
      </c>
      <c r="W248" s="146">
        <v>349891</v>
      </c>
      <c r="X248" s="198">
        <v>409</v>
      </c>
      <c r="Y248" s="147"/>
      <c r="Z248" s="146"/>
      <c r="AA248" s="147">
        <v>1076</v>
      </c>
      <c r="AB248" s="146">
        <v>2745</v>
      </c>
      <c r="AC248" s="147"/>
      <c r="AD248" s="146"/>
      <c r="AE248" s="147">
        <v>723.3</v>
      </c>
      <c r="AF248" s="146">
        <v>13416</v>
      </c>
      <c r="AG248" s="147"/>
      <c r="AH248" s="146"/>
      <c r="AI248" s="147"/>
      <c r="AJ248" s="146"/>
      <c r="AK248" s="147">
        <v>2969</v>
      </c>
      <c r="AL248" s="146">
        <v>10500</v>
      </c>
      <c r="AM248" s="197">
        <v>409</v>
      </c>
    </row>
    <row r="249" spans="1:39" ht="24" customHeight="1">
      <c r="A249" s="199">
        <v>410</v>
      </c>
      <c r="B249" s="190">
        <v>28249</v>
      </c>
      <c r="C249" s="190">
        <v>43802</v>
      </c>
      <c r="D249" s="189">
        <v>42</v>
      </c>
      <c r="E249" s="3" t="s">
        <v>61</v>
      </c>
      <c r="F249" s="143" t="s">
        <v>116</v>
      </c>
      <c r="G249" s="142">
        <v>21.141868512110729</v>
      </c>
      <c r="H249" s="11" t="s">
        <v>59</v>
      </c>
      <c r="I249" s="141" t="s">
        <v>62</v>
      </c>
      <c r="J249" s="147"/>
      <c r="K249" s="146"/>
      <c r="L249" s="147">
        <v>48910</v>
      </c>
      <c r="M249" s="146">
        <v>121347</v>
      </c>
      <c r="N249" s="147"/>
      <c r="O249" s="146"/>
      <c r="P249" s="147">
        <v>20512</v>
      </c>
      <c r="Q249" s="146">
        <v>44615</v>
      </c>
      <c r="R249" s="147"/>
      <c r="S249" s="146"/>
      <c r="T249" s="147">
        <v>104710</v>
      </c>
      <c r="U249" s="146">
        <v>137709</v>
      </c>
      <c r="V249" s="147">
        <v>45775</v>
      </c>
      <c r="W249" s="146">
        <v>105324</v>
      </c>
      <c r="X249" s="198">
        <v>410</v>
      </c>
      <c r="Y249" s="147"/>
      <c r="Z249" s="146"/>
      <c r="AA249" s="147">
        <v>1156</v>
      </c>
      <c r="AB249" s="146">
        <v>2045</v>
      </c>
      <c r="AC249" s="147"/>
      <c r="AD249" s="146"/>
      <c r="AE249" s="147">
        <v>1883</v>
      </c>
      <c r="AF249" s="146">
        <v>5133</v>
      </c>
      <c r="AG249" s="147"/>
      <c r="AH249" s="146"/>
      <c r="AI249" s="147"/>
      <c r="AJ249" s="146"/>
      <c r="AK249" s="147">
        <v>1941</v>
      </c>
      <c r="AL249" s="146">
        <v>2814</v>
      </c>
      <c r="AM249" s="197">
        <v>410</v>
      </c>
    </row>
    <row r="250" spans="1:39" ht="24" customHeight="1">
      <c r="A250" s="199">
        <v>411</v>
      </c>
      <c r="B250" s="190">
        <v>29545</v>
      </c>
      <c r="C250" s="190">
        <v>43780</v>
      </c>
      <c r="D250" s="189">
        <v>38</v>
      </c>
      <c r="E250" s="4" t="s">
        <v>58</v>
      </c>
      <c r="F250" s="143" t="s">
        <v>116</v>
      </c>
      <c r="G250" s="142">
        <v>32.590310077102941</v>
      </c>
      <c r="H250" s="11" t="s">
        <v>59</v>
      </c>
      <c r="I250" s="141" t="s">
        <v>62</v>
      </c>
      <c r="J250" s="147"/>
      <c r="K250" s="146"/>
      <c r="L250" s="147">
        <v>142370</v>
      </c>
      <c r="M250" s="146">
        <v>213722</v>
      </c>
      <c r="N250" s="147"/>
      <c r="O250" s="146"/>
      <c r="P250" s="147">
        <v>81240</v>
      </c>
      <c r="Q250" s="146">
        <v>58720</v>
      </c>
      <c r="R250" s="147"/>
      <c r="S250" s="146"/>
      <c r="T250" s="147">
        <v>18532</v>
      </c>
      <c r="U250" s="146">
        <v>72999</v>
      </c>
      <c r="V250" s="147">
        <v>32476</v>
      </c>
      <c r="W250" s="146">
        <v>63122</v>
      </c>
      <c r="X250" s="198">
        <v>411</v>
      </c>
      <c r="Y250" s="147"/>
      <c r="Z250" s="146"/>
      <c r="AA250" s="147">
        <v>277.3</v>
      </c>
      <c r="AB250" s="146">
        <v>492.7</v>
      </c>
      <c r="AC250" s="147"/>
      <c r="AD250" s="146"/>
      <c r="AE250" s="147">
        <v>630</v>
      </c>
      <c r="AF250" s="146">
        <v>576.20000000000005</v>
      </c>
      <c r="AG250" s="147"/>
      <c r="AH250" s="146"/>
      <c r="AI250" s="147"/>
      <c r="AJ250" s="146"/>
      <c r="AK250" s="147">
        <v>450.3</v>
      </c>
      <c r="AL250" s="146">
        <v>765.5</v>
      </c>
      <c r="AM250" s="197">
        <v>411</v>
      </c>
    </row>
    <row r="251" spans="1:39" ht="24" customHeight="1">
      <c r="A251" s="196">
        <v>412</v>
      </c>
      <c r="B251" s="180">
        <v>25262</v>
      </c>
      <c r="C251" s="180">
        <v>43802</v>
      </c>
      <c r="D251" s="179">
        <v>50</v>
      </c>
      <c r="E251" s="3" t="s">
        <v>61</v>
      </c>
      <c r="F251" s="143" t="s">
        <v>116</v>
      </c>
      <c r="G251" s="142">
        <v>22.296059758759299</v>
      </c>
      <c r="H251" s="11" t="s">
        <v>59</v>
      </c>
      <c r="I251" s="141" t="s">
        <v>62</v>
      </c>
      <c r="J251" s="147"/>
      <c r="K251" s="146"/>
      <c r="L251" s="147">
        <v>72761</v>
      </c>
      <c r="M251" s="146">
        <v>238934</v>
      </c>
      <c r="N251" s="147"/>
      <c r="O251" s="146"/>
      <c r="P251" s="147">
        <v>269917</v>
      </c>
      <c r="Q251" s="146">
        <v>233005</v>
      </c>
      <c r="R251" s="147"/>
      <c r="S251" s="146"/>
      <c r="T251" s="147">
        <v>69356</v>
      </c>
      <c r="U251" s="146">
        <v>61495</v>
      </c>
      <c r="V251" s="147">
        <v>154381</v>
      </c>
      <c r="W251" s="146">
        <v>572400</v>
      </c>
      <c r="X251" s="195">
        <v>412</v>
      </c>
      <c r="Y251" s="147"/>
      <c r="Z251" s="146"/>
      <c r="AA251" s="147">
        <v>294.7</v>
      </c>
      <c r="AB251" s="146">
        <v>2167</v>
      </c>
      <c r="AC251" s="147"/>
      <c r="AD251" s="146"/>
      <c r="AE251" s="147">
        <v>1964</v>
      </c>
      <c r="AF251" s="146">
        <v>5971</v>
      </c>
      <c r="AG251" s="147"/>
      <c r="AH251" s="146"/>
      <c r="AI251" s="147"/>
      <c r="AJ251" s="146"/>
      <c r="AK251" s="147">
        <v>734.3</v>
      </c>
      <c r="AL251" s="146">
        <v>1779</v>
      </c>
      <c r="AM251" s="194">
        <v>412</v>
      </c>
    </row>
    <row r="252" spans="1:39" ht="24" customHeight="1">
      <c r="A252" s="199">
        <v>413</v>
      </c>
      <c r="B252" s="190">
        <v>28277</v>
      </c>
      <c r="C252" s="190">
        <v>43809</v>
      </c>
      <c r="D252" s="189">
        <v>42</v>
      </c>
      <c r="E252" s="4" t="s">
        <v>58</v>
      </c>
      <c r="F252" s="143" t="s">
        <v>116</v>
      </c>
      <c r="G252" s="142">
        <v>25.393857721553818</v>
      </c>
      <c r="H252" s="11" t="s">
        <v>59</v>
      </c>
      <c r="I252" s="141" t="s">
        <v>62</v>
      </c>
      <c r="J252" s="147"/>
      <c r="K252" s="146"/>
      <c r="L252" s="147">
        <v>286089</v>
      </c>
      <c r="M252" s="146">
        <v>236832</v>
      </c>
      <c r="N252" s="147"/>
      <c r="O252" s="146"/>
      <c r="P252" s="147">
        <v>39207</v>
      </c>
      <c r="Q252" s="146">
        <v>44029</v>
      </c>
      <c r="R252" s="147"/>
      <c r="S252" s="146"/>
      <c r="T252" s="147">
        <v>53542</v>
      </c>
      <c r="U252" s="146">
        <v>105891</v>
      </c>
      <c r="V252" s="147">
        <v>38475</v>
      </c>
      <c r="W252" s="146">
        <v>53863</v>
      </c>
      <c r="X252" s="198">
        <v>413</v>
      </c>
      <c r="Y252" s="147"/>
      <c r="Z252" s="146"/>
      <c r="AA252" s="147">
        <v>4842</v>
      </c>
      <c r="AB252" s="146">
        <v>6355</v>
      </c>
      <c r="AC252" s="147"/>
      <c r="AD252" s="146"/>
      <c r="AE252" s="147">
        <v>308.8</v>
      </c>
      <c r="AF252" s="146">
        <v>2174</v>
      </c>
      <c r="AG252" s="147"/>
      <c r="AH252" s="146"/>
      <c r="AI252" s="147"/>
      <c r="AJ252" s="146"/>
      <c r="AK252" s="147">
        <v>1027</v>
      </c>
      <c r="AL252" s="146">
        <v>2219</v>
      </c>
      <c r="AM252" s="197">
        <v>413</v>
      </c>
    </row>
    <row r="253" spans="1:39" ht="24" customHeight="1">
      <c r="A253" s="196">
        <v>414</v>
      </c>
      <c r="B253" s="180">
        <v>22687</v>
      </c>
      <c r="C253" s="180">
        <v>43788</v>
      </c>
      <c r="D253" s="179">
        <v>57</v>
      </c>
      <c r="E253" s="3" t="s">
        <v>61</v>
      </c>
      <c r="F253" s="143" t="s">
        <v>116</v>
      </c>
      <c r="G253" s="142">
        <v>40.150558765181799</v>
      </c>
      <c r="H253" s="11" t="s">
        <v>59</v>
      </c>
      <c r="I253" s="141" t="s">
        <v>62</v>
      </c>
      <c r="J253" s="147"/>
      <c r="K253" s="146"/>
      <c r="L253" s="147">
        <v>117940</v>
      </c>
      <c r="M253" s="146">
        <v>199545</v>
      </c>
      <c r="N253" s="147"/>
      <c r="O253" s="146"/>
      <c r="P253" s="147">
        <v>61755</v>
      </c>
      <c r="Q253" s="146">
        <v>134808</v>
      </c>
      <c r="R253" s="147"/>
      <c r="S253" s="146"/>
      <c r="T253" s="147">
        <v>45847</v>
      </c>
      <c r="U253" s="146">
        <v>68083</v>
      </c>
      <c r="V253" s="147">
        <v>70739</v>
      </c>
      <c r="W253" s="146">
        <v>128304</v>
      </c>
      <c r="X253" s="195">
        <v>414</v>
      </c>
      <c r="Y253" s="147"/>
      <c r="Z253" s="146"/>
      <c r="AA253" s="147">
        <v>1187</v>
      </c>
      <c r="AB253" s="146">
        <v>1526</v>
      </c>
      <c r="AC253" s="147"/>
      <c r="AD253" s="146"/>
      <c r="AE253" s="147">
        <v>989.3</v>
      </c>
      <c r="AF253" s="146">
        <v>2473</v>
      </c>
      <c r="AG253" s="147"/>
      <c r="AH253" s="146"/>
      <c r="AI253" s="147"/>
      <c r="AJ253" s="146"/>
      <c r="AK253" s="147">
        <v>1595</v>
      </c>
      <c r="AL253" s="146">
        <v>1998</v>
      </c>
      <c r="AM253" s="194">
        <v>414</v>
      </c>
    </row>
    <row r="254" spans="1:39" ht="24" customHeight="1">
      <c r="A254" s="196">
        <v>415</v>
      </c>
      <c r="B254" s="180">
        <v>20213</v>
      </c>
      <c r="C254" s="180">
        <v>43781</v>
      </c>
      <c r="D254" s="179">
        <v>64</v>
      </c>
      <c r="E254" s="4" t="s">
        <v>58</v>
      </c>
      <c r="F254" s="143" t="s">
        <v>116</v>
      </c>
      <c r="G254" s="142">
        <v>32.085333333333331</v>
      </c>
      <c r="H254" s="11" t="s">
        <v>59</v>
      </c>
      <c r="I254" s="141" t="s">
        <v>62</v>
      </c>
      <c r="J254" s="147"/>
      <c r="K254" s="146"/>
      <c r="L254" s="147">
        <v>148641</v>
      </c>
      <c r="M254" s="146">
        <v>180079</v>
      </c>
      <c r="N254" s="147"/>
      <c r="O254" s="146"/>
      <c r="P254" s="147">
        <v>20406</v>
      </c>
      <c r="Q254" s="146">
        <v>21766</v>
      </c>
      <c r="R254" s="147"/>
      <c r="S254" s="146"/>
      <c r="T254" s="147">
        <v>29189</v>
      </c>
      <c r="U254" s="146">
        <v>132293</v>
      </c>
      <c r="V254" s="147">
        <v>46186</v>
      </c>
      <c r="W254" s="146">
        <v>1906765</v>
      </c>
      <c r="X254" s="195">
        <v>415</v>
      </c>
      <c r="Y254" s="147"/>
      <c r="Z254" s="146"/>
      <c r="AA254" s="147">
        <v>818</v>
      </c>
      <c r="AB254" s="146">
        <v>5132</v>
      </c>
      <c r="AC254" s="147"/>
      <c r="AD254" s="146"/>
      <c r="AE254" s="147">
        <v>326.3</v>
      </c>
      <c r="AF254" s="146">
        <v>12232</v>
      </c>
      <c r="AG254" s="147"/>
      <c r="AH254" s="146"/>
      <c r="AI254" s="147"/>
      <c r="AJ254" s="146"/>
      <c r="AK254" s="147">
        <v>2001</v>
      </c>
      <c r="AL254" s="146">
        <v>6534</v>
      </c>
      <c r="AM254" s="194">
        <v>415</v>
      </c>
    </row>
    <row r="255" spans="1:39" ht="24" customHeight="1">
      <c r="A255" s="196">
        <v>416</v>
      </c>
      <c r="B255" s="180">
        <v>23295</v>
      </c>
      <c r="C255" s="180">
        <v>43802</v>
      </c>
      <c r="D255" s="179">
        <v>56</v>
      </c>
      <c r="E255" s="3" t="s">
        <v>61</v>
      </c>
      <c r="F255" s="143" t="s">
        <v>116</v>
      </c>
      <c r="G255" s="142">
        <v>21.338365510233707</v>
      </c>
      <c r="H255" s="11" t="s">
        <v>59</v>
      </c>
      <c r="I255" s="141" t="s">
        <v>62</v>
      </c>
      <c r="J255" s="147"/>
      <c r="K255" s="146"/>
      <c r="L255" s="147">
        <v>43819</v>
      </c>
      <c r="M255" s="146">
        <v>141457</v>
      </c>
      <c r="N255" s="147"/>
      <c r="O255" s="146"/>
      <c r="P255" s="147">
        <v>34213</v>
      </c>
      <c r="Q255" s="146">
        <v>147175</v>
      </c>
      <c r="R255" s="147"/>
      <c r="S255" s="146"/>
      <c r="T255" s="147">
        <v>36621</v>
      </c>
      <c r="U255" s="146">
        <v>54193</v>
      </c>
      <c r="V255" s="147">
        <v>32563</v>
      </c>
      <c r="W255" s="146">
        <v>123865</v>
      </c>
      <c r="X255" s="195">
        <v>416</v>
      </c>
      <c r="Y255" s="147"/>
      <c r="Z255" s="146"/>
      <c r="AA255" s="147">
        <v>552.4</v>
      </c>
      <c r="AB255" s="146">
        <v>283.39999999999998</v>
      </c>
      <c r="AC255" s="147"/>
      <c r="AD255" s="146"/>
      <c r="AE255" s="147">
        <v>437.7</v>
      </c>
      <c r="AF255" s="146">
        <v>926.2</v>
      </c>
      <c r="AG255" s="147"/>
      <c r="AH255" s="146"/>
      <c r="AI255" s="147"/>
      <c r="AJ255" s="146"/>
      <c r="AK255" s="147">
        <v>1087</v>
      </c>
      <c r="AL255" s="146">
        <v>1058</v>
      </c>
      <c r="AM255" s="194">
        <v>416</v>
      </c>
    </row>
    <row r="256" spans="1:39" ht="24" customHeight="1">
      <c r="A256" s="196">
        <v>417</v>
      </c>
      <c r="B256" s="180">
        <v>24717</v>
      </c>
      <c r="C256" s="180">
        <v>43788</v>
      </c>
      <c r="D256" s="179">
        <v>52</v>
      </c>
      <c r="E256" s="4" t="s">
        <v>58</v>
      </c>
      <c r="F256" s="143" t="s">
        <v>116</v>
      </c>
      <c r="G256" s="142">
        <v>27.49083172363596</v>
      </c>
      <c r="H256" s="11" t="s">
        <v>59</v>
      </c>
      <c r="I256" s="141" t="s">
        <v>62</v>
      </c>
      <c r="J256" s="147"/>
      <c r="K256" s="146"/>
      <c r="L256" s="147">
        <v>63821</v>
      </c>
      <c r="M256" s="146">
        <v>134855</v>
      </c>
      <c r="N256" s="147"/>
      <c r="O256" s="146"/>
      <c r="P256" s="147">
        <v>19558</v>
      </c>
      <c r="Q256" s="146">
        <v>40731</v>
      </c>
      <c r="R256" s="147"/>
      <c r="S256" s="146"/>
      <c r="T256" s="147">
        <v>42472</v>
      </c>
      <c r="U256" s="146">
        <v>94909</v>
      </c>
      <c r="V256" s="147">
        <v>23815</v>
      </c>
      <c r="W256" s="146">
        <v>52798</v>
      </c>
      <c r="X256" s="195">
        <v>417</v>
      </c>
      <c r="Y256" s="147"/>
      <c r="Z256" s="146"/>
      <c r="AA256" s="147">
        <v>444</v>
      </c>
      <c r="AB256" s="146">
        <v>931.2</v>
      </c>
      <c r="AC256" s="147"/>
      <c r="AD256" s="146"/>
      <c r="AE256" s="147">
        <v>302.60000000000002</v>
      </c>
      <c r="AF256" s="146">
        <v>1512</v>
      </c>
      <c r="AG256" s="147"/>
      <c r="AH256" s="146"/>
      <c r="AI256" s="147"/>
      <c r="AJ256" s="146"/>
      <c r="AK256" s="147">
        <v>1022</v>
      </c>
      <c r="AL256" s="146">
        <v>2220</v>
      </c>
      <c r="AM256" s="194">
        <v>417</v>
      </c>
    </row>
    <row r="257" spans="1:39" ht="24" customHeight="1">
      <c r="A257" s="201">
        <v>418</v>
      </c>
      <c r="B257" s="183">
        <v>37116</v>
      </c>
      <c r="C257" s="183">
        <v>43802</v>
      </c>
      <c r="D257" s="182">
        <v>18</v>
      </c>
      <c r="E257" s="4" t="s">
        <v>58</v>
      </c>
      <c r="F257" s="143" t="s">
        <v>116</v>
      </c>
      <c r="G257" s="142">
        <v>17.4269199462166</v>
      </c>
      <c r="H257" s="11" t="s">
        <v>59</v>
      </c>
      <c r="I257" s="141" t="s">
        <v>62</v>
      </c>
      <c r="J257" s="147"/>
      <c r="K257" s="146"/>
      <c r="L257" s="147">
        <v>247338</v>
      </c>
      <c r="M257" s="146">
        <v>439225</v>
      </c>
      <c r="N257" s="147"/>
      <c r="O257" s="146"/>
      <c r="P257" s="147">
        <v>46509</v>
      </c>
      <c r="Q257" s="146">
        <v>297699</v>
      </c>
      <c r="R257" s="147"/>
      <c r="S257" s="146"/>
      <c r="T257" s="147">
        <v>186770</v>
      </c>
      <c r="U257" s="146">
        <v>192095</v>
      </c>
      <c r="V257" s="147">
        <v>171057</v>
      </c>
      <c r="W257" s="146">
        <v>215904</v>
      </c>
      <c r="X257" s="32">
        <v>418</v>
      </c>
      <c r="Y257" s="147"/>
      <c r="Z257" s="146"/>
      <c r="AA257" s="147">
        <v>1653</v>
      </c>
      <c r="AB257" s="146">
        <v>1823</v>
      </c>
      <c r="AC257" s="147"/>
      <c r="AD257" s="146"/>
      <c r="AE257" s="147">
        <v>314.2</v>
      </c>
      <c r="AF257" s="146">
        <v>2155</v>
      </c>
      <c r="AG257" s="147"/>
      <c r="AH257" s="146"/>
      <c r="AI257" s="147"/>
      <c r="AJ257" s="146"/>
      <c r="AK257" s="147">
        <v>4888</v>
      </c>
      <c r="AL257" s="146">
        <v>4535</v>
      </c>
      <c r="AM257" s="200">
        <v>418</v>
      </c>
    </row>
    <row r="258" spans="1:39" ht="24" customHeight="1">
      <c r="A258" s="201">
        <v>419</v>
      </c>
      <c r="B258" s="183">
        <v>36357</v>
      </c>
      <c r="C258" s="183">
        <v>43782</v>
      </c>
      <c r="D258" s="182">
        <v>20</v>
      </c>
      <c r="E258" s="3" t="s">
        <v>61</v>
      </c>
      <c r="F258" s="143" t="s">
        <v>116</v>
      </c>
      <c r="G258" s="142">
        <v>23.087974873868152</v>
      </c>
      <c r="H258" s="11" t="s">
        <v>59</v>
      </c>
      <c r="I258" s="141" t="s">
        <v>62</v>
      </c>
      <c r="J258" s="147"/>
      <c r="K258" s="146"/>
      <c r="L258" s="147">
        <v>56328</v>
      </c>
      <c r="M258" s="146">
        <v>544830</v>
      </c>
      <c r="N258" s="147"/>
      <c r="O258" s="146"/>
      <c r="P258" s="147">
        <v>61736</v>
      </c>
      <c r="Q258" s="146">
        <v>127531</v>
      </c>
      <c r="R258" s="147"/>
      <c r="S258" s="146"/>
      <c r="T258" s="147">
        <v>50834</v>
      </c>
      <c r="U258" s="146">
        <v>280900</v>
      </c>
      <c r="V258" s="147">
        <v>63278</v>
      </c>
      <c r="W258" s="146">
        <v>201924</v>
      </c>
      <c r="X258" s="32">
        <v>419</v>
      </c>
      <c r="Y258" s="147"/>
      <c r="Z258" s="146"/>
      <c r="AA258" s="147">
        <v>1423</v>
      </c>
      <c r="AB258" s="146">
        <v>7166</v>
      </c>
      <c r="AC258" s="147"/>
      <c r="AD258" s="146"/>
      <c r="AE258" s="147">
        <v>1178</v>
      </c>
      <c r="AF258" s="146">
        <v>2036</v>
      </c>
      <c r="AG258" s="147"/>
      <c r="AH258" s="146"/>
      <c r="AI258" s="147"/>
      <c r="AJ258" s="146"/>
      <c r="AK258" s="147">
        <v>1049</v>
      </c>
      <c r="AL258" s="146">
        <v>1987</v>
      </c>
      <c r="AM258" s="200">
        <v>419</v>
      </c>
    </row>
    <row r="259" spans="1:39" ht="24" customHeight="1">
      <c r="A259" s="199">
        <v>420</v>
      </c>
      <c r="B259" s="190">
        <v>27631</v>
      </c>
      <c r="C259" s="190">
        <v>43789</v>
      </c>
      <c r="D259" s="189">
        <v>44</v>
      </c>
      <c r="E259" s="3" t="s">
        <v>61</v>
      </c>
      <c r="F259" s="143" t="s">
        <v>117</v>
      </c>
      <c r="G259" s="142">
        <v>24.414302982203594</v>
      </c>
      <c r="H259" s="11" t="s">
        <v>59</v>
      </c>
      <c r="I259" s="82" t="s">
        <v>60</v>
      </c>
      <c r="J259" s="147"/>
      <c r="K259" s="146"/>
      <c r="L259" s="147">
        <v>99603</v>
      </c>
      <c r="M259" s="146">
        <v>128825</v>
      </c>
      <c r="N259" s="147"/>
      <c r="O259" s="146"/>
      <c r="P259" s="147">
        <v>77812</v>
      </c>
      <c r="Q259" s="146">
        <v>83373</v>
      </c>
      <c r="R259" s="147"/>
      <c r="S259" s="146"/>
      <c r="T259" s="147">
        <v>202480</v>
      </c>
      <c r="U259" s="146">
        <v>180114</v>
      </c>
      <c r="V259" s="147">
        <v>186719</v>
      </c>
      <c r="W259" s="146">
        <v>169540</v>
      </c>
      <c r="X259" s="198">
        <v>420</v>
      </c>
      <c r="Y259" s="147"/>
      <c r="Z259" s="146"/>
      <c r="AA259" s="147">
        <v>1291</v>
      </c>
      <c r="AB259" s="146">
        <v>1076</v>
      </c>
      <c r="AC259" s="147"/>
      <c r="AD259" s="146"/>
      <c r="AE259" s="147">
        <v>700.8</v>
      </c>
      <c r="AF259" s="146">
        <v>985.9</v>
      </c>
      <c r="AG259" s="147"/>
      <c r="AH259" s="146"/>
      <c r="AI259" s="147"/>
      <c r="AJ259" s="146"/>
      <c r="AK259" s="147">
        <v>1421</v>
      </c>
      <c r="AL259" s="146">
        <v>1551</v>
      </c>
      <c r="AM259" s="197">
        <v>420</v>
      </c>
    </row>
    <row r="260" spans="1:39" ht="24" customHeight="1">
      <c r="A260" s="201">
        <v>421</v>
      </c>
      <c r="B260" s="183">
        <v>32820</v>
      </c>
      <c r="C260" s="183">
        <v>43789</v>
      </c>
      <c r="D260" s="182">
        <v>30</v>
      </c>
      <c r="E260" s="4" t="s">
        <v>58</v>
      </c>
      <c r="F260" s="143" t="s">
        <v>118</v>
      </c>
      <c r="G260" s="142">
        <v>23.796352908065721</v>
      </c>
      <c r="H260" s="11" t="s">
        <v>59</v>
      </c>
      <c r="I260" s="82" t="s">
        <v>60</v>
      </c>
      <c r="J260" s="147"/>
      <c r="K260" s="146"/>
      <c r="L260" s="147">
        <v>104761</v>
      </c>
      <c r="M260" s="146">
        <v>1107802</v>
      </c>
      <c r="N260" s="147"/>
      <c r="O260" s="146"/>
      <c r="P260" s="147">
        <v>59275</v>
      </c>
      <c r="Q260" s="146">
        <v>309051</v>
      </c>
      <c r="R260" s="147"/>
      <c r="S260" s="146"/>
      <c r="T260" s="147">
        <v>87898</v>
      </c>
      <c r="U260" s="146">
        <v>135684</v>
      </c>
      <c r="V260" s="147">
        <v>196139</v>
      </c>
      <c r="W260" s="146">
        <v>528955</v>
      </c>
      <c r="X260" s="32">
        <v>421</v>
      </c>
      <c r="Y260" s="147"/>
      <c r="Z260" s="146"/>
      <c r="AA260" s="147">
        <v>5399</v>
      </c>
      <c r="AB260" s="146">
        <v>26724</v>
      </c>
      <c r="AC260" s="147"/>
      <c r="AD260" s="146"/>
      <c r="AE260" s="147">
        <v>4722</v>
      </c>
      <c r="AF260" s="146">
        <v>13607</v>
      </c>
      <c r="AG260" s="147"/>
      <c r="AH260" s="146"/>
      <c r="AI260" s="147"/>
      <c r="AJ260" s="146"/>
      <c r="AK260" s="147">
        <v>2048</v>
      </c>
      <c r="AL260" s="146">
        <v>4771</v>
      </c>
      <c r="AM260" s="200">
        <v>421</v>
      </c>
    </row>
    <row r="261" spans="1:39" ht="24" customHeight="1">
      <c r="A261" s="199">
        <v>422</v>
      </c>
      <c r="B261" s="190">
        <v>27603</v>
      </c>
      <c r="C261" s="190">
        <v>43787</v>
      </c>
      <c r="D261" s="189">
        <v>44</v>
      </c>
      <c r="E261" s="3" t="s">
        <v>61</v>
      </c>
      <c r="F261" s="143" t="s">
        <v>116</v>
      </c>
      <c r="G261" s="142">
        <v>22.68201920517598</v>
      </c>
      <c r="H261" s="11" t="s">
        <v>59</v>
      </c>
      <c r="I261" s="141" t="s">
        <v>62</v>
      </c>
      <c r="J261" s="147"/>
      <c r="K261" s="146"/>
      <c r="L261" s="147">
        <v>41635</v>
      </c>
      <c r="M261" s="146">
        <v>208476</v>
      </c>
      <c r="N261" s="147"/>
      <c r="O261" s="146"/>
      <c r="P261" s="147">
        <v>47900</v>
      </c>
      <c r="Q261" s="146">
        <v>558445</v>
      </c>
      <c r="R261" s="147"/>
      <c r="S261" s="146"/>
      <c r="T261" s="147">
        <v>131888</v>
      </c>
      <c r="U261" s="146">
        <v>1023399</v>
      </c>
      <c r="V261" s="147">
        <v>112264</v>
      </c>
      <c r="W261" s="146">
        <v>380682</v>
      </c>
      <c r="X261" s="198">
        <v>422</v>
      </c>
      <c r="Y261" s="147"/>
      <c r="Z261" s="146"/>
      <c r="AA261" s="147">
        <v>199.6</v>
      </c>
      <c r="AB261" s="146">
        <v>747.4</v>
      </c>
      <c r="AC261" s="147"/>
      <c r="AD261" s="146"/>
      <c r="AE261" s="147"/>
      <c r="AF261" s="146">
        <v>133.19999999999999</v>
      </c>
      <c r="AG261" s="147"/>
      <c r="AH261" s="146"/>
      <c r="AI261" s="147"/>
      <c r="AJ261" s="146"/>
      <c r="AK261" s="147">
        <v>1266</v>
      </c>
      <c r="AL261" s="146">
        <v>5866</v>
      </c>
      <c r="AM261" s="197">
        <v>422</v>
      </c>
    </row>
    <row r="262" spans="1:39" ht="24" customHeight="1">
      <c r="A262" s="196">
        <v>423</v>
      </c>
      <c r="B262" s="180">
        <v>24062</v>
      </c>
      <c r="C262" s="180">
        <v>43783</v>
      </c>
      <c r="D262" s="179">
        <v>53</v>
      </c>
      <c r="E262" s="3" t="s">
        <v>61</v>
      </c>
      <c r="F262" s="143" t="s">
        <v>116</v>
      </c>
      <c r="G262" s="142">
        <v>33.094955433697024</v>
      </c>
      <c r="H262" s="11" t="s">
        <v>59</v>
      </c>
      <c r="I262" s="141" t="s">
        <v>62</v>
      </c>
      <c r="J262" s="147"/>
      <c r="K262" s="146"/>
      <c r="L262" s="147">
        <v>90667</v>
      </c>
      <c r="M262" s="146">
        <v>242341</v>
      </c>
      <c r="N262" s="147"/>
      <c r="O262" s="146"/>
      <c r="P262" s="147">
        <v>100553</v>
      </c>
      <c r="Q262" s="146">
        <v>544094</v>
      </c>
      <c r="R262" s="147"/>
      <c r="S262" s="146"/>
      <c r="T262" s="147">
        <v>149753</v>
      </c>
      <c r="U262" s="146">
        <v>354522</v>
      </c>
      <c r="V262" s="147">
        <v>71864</v>
      </c>
      <c r="W262" s="146">
        <v>204230</v>
      </c>
      <c r="X262" s="195">
        <v>423</v>
      </c>
      <c r="Y262" s="147"/>
      <c r="Z262" s="146"/>
      <c r="AA262" s="147">
        <v>1430</v>
      </c>
      <c r="AB262" s="146">
        <v>3076</v>
      </c>
      <c r="AC262" s="147"/>
      <c r="AD262" s="146"/>
      <c r="AE262" s="147">
        <v>1411</v>
      </c>
      <c r="AF262" s="146">
        <v>2261</v>
      </c>
      <c r="AG262" s="147"/>
      <c r="AH262" s="146"/>
      <c r="AI262" s="147"/>
      <c r="AJ262" s="146"/>
      <c r="AK262" s="147">
        <v>351.4</v>
      </c>
      <c r="AL262" s="146">
        <v>383.5</v>
      </c>
      <c r="AM262" s="194">
        <v>423</v>
      </c>
    </row>
    <row r="263" spans="1:39" ht="24" customHeight="1">
      <c r="A263" s="199">
        <v>424</v>
      </c>
      <c r="B263" s="190">
        <v>30657</v>
      </c>
      <c r="C263" s="190">
        <v>43810</v>
      </c>
      <c r="D263" s="189">
        <v>36</v>
      </c>
      <c r="E263" s="4" t="s">
        <v>58</v>
      </c>
      <c r="F263" s="143" t="s">
        <v>116</v>
      </c>
      <c r="G263" s="142">
        <v>38.047465915038458</v>
      </c>
      <c r="H263" s="11" t="s">
        <v>59</v>
      </c>
      <c r="I263" s="141" t="s">
        <v>62</v>
      </c>
      <c r="J263" s="147"/>
      <c r="K263" s="146"/>
      <c r="L263" s="147">
        <v>72157</v>
      </c>
      <c r="M263" s="146">
        <v>296679</v>
      </c>
      <c r="N263" s="147"/>
      <c r="O263" s="146"/>
      <c r="P263" s="147">
        <v>45771</v>
      </c>
      <c r="Q263" s="146">
        <v>443590</v>
      </c>
      <c r="R263" s="147"/>
      <c r="S263" s="146"/>
      <c r="T263" s="147">
        <v>48683</v>
      </c>
      <c r="U263" s="146">
        <v>338207</v>
      </c>
      <c r="V263" s="147">
        <v>11402</v>
      </c>
      <c r="W263" s="146">
        <v>234593</v>
      </c>
      <c r="X263" s="198">
        <v>424</v>
      </c>
      <c r="Y263" s="147"/>
      <c r="Z263" s="146"/>
      <c r="AA263" s="147">
        <v>930.8</v>
      </c>
      <c r="AB263" s="146">
        <v>154674</v>
      </c>
      <c r="AC263" s="147"/>
      <c r="AD263" s="146"/>
      <c r="AE263" s="147">
        <v>578.4</v>
      </c>
      <c r="AF263" s="146">
        <v>2418</v>
      </c>
      <c r="AG263" s="147"/>
      <c r="AH263" s="146"/>
      <c r="AI263" s="147"/>
      <c r="AJ263" s="146"/>
      <c r="AK263" s="147"/>
      <c r="AL263" s="146">
        <v>310.3</v>
      </c>
      <c r="AM263" s="197">
        <v>424</v>
      </c>
    </row>
    <row r="264" spans="1:39" ht="24" customHeight="1">
      <c r="A264" s="196">
        <v>425</v>
      </c>
      <c r="B264" s="180">
        <v>22270</v>
      </c>
      <c r="C264" s="180">
        <v>43801</v>
      </c>
      <c r="D264" s="179">
        <v>58</v>
      </c>
      <c r="E264" s="3" t="s">
        <v>61</v>
      </c>
      <c r="F264" s="143" t="s">
        <v>116</v>
      </c>
      <c r="G264" s="142">
        <v>42.715929938573026</v>
      </c>
      <c r="H264" s="11" t="s">
        <v>59</v>
      </c>
      <c r="I264" s="141" t="s">
        <v>62</v>
      </c>
      <c r="J264" s="147"/>
      <c r="K264" s="146"/>
      <c r="L264" s="147">
        <v>85935</v>
      </c>
      <c r="M264" s="146">
        <v>265078</v>
      </c>
      <c r="N264" s="147"/>
      <c r="O264" s="146"/>
      <c r="P264" s="147">
        <v>58675</v>
      </c>
      <c r="Q264" s="146">
        <v>458698</v>
      </c>
      <c r="R264" s="147"/>
      <c r="S264" s="146"/>
      <c r="T264" s="147">
        <v>109244</v>
      </c>
      <c r="U264" s="146">
        <v>256031</v>
      </c>
      <c r="V264" s="147">
        <v>47536</v>
      </c>
      <c r="W264" s="146">
        <v>369845</v>
      </c>
      <c r="X264" s="195">
        <v>425</v>
      </c>
      <c r="Y264" s="147"/>
      <c r="Z264" s="146"/>
      <c r="AA264" s="147">
        <v>1057</v>
      </c>
      <c r="AB264" s="146">
        <v>2052</v>
      </c>
      <c r="AC264" s="147"/>
      <c r="AD264" s="146"/>
      <c r="AE264" s="147">
        <v>633.6</v>
      </c>
      <c r="AF264" s="146">
        <v>8912</v>
      </c>
      <c r="AG264" s="147"/>
      <c r="AH264" s="146"/>
      <c r="AI264" s="147"/>
      <c r="AJ264" s="146"/>
      <c r="AK264" s="147">
        <v>4076</v>
      </c>
      <c r="AL264" s="146">
        <v>323149</v>
      </c>
      <c r="AM264" s="194">
        <v>425</v>
      </c>
    </row>
    <row r="265" spans="1:39" ht="24" customHeight="1">
      <c r="A265" s="201">
        <v>426</v>
      </c>
      <c r="B265" s="183">
        <v>37189</v>
      </c>
      <c r="C265" s="183">
        <v>43794</v>
      </c>
      <c r="D265" s="182">
        <v>18</v>
      </c>
      <c r="E265" s="3" t="s">
        <v>61</v>
      </c>
      <c r="F265" s="143" t="s">
        <v>116</v>
      </c>
      <c r="G265" s="142">
        <v>22.124592015547009</v>
      </c>
      <c r="H265" s="11" t="s">
        <v>59</v>
      </c>
      <c r="I265" s="141" t="s">
        <v>62</v>
      </c>
      <c r="J265" s="147"/>
      <c r="K265" s="146"/>
      <c r="L265" s="147">
        <v>134257</v>
      </c>
      <c r="M265" s="146">
        <v>294899</v>
      </c>
      <c r="N265" s="147"/>
      <c r="O265" s="146"/>
      <c r="P265" s="147">
        <v>241617</v>
      </c>
      <c r="Q265" s="146">
        <v>771383</v>
      </c>
      <c r="R265" s="147"/>
      <c r="S265" s="146"/>
      <c r="T265" s="147">
        <v>50669</v>
      </c>
      <c r="U265" s="146">
        <v>111251</v>
      </c>
      <c r="V265" s="147">
        <v>117744</v>
      </c>
      <c r="W265" s="146">
        <v>251599</v>
      </c>
      <c r="X265" s="32">
        <v>426</v>
      </c>
      <c r="Y265" s="147"/>
      <c r="Z265" s="146"/>
      <c r="AA265" s="147">
        <v>2506</v>
      </c>
      <c r="AB265" s="146">
        <v>3561</v>
      </c>
      <c r="AC265" s="147"/>
      <c r="AD265" s="146"/>
      <c r="AE265" s="147">
        <v>2454</v>
      </c>
      <c r="AF265" s="146">
        <v>5216</v>
      </c>
      <c r="AG265" s="147"/>
      <c r="AH265" s="146"/>
      <c r="AI265" s="147"/>
      <c r="AJ265" s="146"/>
      <c r="AK265" s="147">
        <v>694.4</v>
      </c>
      <c r="AL265" s="146">
        <v>1029</v>
      </c>
      <c r="AM265" s="200">
        <v>426</v>
      </c>
    </row>
    <row r="266" spans="1:39" ht="24" customHeight="1">
      <c r="A266" s="199">
        <v>427</v>
      </c>
      <c r="B266" s="190">
        <v>27464</v>
      </c>
      <c r="C266" s="190">
        <v>43803</v>
      </c>
      <c r="D266" s="189">
        <v>44</v>
      </c>
      <c r="E266" s="3" t="s">
        <v>61</v>
      </c>
      <c r="F266" s="143" t="s">
        <v>116</v>
      </c>
      <c r="G266" s="142">
        <v>21.768574930898094</v>
      </c>
      <c r="H266" s="11" t="s">
        <v>59</v>
      </c>
      <c r="I266" s="141" t="s">
        <v>62</v>
      </c>
      <c r="J266" s="147"/>
      <c r="K266" s="146"/>
      <c r="L266" s="147">
        <v>127320</v>
      </c>
      <c r="M266" s="146">
        <v>769785</v>
      </c>
      <c r="N266" s="147"/>
      <c r="O266" s="146"/>
      <c r="P266" s="147">
        <v>51118</v>
      </c>
      <c r="Q266" s="146">
        <v>66521</v>
      </c>
      <c r="R266" s="147"/>
      <c r="S266" s="146"/>
      <c r="T266" s="147">
        <v>114504</v>
      </c>
      <c r="U266" s="146">
        <v>154807</v>
      </c>
      <c r="V266" s="147">
        <v>56020</v>
      </c>
      <c r="W266" s="146">
        <v>82217</v>
      </c>
      <c r="X266" s="198">
        <v>427</v>
      </c>
      <c r="Y266" s="147"/>
      <c r="Z266" s="146"/>
      <c r="AA266" s="147">
        <v>261.89999999999998</v>
      </c>
      <c r="AB266" s="146">
        <v>182.2</v>
      </c>
      <c r="AC266" s="147"/>
      <c r="AD266" s="146"/>
      <c r="AE266" s="147">
        <v>1624</v>
      </c>
      <c r="AF266" s="146">
        <v>3703</v>
      </c>
      <c r="AG266" s="147"/>
      <c r="AH266" s="146"/>
      <c r="AI266" s="147"/>
      <c r="AJ266" s="146"/>
      <c r="AK266" s="147">
        <v>943.5</v>
      </c>
      <c r="AL266" s="146">
        <v>1296</v>
      </c>
      <c r="AM266" s="197">
        <v>427</v>
      </c>
    </row>
    <row r="267" spans="1:39" ht="24" customHeight="1">
      <c r="A267" s="199">
        <v>428</v>
      </c>
      <c r="B267" s="190">
        <v>31589</v>
      </c>
      <c r="C267" s="190">
        <v>43787</v>
      </c>
      <c r="D267" s="189">
        <v>33</v>
      </c>
      <c r="E267" s="3" t="s">
        <v>61</v>
      </c>
      <c r="F267" s="143" t="s">
        <v>116</v>
      </c>
      <c r="G267" s="142">
        <v>45.812074829931987</v>
      </c>
      <c r="H267" s="11" t="s">
        <v>59</v>
      </c>
      <c r="I267" s="141" t="s">
        <v>62</v>
      </c>
      <c r="J267" s="147"/>
      <c r="K267" s="146"/>
      <c r="L267" s="147">
        <v>190006</v>
      </c>
      <c r="M267" s="146">
        <v>2861677</v>
      </c>
      <c r="N267" s="147"/>
      <c r="O267" s="146"/>
      <c r="P267" s="147">
        <v>194846</v>
      </c>
      <c r="Q267" s="146">
        <v>909695</v>
      </c>
      <c r="R267" s="147"/>
      <c r="S267" s="146"/>
      <c r="T267" s="147"/>
      <c r="U267" s="146"/>
      <c r="V267" s="147">
        <v>61049</v>
      </c>
      <c r="W267" s="146">
        <v>267986</v>
      </c>
      <c r="X267" s="198">
        <v>428</v>
      </c>
      <c r="Y267" s="147"/>
      <c r="Z267" s="146"/>
      <c r="AA267" s="147">
        <v>2292</v>
      </c>
      <c r="AB267" s="146">
        <v>2708</v>
      </c>
      <c r="AC267" s="147"/>
      <c r="AD267" s="146"/>
      <c r="AE267" s="147">
        <v>2015</v>
      </c>
      <c r="AF267" s="146">
        <v>2018</v>
      </c>
      <c r="AG267" s="147"/>
      <c r="AH267" s="146"/>
      <c r="AI267" s="147"/>
      <c r="AJ267" s="146"/>
      <c r="AK267" s="147">
        <v>2835</v>
      </c>
      <c r="AL267" s="146">
        <v>2339</v>
      </c>
      <c r="AM267" s="197">
        <v>428</v>
      </c>
    </row>
    <row r="268" spans="1:39" ht="24" customHeight="1">
      <c r="A268" s="199">
        <v>429</v>
      </c>
      <c r="B268" s="190">
        <v>30667</v>
      </c>
      <c r="C268" s="190">
        <v>43836</v>
      </c>
      <c r="D268" s="189">
        <v>36</v>
      </c>
      <c r="E268" s="3" t="s">
        <v>61</v>
      </c>
      <c r="F268" s="143" t="s">
        <v>116</v>
      </c>
      <c r="G268" s="142">
        <v>30.599651675218155</v>
      </c>
      <c r="H268" s="11" t="s">
        <v>59</v>
      </c>
      <c r="I268" s="141" t="s">
        <v>62</v>
      </c>
      <c r="J268" s="147"/>
      <c r="K268" s="146"/>
      <c r="L268" s="147">
        <v>57197</v>
      </c>
      <c r="M268" s="146">
        <v>103959</v>
      </c>
      <c r="N268" s="147"/>
      <c r="O268" s="146"/>
      <c r="P268" s="147">
        <v>74962</v>
      </c>
      <c r="Q268" s="146">
        <v>2049277</v>
      </c>
      <c r="R268" s="147"/>
      <c r="S268" s="146"/>
      <c r="T268" s="147">
        <v>82342</v>
      </c>
      <c r="U268" s="146">
        <v>106898</v>
      </c>
      <c r="V268" s="147">
        <v>550628</v>
      </c>
      <c r="W268" s="146">
        <v>574440</v>
      </c>
      <c r="X268" s="198">
        <v>429</v>
      </c>
      <c r="Y268" s="147"/>
      <c r="Z268" s="146"/>
      <c r="AA268" s="147">
        <v>2846</v>
      </c>
      <c r="AB268" s="146">
        <v>16780</v>
      </c>
      <c r="AC268" s="147"/>
      <c r="AD268" s="146"/>
      <c r="AE268" s="147">
        <v>3874</v>
      </c>
      <c r="AF268" s="146">
        <v>5606</v>
      </c>
      <c r="AG268" s="147"/>
      <c r="AH268" s="146"/>
      <c r="AI268" s="147"/>
      <c r="AJ268" s="146"/>
      <c r="AK268" s="147">
        <v>5435</v>
      </c>
      <c r="AL268" s="146">
        <v>5443</v>
      </c>
      <c r="AM268" s="197">
        <v>429</v>
      </c>
    </row>
    <row r="269" spans="1:39" ht="24" customHeight="1">
      <c r="A269" s="201">
        <v>430</v>
      </c>
      <c r="B269" s="183">
        <v>36620</v>
      </c>
      <c r="C269" s="183">
        <v>43804</v>
      </c>
      <c r="D269" s="182">
        <v>19</v>
      </c>
      <c r="E269" s="3" t="s">
        <v>61</v>
      </c>
      <c r="F269" s="143" t="s">
        <v>117</v>
      </c>
      <c r="G269" s="142">
        <v>31.408609534546134</v>
      </c>
      <c r="H269" s="11" t="s">
        <v>59</v>
      </c>
      <c r="I269" s="141" t="s">
        <v>62</v>
      </c>
      <c r="J269" s="147"/>
      <c r="K269" s="146"/>
      <c r="L269" s="147">
        <v>98307</v>
      </c>
      <c r="M269" s="146">
        <v>1238670</v>
      </c>
      <c r="N269" s="147"/>
      <c r="O269" s="146"/>
      <c r="P269" s="147">
        <v>157951</v>
      </c>
      <c r="Q269" s="146">
        <v>1203214</v>
      </c>
      <c r="R269" s="147"/>
      <c r="S269" s="146"/>
      <c r="T269" s="147">
        <v>20776</v>
      </c>
      <c r="U269" s="146">
        <v>121659</v>
      </c>
      <c r="V269" s="147">
        <v>39420</v>
      </c>
      <c r="W269" s="146">
        <v>686099</v>
      </c>
      <c r="X269" s="32">
        <v>430</v>
      </c>
      <c r="Y269" s="147"/>
      <c r="Z269" s="146"/>
      <c r="AA269" s="147">
        <v>1255</v>
      </c>
      <c r="AB269" s="146">
        <v>3585</v>
      </c>
      <c r="AC269" s="147"/>
      <c r="AD269" s="146"/>
      <c r="AE269" s="147">
        <v>4187</v>
      </c>
      <c r="AF269" s="146">
        <v>5937</v>
      </c>
      <c r="AG269" s="147"/>
      <c r="AH269" s="146"/>
      <c r="AI269" s="147"/>
      <c r="AJ269" s="146"/>
      <c r="AK269" s="147">
        <v>1427</v>
      </c>
      <c r="AL269" s="146">
        <v>6308</v>
      </c>
      <c r="AM269" s="200">
        <v>430</v>
      </c>
    </row>
    <row r="270" spans="1:39" ht="24" customHeight="1">
      <c r="A270" s="199">
        <v>431</v>
      </c>
      <c r="B270" s="190">
        <v>26282</v>
      </c>
      <c r="C270" s="190">
        <v>43783</v>
      </c>
      <c r="D270" s="189">
        <v>47</v>
      </c>
      <c r="E270" s="3" t="s">
        <v>61</v>
      </c>
      <c r="F270" s="143" t="s">
        <v>116</v>
      </c>
      <c r="G270" s="142">
        <v>26.984735014554701</v>
      </c>
      <c r="H270" s="11" t="s">
        <v>59</v>
      </c>
      <c r="I270" s="141" t="s">
        <v>62</v>
      </c>
      <c r="J270" s="147"/>
      <c r="K270" s="146"/>
      <c r="L270" s="147">
        <v>439861</v>
      </c>
      <c r="M270" s="146">
        <v>419592</v>
      </c>
      <c r="N270" s="147"/>
      <c r="O270" s="146"/>
      <c r="P270" s="147">
        <v>46127</v>
      </c>
      <c r="Q270" s="146">
        <v>49023</v>
      </c>
      <c r="R270" s="147"/>
      <c r="S270" s="146"/>
      <c r="T270" s="147">
        <v>110121</v>
      </c>
      <c r="U270" s="146">
        <v>143344</v>
      </c>
      <c r="V270" s="147">
        <v>72832</v>
      </c>
      <c r="W270" s="146">
        <v>68606</v>
      </c>
      <c r="X270" s="198">
        <v>431</v>
      </c>
      <c r="Y270" s="147"/>
      <c r="Z270" s="146"/>
      <c r="AA270" s="147">
        <v>491.1</v>
      </c>
      <c r="AB270" s="146">
        <v>553.4</v>
      </c>
      <c r="AC270" s="147"/>
      <c r="AD270" s="146"/>
      <c r="AE270" s="147">
        <v>1752</v>
      </c>
      <c r="AF270" s="146">
        <v>1632</v>
      </c>
      <c r="AG270" s="147"/>
      <c r="AH270" s="146"/>
      <c r="AI270" s="147">
        <v>1042</v>
      </c>
      <c r="AJ270" s="146">
        <v>1267</v>
      </c>
      <c r="AK270" s="147">
        <v>2123</v>
      </c>
      <c r="AL270" s="146">
        <v>1878</v>
      </c>
      <c r="AM270" s="197">
        <v>431</v>
      </c>
    </row>
    <row r="271" spans="1:39" ht="24" customHeight="1">
      <c r="A271" s="196">
        <v>432</v>
      </c>
      <c r="B271" s="180">
        <v>23334</v>
      </c>
      <c r="C271" s="180">
        <v>43789</v>
      </c>
      <c r="D271" s="179">
        <v>56</v>
      </c>
      <c r="E271" s="4" t="s">
        <v>58</v>
      </c>
      <c r="F271" s="143" t="s">
        <v>116</v>
      </c>
      <c r="G271" s="142">
        <v>28.826723433137428</v>
      </c>
      <c r="H271" s="11" t="s">
        <v>59</v>
      </c>
      <c r="I271" s="141" t="s">
        <v>62</v>
      </c>
      <c r="J271" s="147"/>
      <c r="K271" s="146"/>
      <c r="L271" s="147">
        <v>194714</v>
      </c>
      <c r="M271" s="146">
        <v>2489543</v>
      </c>
      <c r="N271" s="147"/>
      <c r="O271" s="146"/>
      <c r="P271" s="147">
        <v>157536</v>
      </c>
      <c r="Q271" s="146">
        <v>569639</v>
      </c>
      <c r="R271" s="147"/>
      <c r="S271" s="146"/>
      <c r="T271" s="147">
        <v>12001</v>
      </c>
      <c r="U271" s="146">
        <v>94524</v>
      </c>
      <c r="V271" s="147">
        <v>21988</v>
      </c>
      <c r="W271" s="146">
        <v>141622</v>
      </c>
      <c r="X271" s="195">
        <v>432</v>
      </c>
      <c r="Y271" s="147"/>
      <c r="Z271" s="146"/>
      <c r="AA271" s="147">
        <v>299.89999999999998</v>
      </c>
      <c r="AB271" s="146">
        <v>2649</v>
      </c>
      <c r="AC271" s="147"/>
      <c r="AD271" s="146"/>
      <c r="AE271" s="147">
        <v>140.80000000000001</v>
      </c>
      <c r="AF271" s="146">
        <v>470.5</v>
      </c>
      <c r="AG271" s="147"/>
      <c r="AH271" s="146"/>
      <c r="AI271" s="147">
        <v>642.9</v>
      </c>
      <c r="AJ271" s="146">
        <v>4505</v>
      </c>
      <c r="AK271" s="147">
        <v>207</v>
      </c>
      <c r="AL271" s="146">
        <v>3096</v>
      </c>
      <c r="AM271" s="194">
        <v>432</v>
      </c>
    </row>
    <row r="272" spans="1:39" ht="24" customHeight="1">
      <c r="A272" s="211">
        <v>433</v>
      </c>
      <c r="B272" s="210">
        <v>16983</v>
      </c>
      <c r="C272" s="210">
        <v>43789</v>
      </c>
      <c r="D272" s="209">
        <v>73</v>
      </c>
      <c r="E272" s="4" t="s">
        <v>58</v>
      </c>
      <c r="F272" s="143" t="s">
        <v>116</v>
      </c>
      <c r="G272" s="142">
        <v>32.76058709484068</v>
      </c>
      <c r="H272" s="5" t="s">
        <v>64</v>
      </c>
      <c r="I272" s="141" t="s">
        <v>62</v>
      </c>
      <c r="J272" s="147"/>
      <c r="K272" s="146"/>
      <c r="L272" s="147">
        <v>504451</v>
      </c>
      <c r="M272" s="146">
        <v>710488</v>
      </c>
      <c r="N272" s="147"/>
      <c r="O272" s="146"/>
      <c r="P272" s="147">
        <v>129082</v>
      </c>
      <c r="Q272" s="146">
        <v>1047089</v>
      </c>
      <c r="R272" s="147"/>
      <c r="S272" s="146"/>
      <c r="T272" s="147">
        <v>92458</v>
      </c>
      <c r="U272" s="146">
        <v>220527</v>
      </c>
      <c r="V272" s="147">
        <v>292299</v>
      </c>
      <c r="W272" s="146">
        <v>254278</v>
      </c>
      <c r="X272" s="208">
        <v>433</v>
      </c>
      <c r="Y272" s="147"/>
      <c r="Z272" s="146"/>
      <c r="AA272" s="147">
        <v>279.60000000000002</v>
      </c>
      <c r="AB272" s="146">
        <v>543.70000000000005</v>
      </c>
      <c r="AC272" s="147"/>
      <c r="AD272" s="146"/>
      <c r="AE272" s="147">
        <v>249.1</v>
      </c>
      <c r="AF272" s="146">
        <v>1068</v>
      </c>
      <c r="AG272" s="147"/>
      <c r="AH272" s="146"/>
      <c r="AI272" s="147">
        <v>888.1</v>
      </c>
      <c r="AJ272" s="146">
        <v>1376</v>
      </c>
      <c r="AK272" s="147">
        <v>868.5</v>
      </c>
      <c r="AL272" s="146">
        <v>949.3</v>
      </c>
      <c r="AM272" s="207">
        <v>433</v>
      </c>
    </row>
    <row r="273" spans="1:39" ht="24" customHeight="1">
      <c r="A273" s="199">
        <v>434</v>
      </c>
      <c r="B273" s="190">
        <v>28986</v>
      </c>
      <c r="C273" s="190">
        <v>43783</v>
      </c>
      <c r="D273" s="189">
        <v>40</v>
      </c>
      <c r="E273" s="3" t="s">
        <v>61</v>
      </c>
      <c r="F273" s="143" t="s">
        <v>116</v>
      </c>
      <c r="G273" s="142">
        <v>20.947258585521194</v>
      </c>
      <c r="H273" s="11" t="s">
        <v>59</v>
      </c>
      <c r="I273" s="141" t="s">
        <v>62</v>
      </c>
      <c r="J273" s="147"/>
      <c r="K273" s="146"/>
      <c r="L273" s="147">
        <v>153222</v>
      </c>
      <c r="M273" s="146">
        <v>360275</v>
      </c>
      <c r="N273" s="147"/>
      <c r="O273" s="146"/>
      <c r="P273" s="147">
        <v>68671</v>
      </c>
      <c r="Q273" s="146">
        <v>124406</v>
      </c>
      <c r="R273" s="147"/>
      <c r="S273" s="146"/>
      <c r="T273" s="147">
        <v>67806</v>
      </c>
      <c r="U273" s="146">
        <v>115671</v>
      </c>
      <c r="V273" s="147">
        <v>219652</v>
      </c>
      <c r="W273" s="146">
        <v>258783</v>
      </c>
      <c r="X273" s="198">
        <v>434</v>
      </c>
      <c r="Y273" s="147"/>
      <c r="Z273" s="146"/>
      <c r="AA273" s="147">
        <v>249.9</v>
      </c>
      <c r="AB273" s="146">
        <v>410</v>
      </c>
      <c r="AC273" s="147"/>
      <c r="AD273" s="146"/>
      <c r="AE273" s="147">
        <v>249.3</v>
      </c>
      <c r="AF273" s="146">
        <v>686.2</v>
      </c>
      <c r="AG273" s="147"/>
      <c r="AH273" s="146"/>
      <c r="AI273" s="147">
        <v>939.9</v>
      </c>
      <c r="AJ273" s="146">
        <v>1520</v>
      </c>
      <c r="AK273" s="147">
        <v>5650</v>
      </c>
      <c r="AL273" s="146">
        <v>7595</v>
      </c>
      <c r="AM273" s="197">
        <v>434</v>
      </c>
    </row>
    <row r="274" spans="1:39" ht="24" customHeight="1">
      <c r="A274" s="201">
        <v>436</v>
      </c>
      <c r="B274" s="183">
        <v>34882</v>
      </c>
      <c r="C274" s="183">
        <v>43803</v>
      </c>
      <c r="D274" s="182">
        <v>24</v>
      </c>
      <c r="E274" s="3" t="s">
        <v>61</v>
      </c>
      <c r="F274" s="143" t="s">
        <v>116</v>
      </c>
      <c r="G274" s="142">
        <v>22.66532865229475</v>
      </c>
      <c r="H274" s="11" t="s">
        <v>59</v>
      </c>
      <c r="I274" s="141" t="s">
        <v>62</v>
      </c>
      <c r="J274" s="147"/>
      <c r="K274" s="146"/>
      <c r="L274" s="147">
        <v>226387</v>
      </c>
      <c r="M274" s="146">
        <v>1221996</v>
      </c>
      <c r="N274" s="147"/>
      <c r="O274" s="146"/>
      <c r="P274" s="147">
        <v>245072</v>
      </c>
      <c r="Q274" s="146">
        <v>624849</v>
      </c>
      <c r="R274" s="147"/>
      <c r="S274" s="146"/>
      <c r="T274" s="147">
        <v>50539</v>
      </c>
      <c r="U274" s="146">
        <v>94170</v>
      </c>
      <c r="V274" s="147">
        <v>413774</v>
      </c>
      <c r="W274" s="146">
        <v>932986</v>
      </c>
      <c r="X274" s="32">
        <v>436</v>
      </c>
      <c r="Y274" s="147"/>
      <c r="Z274" s="146"/>
      <c r="AA274" s="147">
        <v>343.8</v>
      </c>
      <c r="AB274" s="146">
        <v>2099</v>
      </c>
      <c r="AC274" s="147"/>
      <c r="AD274" s="146"/>
      <c r="AE274" s="147">
        <v>2758</v>
      </c>
      <c r="AF274" s="146">
        <v>3613</v>
      </c>
      <c r="AG274" s="147"/>
      <c r="AH274" s="146"/>
      <c r="AI274" s="147">
        <v>348.3</v>
      </c>
      <c r="AJ274" s="146">
        <v>5774</v>
      </c>
      <c r="AK274" s="147">
        <v>8793</v>
      </c>
      <c r="AL274" s="146">
        <v>9671</v>
      </c>
      <c r="AM274" s="200">
        <v>436</v>
      </c>
    </row>
    <row r="275" spans="1:39" ht="24" customHeight="1">
      <c r="A275" s="211">
        <v>437</v>
      </c>
      <c r="B275" s="210">
        <v>18416</v>
      </c>
      <c r="C275" s="210">
        <v>43804</v>
      </c>
      <c r="D275" s="209">
        <v>69</v>
      </c>
      <c r="E275" s="3" t="s">
        <v>61</v>
      </c>
      <c r="F275" s="143" t="s">
        <v>116</v>
      </c>
      <c r="G275" s="142">
        <v>38.704849418296043</v>
      </c>
      <c r="H275" s="5" t="s">
        <v>64</v>
      </c>
      <c r="I275" s="141" t="s">
        <v>62</v>
      </c>
      <c r="J275" s="147"/>
      <c r="K275" s="146"/>
      <c r="L275" s="147">
        <v>79622</v>
      </c>
      <c r="M275" s="146">
        <v>111673</v>
      </c>
      <c r="N275" s="147"/>
      <c r="O275" s="146"/>
      <c r="P275" s="147">
        <v>75148</v>
      </c>
      <c r="Q275" s="146">
        <v>78223</v>
      </c>
      <c r="R275" s="147"/>
      <c r="S275" s="146"/>
      <c r="T275" s="147">
        <v>30798</v>
      </c>
      <c r="U275" s="146">
        <v>33156</v>
      </c>
      <c r="V275" s="147">
        <v>73074</v>
      </c>
      <c r="W275" s="146">
        <v>60071</v>
      </c>
      <c r="X275" s="208">
        <v>437</v>
      </c>
      <c r="Y275" s="147"/>
      <c r="Z275" s="146"/>
      <c r="AA275" s="147">
        <v>878</v>
      </c>
      <c r="AB275" s="146">
        <v>1194</v>
      </c>
      <c r="AC275" s="147"/>
      <c r="AD275" s="146"/>
      <c r="AE275" s="147">
        <v>1352</v>
      </c>
      <c r="AF275" s="146">
        <v>4545</v>
      </c>
      <c r="AG275" s="147"/>
      <c r="AH275" s="146"/>
      <c r="AI275" s="147">
        <v>1139</v>
      </c>
      <c r="AJ275" s="146">
        <v>1367</v>
      </c>
      <c r="AK275" s="147">
        <v>1119</v>
      </c>
      <c r="AL275" s="146">
        <v>1941</v>
      </c>
      <c r="AM275" s="207">
        <v>437</v>
      </c>
    </row>
    <row r="276" spans="1:39" ht="24" customHeight="1">
      <c r="A276" s="199">
        <v>438</v>
      </c>
      <c r="B276" s="190">
        <v>29947</v>
      </c>
      <c r="C276" s="190">
        <v>43803</v>
      </c>
      <c r="D276" s="189">
        <v>37</v>
      </c>
      <c r="E276" s="4" t="s">
        <v>58</v>
      </c>
      <c r="F276" s="143" t="s">
        <v>116</v>
      </c>
      <c r="G276" s="142">
        <v>31.324991189846219</v>
      </c>
      <c r="H276" s="11" t="s">
        <v>59</v>
      </c>
      <c r="I276" s="141" t="s">
        <v>62</v>
      </c>
      <c r="J276" s="147"/>
      <c r="K276" s="146"/>
      <c r="L276" s="147">
        <v>12294</v>
      </c>
      <c r="M276" s="146">
        <v>57159</v>
      </c>
      <c r="N276" s="147"/>
      <c r="O276" s="146"/>
      <c r="P276" s="147">
        <v>16240</v>
      </c>
      <c r="Q276" s="146">
        <v>124990</v>
      </c>
      <c r="R276" s="147"/>
      <c r="S276" s="146"/>
      <c r="T276" s="147">
        <v>42600</v>
      </c>
      <c r="U276" s="146">
        <v>111613</v>
      </c>
      <c r="V276" s="147">
        <v>19442</v>
      </c>
      <c r="W276" s="146">
        <v>345203</v>
      </c>
      <c r="X276" s="198">
        <v>438</v>
      </c>
      <c r="Y276" s="147"/>
      <c r="Z276" s="146"/>
      <c r="AA276" s="147">
        <v>830.2</v>
      </c>
      <c r="AB276" s="146">
        <v>2617</v>
      </c>
      <c r="AC276" s="147"/>
      <c r="AD276" s="146"/>
      <c r="AE276" s="147">
        <v>129</v>
      </c>
      <c r="AF276" s="146">
        <v>378</v>
      </c>
      <c r="AG276" s="147"/>
      <c r="AH276" s="146"/>
      <c r="AI276" s="147">
        <v>1490</v>
      </c>
      <c r="AJ276" s="146">
        <v>4449</v>
      </c>
      <c r="AK276" s="147">
        <v>742.8</v>
      </c>
      <c r="AL276" s="146">
        <v>3198</v>
      </c>
      <c r="AM276" s="197">
        <v>438</v>
      </c>
    </row>
    <row r="277" spans="1:39" ht="24" customHeight="1">
      <c r="A277" s="201">
        <v>439</v>
      </c>
      <c r="B277" s="183">
        <v>35982</v>
      </c>
      <c r="C277" s="183">
        <v>43836</v>
      </c>
      <c r="D277" s="182">
        <v>21</v>
      </c>
      <c r="E277" s="3" t="s">
        <v>61</v>
      </c>
      <c r="F277" s="143" t="s">
        <v>117</v>
      </c>
      <c r="G277" s="142">
        <v>24.84591794644939</v>
      </c>
      <c r="H277" s="11" t="s">
        <v>59</v>
      </c>
      <c r="I277" s="141" t="s">
        <v>62</v>
      </c>
      <c r="J277" s="147"/>
      <c r="K277" s="146"/>
      <c r="L277" s="147">
        <v>104649</v>
      </c>
      <c r="M277" s="146">
        <v>104019</v>
      </c>
      <c r="N277" s="147"/>
      <c r="O277" s="146"/>
      <c r="P277" s="147">
        <v>290041</v>
      </c>
      <c r="Q277" s="146">
        <v>461744</v>
      </c>
      <c r="R277" s="147"/>
      <c r="S277" s="146"/>
      <c r="T277" s="147">
        <v>62197</v>
      </c>
      <c r="U277" s="146">
        <v>64004</v>
      </c>
      <c r="V277" s="147">
        <v>61399</v>
      </c>
      <c r="W277" s="146">
        <v>74617</v>
      </c>
      <c r="X277" s="32">
        <v>439</v>
      </c>
      <c r="Y277" s="147"/>
      <c r="Z277" s="146"/>
      <c r="AA277" s="147">
        <v>7216</v>
      </c>
      <c r="AB277" s="146">
        <v>5647</v>
      </c>
      <c r="AC277" s="147"/>
      <c r="AD277" s="146"/>
      <c r="AE277" s="147">
        <v>2405</v>
      </c>
      <c r="AF277" s="146">
        <v>2233</v>
      </c>
      <c r="AG277" s="147"/>
      <c r="AH277" s="146"/>
      <c r="AI277" s="147">
        <v>11318</v>
      </c>
      <c r="AJ277" s="146">
        <v>20238</v>
      </c>
      <c r="AK277" s="147">
        <v>3739</v>
      </c>
      <c r="AL277" s="146">
        <v>3787</v>
      </c>
      <c r="AM277" s="200">
        <v>439</v>
      </c>
    </row>
    <row r="278" spans="1:39" ht="24" customHeight="1">
      <c r="A278" s="201">
        <v>440</v>
      </c>
      <c r="B278" s="183">
        <v>35785</v>
      </c>
      <c r="C278" s="183">
        <v>43803</v>
      </c>
      <c r="D278" s="182">
        <v>21</v>
      </c>
      <c r="E278" s="3" t="s">
        <v>61</v>
      </c>
      <c r="F278" s="143" t="s">
        <v>117</v>
      </c>
      <c r="G278" s="142">
        <v>26.312710923935295</v>
      </c>
      <c r="H278" s="11" t="s">
        <v>59</v>
      </c>
      <c r="I278" s="141" t="s">
        <v>62</v>
      </c>
      <c r="J278" s="147"/>
      <c r="K278" s="146"/>
      <c r="L278" s="147">
        <v>215633</v>
      </c>
      <c r="M278" s="146">
        <v>210622</v>
      </c>
      <c r="N278" s="147"/>
      <c r="O278" s="146"/>
      <c r="P278" s="147">
        <v>27781</v>
      </c>
      <c r="Q278" s="146">
        <v>257420</v>
      </c>
      <c r="R278" s="147"/>
      <c r="S278" s="146"/>
      <c r="T278" s="147">
        <v>108832</v>
      </c>
      <c r="U278" s="146">
        <v>120204</v>
      </c>
      <c r="V278" s="147">
        <v>144477</v>
      </c>
      <c r="W278" s="146">
        <v>105271</v>
      </c>
      <c r="X278" s="32">
        <v>440</v>
      </c>
      <c r="Y278" s="147"/>
      <c r="Z278" s="146"/>
      <c r="AA278" s="147">
        <v>7917</v>
      </c>
      <c r="AB278" s="146">
        <v>9452</v>
      </c>
      <c r="AC278" s="147"/>
      <c r="AD278" s="146"/>
      <c r="AE278" s="147">
        <v>9083</v>
      </c>
      <c r="AF278" s="146">
        <v>10950</v>
      </c>
      <c r="AG278" s="147"/>
      <c r="AH278" s="146"/>
      <c r="AI278" s="147">
        <v>13727</v>
      </c>
      <c r="AJ278" s="146">
        <v>17587</v>
      </c>
      <c r="AK278" s="147">
        <v>4542</v>
      </c>
      <c r="AL278" s="146">
        <v>5907</v>
      </c>
      <c r="AM278" s="200">
        <v>440</v>
      </c>
    </row>
    <row r="279" spans="1:39" ht="24" customHeight="1">
      <c r="A279" s="196">
        <v>441</v>
      </c>
      <c r="B279" s="180">
        <v>20130</v>
      </c>
      <c r="C279" s="180">
        <v>43801</v>
      </c>
      <c r="D279" s="179">
        <v>64</v>
      </c>
      <c r="E279" s="3" t="s">
        <v>61</v>
      </c>
      <c r="F279" s="143" t="s">
        <v>116</v>
      </c>
      <c r="G279" s="142">
        <v>23.958641802356791</v>
      </c>
      <c r="H279" s="11" t="s">
        <v>59</v>
      </c>
      <c r="I279" s="141" t="s">
        <v>62</v>
      </c>
      <c r="J279" s="147"/>
      <c r="K279" s="146"/>
      <c r="L279" s="147">
        <v>82228</v>
      </c>
      <c r="M279" s="146">
        <v>334472</v>
      </c>
      <c r="N279" s="147"/>
      <c r="O279" s="146"/>
      <c r="P279" s="147">
        <v>59603</v>
      </c>
      <c r="Q279" s="146">
        <v>220334</v>
      </c>
      <c r="R279" s="147"/>
      <c r="S279" s="146"/>
      <c r="T279" s="147">
        <v>18343</v>
      </c>
      <c r="U279" s="146">
        <v>43795</v>
      </c>
      <c r="V279" s="147">
        <v>17166</v>
      </c>
      <c r="W279" s="146">
        <v>90292</v>
      </c>
      <c r="X279" s="195">
        <v>441</v>
      </c>
      <c r="Y279" s="147"/>
      <c r="Z279" s="146"/>
      <c r="AA279" s="147">
        <v>503.5</v>
      </c>
      <c r="AB279" s="146">
        <v>752.7</v>
      </c>
      <c r="AC279" s="147"/>
      <c r="AD279" s="146"/>
      <c r="AE279" s="147">
        <v>301.60000000000002</v>
      </c>
      <c r="AF279" s="146">
        <v>879.1</v>
      </c>
      <c r="AG279" s="147"/>
      <c r="AH279" s="146"/>
      <c r="AI279" s="147">
        <v>203.8</v>
      </c>
      <c r="AJ279" s="146">
        <v>860.2</v>
      </c>
      <c r="AK279" s="147">
        <v>129.4</v>
      </c>
      <c r="AL279" s="146">
        <v>2186</v>
      </c>
      <c r="AM279" s="194">
        <v>441</v>
      </c>
    </row>
    <row r="280" spans="1:39" ht="24" customHeight="1">
      <c r="A280" s="201">
        <v>442</v>
      </c>
      <c r="B280" s="183">
        <v>35055</v>
      </c>
      <c r="C280" s="183">
        <v>43803</v>
      </c>
      <c r="D280" s="182">
        <v>23</v>
      </c>
      <c r="E280" s="3" t="s">
        <v>61</v>
      </c>
      <c r="F280" s="143" t="s">
        <v>116</v>
      </c>
      <c r="G280" s="142">
        <v>35.737345041322314</v>
      </c>
      <c r="H280" s="11" t="s">
        <v>59</v>
      </c>
      <c r="I280" s="141" t="s">
        <v>62</v>
      </c>
      <c r="J280" s="147"/>
      <c r="K280" s="146"/>
      <c r="L280" s="147">
        <v>266259</v>
      </c>
      <c r="M280" s="146">
        <v>939054</v>
      </c>
      <c r="N280" s="147"/>
      <c r="O280" s="146"/>
      <c r="P280" s="147">
        <v>109497</v>
      </c>
      <c r="Q280" s="146">
        <v>250747</v>
      </c>
      <c r="R280" s="147"/>
      <c r="S280" s="146"/>
      <c r="T280" s="147">
        <v>30723</v>
      </c>
      <c r="U280" s="146">
        <v>78894</v>
      </c>
      <c r="V280" s="147">
        <v>139751</v>
      </c>
      <c r="W280" s="146">
        <v>1172154</v>
      </c>
      <c r="X280" s="32">
        <v>442</v>
      </c>
      <c r="Y280" s="147"/>
      <c r="Z280" s="146"/>
      <c r="AA280" s="147">
        <v>1214</v>
      </c>
      <c r="AB280" s="146">
        <v>2931</v>
      </c>
      <c r="AC280" s="147"/>
      <c r="AD280" s="146"/>
      <c r="AE280" s="147">
        <v>108.1</v>
      </c>
      <c r="AF280" s="146">
        <v>408.3</v>
      </c>
      <c r="AG280" s="147"/>
      <c r="AH280" s="146"/>
      <c r="AI280" s="147">
        <v>2431</v>
      </c>
      <c r="AJ280" s="146">
        <v>3165</v>
      </c>
      <c r="AK280" s="147">
        <v>3028</v>
      </c>
      <c r="AL280" s="146">
        <v>4698</v>
      </c>
      <c r="AM280" s="200">
        <v>442</v>
      </c>
    </row>
    <row r="281" spans="1:39" ht="24" customHeight="1">
      <c r="A281" s="199">
        <v>443</v>
      </c>
      <c r="B281" s="190">
        <v>32478</v>
      </c>
      <c r="C281" s="190">
        <v>43802</v>
      </c>
      <c r="D281" s="189">
        <v>31</v>
      </c>
      <c r="E281" s="3" t="s">
        <v>61</v>
      </c>
      <c r="F281" s="143" t="s">
        <v>116</v>
      </c>
      <c r="G281" s="142">
        <v>31.522977130444755</v>
      </c>
      <c r="H281" s="11" t="s">
        <v>59</v>
      </c>
      <c r="I281" s="141" t="s">
        <v>62</v>
      </c>
      <c r="J281" s="147"/>
      <c r="K281" s="146"/>
      <c r="L281" s="147">
        <v>113114</v>
      </c>
      <c r="M281" s="146">
        <v>1257730</v>
      </c>
      <c r="N281" s="147"/>
      <c r="O281" s="146"/>
      <c r="P281" s="147">
        <v>45432</v>
      </c>
      <c r="Q281" s="146">
        <v>189174</v>
      </c>
      <c r="R281" s="147"/>
      <c r="S281" s="146"/>
      <c r="T281" s="147"/>
      <c r="U281" s="146"/>
      <c r="V281" s="147">
        <v>91091</v>
      </c>
      <c r="W281" s="146">
        <v>597859</v>
      </c>
      <c r="X281" s="198">
        <v>443</v>
      </c>
      <c r="Y281" s="147"/>
      <c r="Z281" s="146"/>
      <c r="AA281" s="147">
        <v>2202</v>
      </c>
      <c r="AB281" s="146">
        <v>15641</v>
      </c>
      <c r="AC281" s="147"/>
      <c r="AD281" s="146"/>
      <c r="AE281" s="147">
        <v>11352</v>
      </c>
      <c r="AF281" s="146">
        <v>40727</v>
      </c>
      <c r="AG281" s="147"/>
      <c r="AH281" s="146"/>
      <c r="AI281" s="147">
        <v>4174</v>
      </c>
      <c r="AJ281" s="146">
        <v>45012</v>
      </c>
      <c r="AK281" s="147">
        <v>2140</v>
      </c>
      <c r="AL281" s="146">
        <v>7308</v>
      </c>
      <c r="AM281" s="197">
        <v>443</v>
      </c>
    </row>
    <row r="282" spans="1:39" ht="24" customHeight="1">
      <c r="A282" s="199">
        <v>444</v>
      </c>
      <c r="B282" s="190">
        <v>29144</v>
      </c>
      <c r="C282" s="190">
        <v>43811</v>
      </c>
      <c r="D282" s="189">
        <v>40</v>
      </c>
      <c r="E282" s="4" t="s">
        <v>58</v>
      </c>
      <c r="F282" s="143" t="s">
        <v>116</v>
      </c>
      <c r="G282" s="142">
        <v>26.512345679012345</v>
      </c>
      <c r="H282" s="11" t="s">
        <v>59</v>
      </c>
      <c r="I282" s="141" t="s">
        <v>62</v>
      </c>
      <c r="J282" s="147"/>
      <c r="K282" s="146"/>
      <c r="L282" s="147">
        <v>587132</v>
      </c>
      <c r="M282" s="146">
        <v>600337</v>
      </c>
      <c r="N282" s="147"/>
      <c r="O282" s="146"/>
      <c r="P282" s="147">
        <v>65842</v>
      </c>
      <c r="Q282" s="146">
        <v>279574</v>
      </c>
      <c r="R282" s="147"/>
      <c r="S282" s="146"/>
      <c r="T282" s="147">
        <v>44546</v>
      </c>
      <c r="U282" s="146">
        <v>182154</v>
      </c>
      <c r="V282" s="147">
        <v>453451</v>
      </c>
      <c r="W282" s="146">
        <v>553349</v>
      </c>
      <c r="X282" s="198">
        <v>444</v>
      </c>
      <c r="Y282" s="147"/>
      <c r="Z282" s="146"/>
      <c r="AA282" s="147">
        <v>2583</v>
      </c>
      <c r="AB282" s="146">
        <v>2313</v>
      </c>
      <c r="AC282" s="147"/>
      <c r="AD282" s="146"/>
      <c r="AE282" s="147">
        <v>1230</v>
      </c>
      <c r="AF282" s="146">
        <v>3843</v>
      </c>
      <c r="AG282" s="147"/>
      <c r="AH282" s="146"/>
      <c r="AI282" s="147">
        <v>3820</v>
      </c>
      <c r="AJ282" s="146">
        <v>3136</v>
      </c>
      <c r="AK282" s="147">
        <v>20900</v>
      </c>
      <c r="AL282" s="146">
        <v>28041</v>
      </c>
      <c r="AM282" s="197">
        <v>444</v>
      </c>
    </row>
    <row r="283" spans="1:39" ht="24" customHeight="1">
      <c r="A283" s="199">
        <v>445</v>
      </c>
      <c r="B283" s="190">
        <v>29020</v>
      </c>
      <c r="C283" s="190">
        <v>43805</v>
      </c>
      <c r="D283" s="189">
        <v>40</v>
      </c>
      <c r="E283" s="4" t="s">
        <v>58</v>
      </c>
      <c r="F283" s="143" t="s">
        <v>127</v>
      </c>
      <c r="G283" s="142">
        <v>24.247458565721288</v>
      </c>
      <c r="H283" s="11" t="s">
        <v>59</v>
      </c>
      <c r="I283" s="141" t="s">
        <v>62</v>
      </c>
      <c r="J283" s="147"/>
      <c r="K283" s="146"/>
      <c r="L283" s="147">
        <v>284582</v>
      </c>
      <c r="M283" s="146">
        <v>438381</v>
      </c>
      <c r="N283" s="147"/>
      <c r="O283" s="146"/>
      <c r="P283" s="147">
        <v>74501</v>
      </c>
      <c r="Q283" s="146">
        <v>97192</v>
      </c>
      <c r="R283" s="147"/>
      <c r="S283" s="146"/>
      <c r="T283" s="147">
        <v>16828</v>
      </c>
      <c r="U283" s="146">
        <v>526755</v>
      </c>
      <c r="V283" s="147">
        <v>39207</v>
      </c>
      <c r="W283" s="146">
        <v>342909</v>
      </c>
      <c r="X283" s="198">
        <v>445</v>
      </c>
      <c r="Y283" s="147"/>
      <c r="Z283" s="146"/>
      <c r="AA283" s="147">
        <v>5940</v>
      </c>
      <c r="AB283" s="146">
        <v>10375</v>
      </c>
      <c r="AC283" s="147"/>
      <c r="AD283" s="146"/>
      <c r="AE283" s="147">
        <v>1003</v>
      </c>
      <c r="AF283" s="146">
        <v>3098</v>
      </c>
      <c r="AG283" s="147"/>
      <c r="AH283" s="146"/>
      <c r="AI283" s="147">
        <v>7891</v>
      </c>
      <c r="AJ283" s="146">
        <v>14750</v>
      </c>
      <c r="AK283" s="147">
        <v>1588</v>
      </c>
      <c r="AL283" s="146">
        <v>18563</v>
      </c>
      <c r="AM283" s="197">
        <v>445</v>
      </c>
    </row>
    <row r="284" spans="1:39" ht="24" customHeight="1">
      <c r="A284" s="199">
        <v>446</v>
      </c>
      <c r="B284" s="190">
        <v>29424</v>
      </c>
      <c r="C284" s="190">
        <v>43805</v>
      </c>
      <c r="D284" s="189">
        <v>39</v>
      </c>
      <c r="E284" s="4" t="s">
        <v>58</v>
      </c>
      <c r="F284" s="143" t="s">
        <v>116</v>
      </c>
      <c r="G284" s="142">
        <v>21.626290393575228</v>
      </c>
      <c r="H284" s="11" t="s">
        <v>59</v>
      </c>
      <c r="I284" s="141" t="s">
        <v>62</v>
      </c>
      <c r="J284" s="147"/>
      <c r="K284" s="146"/>
      <c r="L284" s="147">
        <v>389939</v>
      </c>
      <c r="M284" s="146">
        <v>602475</v>
      </c>
      <c r="N284" s="147"/>
      <c r="O284" s="146"/>
      <c r="P284" s="147">
        <v>86135</v>
      </c>
      <c r="Q284" s="146">
        <v>147993</v>
      </c>
      <c r="R284" s="147"/>
      <c r="S284" s="146"/>
      <c r="T284" s="147">
        <v>45667</v>
      </c>
      <c r="U284" s="146">
        <v>78373</v>
      </c>
      <c r="V284" s="147">
        <v>182746</v>
      </c>
      <c r="W284" s="146">
        <v>469891</v>
      </c>
      <c r="X284" s="198">
        <v>446</v>
      </c>
      <c r="Y284" s="147"/>
      <c r="Z284" s="146"/>
      <c r="AA284" s="147">
        <v>1665</v>
      </c>
      <c r="AB284" s="146">
        <v>1792</v>
      </c>
      <c r="AC284" s="147"/>
      <c r="AD284" s="146"/>
      <c r="AE284" s="147">
        <v>139.4</v>
      </c>
      <c r="AF284" s="146">
        <v>248.5</v>
      </c>
      <c r="AG284" s="147"/>
      <c r="AH284" s="146"/>
      <c r="AI284" s="147">
        <v>3017</v>
      </c>
      <c r="AJ284" s="146">
        <v>2816</v>
      </c>
      <c r="AK284" s="147">
        <v>1603</v>
      </c>
      <c r="AL284" s="146">
        <v>3057</v>
      </c>
      <c r="AM284" s="197">
        <v>446</v>
      </c>
    </row>
    <row r="285" spans="1:39" ht="24" customHeight="1">
      <c r="A285" s="199">
        <v>447</v>
      </c>
      <c r="B285" s="190">
        <v>28804</v>
      </c>
      <c r="C285" s="190">
        <v>43836</v>
      </c>
      <c r="D285" s="189">
        <v>41</v>
      </c>
      <c r="E285" s="4" t="s">
        <v>58</v>
      </c>
      <c r="F285" s="143" t="s">
        <v>116</v>
      </c>
      <c r="G285" s="142">
        <v>25.465524273793232</v>
      </c>
      <c r="H285" s="11" t="s">
        <v>59</v>
      </c>
      <c r="I285" s="141" t="s">
        <v>62</v>
      </c>
      <c r="J285" s="147"/>
      <c r="K285" s="146"/>
      <c r="L285" s="147">
        <v>39999</v>
      </c>
      <c r="M285" s="146">
        <v>89028</v>
      </c>
      <c r="N285" s="147"/>
      <c r="O285" s="146"/>
      <c r="P285" s="147">
        <v>92710</v>
      </c>
      <c r="Q285" s="146">
        <v>332860</v>
      </c>
      <c r="R285" s="147"/>
      <c r="S285" s="146"/>
      <c r="T285" s="147">
        <v>64558</v>
      </c>
      <c r="U285" s="146">
        <v>89633</v>
      </c>
      <c r="V285" s="147">
        <v>148969</v>
      </c>
      <c r="W285" s="146">
        <v>161322</v>
      </c>
      <c r="X285" s="198">
        <v>447</v>
      </c>
      <c r="Y285" s="147"/>
      <c r="Z285" s="146"/>
      <c r="AA285" s="147">
        <v>2065</v>
      </c>
      <c r="AB285" s="146">
        <v>2219</v>
      </c>
      <c r="AC285" s="147"/>
      <c r="AD285" s="146"/>
      <c r="AE285" s="147">
        <v>1924</v>
      </c>
      <c r="AF285" s="146">
        <v>3252</v>
      </c>
      <c r="AG285" s="147"/>
      <c r="AH285" s="146"/>
      <c r="AI285" s="147">
        <v>1395</v>
      </c>
      <c r="AJ285" s="146">
        <v>1747</v>
      </c>
      <c r="AK285" s="147">
        <v>790.6</v>
      </c>
      <c r="AL285" s="146">
        <v>1254</v>
      </c>
      <c r="AM285" s="197">
        <v>447</v>
      </c>
    </row>
    <row r="286" spans="1:39" ht="24" customHeight="1">
      <c r="A286" s="199">
        <v>448</v>
      </c>
      <c r="B286" s="190">
        <v>28323</v>
      </c>
      <c r="C286" s="190">
        <v>43859</v>
      </c>
      <c r="D286" s="189">
        <v>42</v>
      </c>
      <c r="E286" s="4" t="s">
        <v>58</v>
      </c>
      <c r="F286" s="143" t="s">
        <v>116</v>
      </c>
      <c r="G286" s="142">
        <v>35.446797520661157</v>
      </c>
      <c r="H286" s="11" t="s">
        <v>59</v>
      </c>
      <c r="I286" s="141" t="s">
        <v>62</v>
      </c>
      <c r="J286" s="147"/>
      <c r="K286" s="146"/>
      <c r="L286" s="147">
        <v>49169</v>
      </c>
      <c r="M286" s="146">
        <v>553812</v>
      </c>
      <c r="N286" s="147"/>
      <c r="O286" s="146"/>
      <c r="P286" s="147">
        <v>68521</v>
      </c>
      <c r="Q286" s="146">
        <v>635838</v>
      </c>
      <c r="R286" s="147"/>
      <c r="S286" s="146"/>
      <c r="T286" s="147">
        <v>162949</v>
      </c>
      <c r="U286" s="146">
        <v>456827</v>
      </c>
      <c r="V286" s="147">
        <v>141878</v>
      </c>
      <c r="W286" s="146">
        <v>946259</v>
      </c>
      <c r="X286" s="198">
        <v>448</v>
      </c>
      <c r="Y286" s="147"/>
      <c r="Z286" s="146"/>
      <c r="AA286" s="147">
        <v>1664</v>
      </c>
      <c r="AB286" s="146">
        <v>3541</v>
      </c>
      <c r="AC286" s="147"/>
      <c r="AD286" s="146"/>
      <c r="AE286" s="147">
        <v>5835</v>
      </c>
      <c r="AF286" s="146">
        <v>89143</v>
      </c>
      <c r="AG286" s="147"/>
      <c r="AH286" s="146"/>
      <c r="AI286" s="147">
        <v>1482</v>
      </c>
      <c r="AJ286" s="146">
        <v>2711</v>
      </c>
      <c r="AK286" s="147">
        <v>4314</v>
      </c>
      <c r="AL286" s="146">
        <v>63864</v>
      </c>
      <c r="AM286" s="197">
        <v>448</v>
      </c>
    </row>
    <row r="287" spans="1:39" ht="24" customHeight="1">
      <c r="A287" s="201">
        <v>449</v>
      </c>
      <c r="B287" s="183">
        <v>35484</v>
      </c>
      <c r="C287" s="183">
        <v>43802</v>
      </c>
      <c r="D287" s="182">
        <v>22</v>
      </c>
      <c r="E287" s="3" t="s">
        <v>61</v>
      </c>
      <c r="F287" s="143" t="s">
        <v>116</v>
      </c>
      <c r="G287" s="142">
        <v>29.099364741027223</v>
      </c>
      <c r="H287" s="11" t="s">
        <v>59</v>
      </c>
      <c r="I287" s="141" t="s">
        <v>62</v>
      </c>
      <c r="J287" s="147"/>
      <c r="K287" s="146"/>
      <c r="L287" s="147">
        <v>30775</v>
      </c>
      <c r="M287" s="146">
        <v>1797779</v>
      </c>
      <c r="N287" s="147"/>
      <c r="O287" s="146"/>
      <c r="P287" s="147">
        <v>100832</v>
      </c>
      <c r="Q287" s="146">
        <v>835118</v>
      </c>
      <c r="R287" s="147"/>
      <c r="S287" s="146"/>
      <c r="T287" s="147">
        <v>156307</v>
      </c>
      <c r="U287" s="146">
        <v>194255</v>
      </c>
      <c r="V287" s="147">
        <v>356734</v>
      </c>
      <c r="W287" s="146">
        <v>1245958</v>
      </c>
      <c r="X287" s="32">
        <v>449</v>
      </c>
      <c r="Y287" s="147"/>
      <c r="Z287" s="146"/>
      <c r="AA287" s="147">
        <v>2973</v>
      </c>
      <c r="AB287" s="146">
        <v>6404</v>
      </c>
      <c r="AC287" s="147"/>
      <c r="AD287" s="146"/>
      <c r="AE287" s="147">
        <v>12697</v>
      </c>
      <c r="AF287" s="146">
        <v>27845</v>
      </c>
      <c r="AG287" s="147"/>
      <c r="AH287" s="146"/>
      <c r="AI287" s="147">
        <v>1570</v>
      </c>
      <c r="AJ287" s="146">
        <v>3061</v>
      </c>
      <c r="AK287" s="147">
        <v>5210</v>
      </c>
      <c r="AL287" s="146">
        <v>6491</v>
      </c>
      <c r="AM287" s="200">
        <v>449</v>
      </c>
    </row>
    <row r="288" spans="1:39" ht="24" customHeight="1">
      <c r="A288" s="201">
        <v>450</v>
      </c>
      <c r="B288" s="183">
        <v>35332</v>
      </c>
      <c r="C288" s="183">
        <v>43803</v>
      </c>
      <c r="D288" s="182">
        <v>23</v>
      </c>
      <c r="E288" s="3" t="s">
        <v>61</v>
      </c>
      <c r="F288" s="143" t="s">
        <v>116</v>
      </c>
      <c r="G288" s="142">
        <v>19.170473886947953</v>
      </c>
      <c r="H288" s="11" t="s">
        <v>59</v>
      </c>
      <c r="I288" s="141" t="s">
        <v>62</v>
      </c>
      <c r="J288" s="147"/>
      <c r="K288" s="146"/>
      <c r="L288" s="147">
        <v>76661</v>
      </c>
      <c r="M288" s="146">
        <v>2836547</v>
      </c>
      <c r="N288" s="147"/>
      <c r="O288" s="146"/>
      <c r="P288" s="147">
        <v>38178</v>
      </c>
      <c r="Q288" s="146">
        <v>1241579</v>
      </c>
      <c r="R288" s="147"/>
      <c r="S288" s="146"/>
      <c r="T288" s="147"/>
      <c r="U288" s="146"/>
      <c r="V288" s="147">
        <v>83419</v>
      </c>
      <c r="W288" s="146">
        <v>430107</v>
      </c>
      <c r="X288" s="32">
        <v>450</v>
      </c>
      <c r="Y288" s="147"/>
      <c r="Z288" s="146"/>
      <c r="AA288" s="147">
        <v>6989</v>
      </c>
      <c r="AB288" s="146">
        <v>14328</v>
      </c>
      <c r="AC288" s="147"/>
      <c r="AD288" s="146"/>
      <c r="AE288" s="147">
        <v>1603</v>
      </c>
      <c r="AF288" s="146">
        <v>5693</v>
      </c>
      <c r="AG288" s="147"/>
      <c r="AH288" s="146"/>
      <c r="AI288" s="147">
        <v>3560</v>
      </c>
      <c r="AJ288" s="146"/>
      <c r="AK288" s="147">
        <v>2071</v>
      </c>
      <c r="AL288" s="146">
        <v>12241</v>
      </c>
      <c r="AM288" s="200">
        <v>450</v>
      </c>
    </row>
    <row r="289" spans="1:39" ht="24" customHeight="1">
      <c r="A289" s="201">
        <v>451</v>
      </c>
      <c r="B289" s="183">
        <v>35479</v>
      </c>
      <c r="C289" s="183">
        <v>43809</v>
      </c>
      <c r="D289" s="182">
        <v>22</v>
      </c>
      <c r="E289" s="3" t="s">
        <v>61</v>
      </c>
      <c r="F289" s="143" t="s">
        <v>116</v>
      </c>
      <c r="G289" s="142">
        <v>25.306891642745459</v>
      </c>
      <c r="H289" s="11" t="s">
        <v>59</v>
      </c>
      <c r="I289" s="141" t="s">
        <v>62</v>
      </c>
      <c r="J289" s="147"/>
      <c r="K289" s="146"/>
      <c r="L289" s="147">
        <v>29393</v>
      </c>
      <c r="M289" s="146">
        <v>438725</v>
      </c>
      <c r="N289" s="147"/>
      <c r="O289" s="146"/>
      <c r="P289" s="147">
        <v>48793</v>
      </c>
      <c r="Q289" s="146">
        <v>843745</v>
      </c>
      <c r="R289" s="147"/>
      <c r="S289" s="146"/>
      <c r="T289" s="147"/>
      <c r="U289" s="146"/>
      <c r="V289" s="147">
        <v>30929</v>
      </c>
      <c r="W289" s="146">
        <v>157820</v>
      </c>
      <c r="X289" s="32">
        <v>451</v>
      </c>
      <c r="Y289" s="147"/>
      <c r="Z289" s="146"/>
      <c r="AA289" s="147">
        <v>1793</v>
      </c>
      <c r="AB289" s="146">
        <v>4407</v>
      </c>
      <c r="AC289" s="147"/>
      <c r="AD289" s="146"/>
      <c r="AE289" s="147">
        <v>2680</v>
      </c>
      <c r="AF289" s="146">
        <v>2941</v>
      </c>
      <c r="AG289" s="147"/>
      <c r="AH289" s="146"/>
      <c r="AI289" s="147">
        <v>1229</v>
      </c>
      <c r="AJ289" s="146">
        <v>2166</v>
      </c>
      <c r="AK289" s="147">
        <v>1273</v>
      </c>
      <c r="AL289" s="146">
        <v>1772</v>
      </c>
      <c r="AM289" s="200">
        <v>451</v>
      </c>
    </row>
    <row r="290" spans="1:39" ht="24" customHeight="1">
      <c r="A290" s="201">
        <v>452</v>
      </c>
      <c r="B290" s="183">
        <v>35297</v>
      </c>
      <c r="C290" s="183">
        <v>43802</v>
      </c>
      <c r="D290" s="182">
        <v>23</v>
      </c>
      <c r="E290" s="3" t="s">
        <v>61</v>
      </c>
      <c r="F290" s="143" t="s">
        <v>116</v>
      </c>
      <c r="G290" s="142">
        <v>32.029618570117123</v>
      </c>
      <c r="H290" s="11" t="s">
        <v>59</v>
      </c>
      <c r="I290" s="141" t="s">
        <v>62</v>
      </c>
      <c r="J290" s="147"/>
      <c r="K290" s="146"/>
      <c r="L290" s="147">
        <v>183639</v>
      </c>
      <c r="M290" s="146">
        <v>611324</v>
      </c>
      <c r="N290" s="147"/>
      <c r="O290" s="146"/>
      <c r="P290" s="147">
        <v>101910</v>
      </c>
      <c r="Q290" s="146">
        <v>886971</v>
      </c>
      <c r="R290" s="147"/>
      <c r="S290" s="146"/>
      <c r="T290" s="147"/>
      <c r="U290" s="146"/>
      <c r="V290" s="147">
        <v>39952</v>
      </c>
      <c r="W290" s="146">
        <v>732389</v>
      </c>
      <c r="X290" s="32">
        <v>452</v>
      </c>
      <c r="Y290" s="147"/>
      <c r="Z290" s="146"/>
      <c r="AA290" s="147">
        <v>8080</v>
      </c>
      <c r="AB290" s="146">
        <v>7737</v>
      </c>
      <c r="AC290" s="147"/>
      <c r="AD290" s="146"/>
      <c r="AE290" s="147">
        <v>6554</v>
      </c>
      <c r="AF290" s="146">
        <v>12550</v>
      </c>
      <c r="AG290" s="147"/>
      <c r="AH290" s="146"/>
      <c r="AI290" s="147">
        <v>6563</v>
      </c>
      <c r="AJ290" s="146">
        <v>7016</v>
      </c>
      <c r="AK290" s="147">
        <v>7478</v>
      </c>
      <c r="AL290" s="146">
        <v>44744</v>
      </c>
      <c r="AM290" s="200">
        <v>452</v>
      </c>
    </row>
    <row r="291" spans="1:39" ht="24" customHeight="1">
      <c r="A291" s="201">
        <v>453</v>
      </c>
      <c r="B291" s="183">
        <v>34216</v>
      </c>
      <c r="C291" s="183">
        <v>43812</v>
      </c>
      <c r="D291" s="182">
        <v>26</v>
      </c>
      <c r="E291" s="3" t="s">
        <v>61</v>
      </c>
      <c r="F291" s="143" t="s">
        <v>117</v>
      </c>
      <c r="G291" s="142">
        <v>34.892793608189507</v>
      </c>
      <c r="H291" s="11" t="s">
        <v>59</v>
      </c>
      <c r="I291" s="141" t="s">
        <v>62</v>
      </c>
      <c r="J291" s="147"/>
      <c r="K291" s="146"/>
      <c r="L291" s="147">
        <v>57962</v>
      </c>
      <c r="M291" s="146">
        <v>2192883</v>
      </c>
      <c r="N291" s="147"/>
      <c r="O291" s="146"/>
      <c r="P291" s="147">
        <v>126722</v>
      </c>
      <c r="Q291" s="146">
        <v>2536346</v>
      </c>
      <c r="R291" s="147"/>
      <c r="S291" s="146"/>
      <c r="T291" s="147"/>
      <c r="U291" s="146"/>
      <c r="V291" s="147">
        <v>59211</v>
      </c>
      <c r="W291" s="146">
        <v>1113660</v>
      </c>
      <c r="X291" s="32">
        <v>453</v>
      </c>
      <c r="Y291" s="147"/>
      <c r="Z291" s="146"/>
      <c r="AA291" s="147">
        <v>6722</v>
      </c>
      <c r="AB291" s="146">
        <v>40595</v>
      </c>
      <c r="AC291" s="147"/>
      <c r="AD291" s="146"/>
      <c r="AE291" s="147">
        <v>2013</v>
      </c>
      <c r="AF291" s="146">
        <v>36388</v>
      </c>
      <c r="AG291" s="147"/>
      <c r="AH291" s="146"/>
      <c r="AI291" s="147">
        <v>6154</v>
      </c>
      <c r="AJ291" s="146">
        <v>39741</v>
      </c>
      <c r="AK291" s="147">
        <v>1037</v>
      </c>
      <c r="AL291" s="146">
        <v>7967</v>
      </c>
      <c r="AM291" s="200">
        <v>453</v>
      </c>
    </row>
    <row r="292" spans="1:39" ht="24" customHeight="1">
      <c r="A292" s="201">
        <v>454</v>
      </c>
      <c r="B292" s="183">
        <v>33260</v>
      </c>
      <c r="C292" s="183">
        <v>43812</v>
      </c>
      <c r="D292" s="182">
        <v>28</v>
      </c>
      <c r="E292" s="3" t="s">
        <v>61</v>
      </c>
      <c r="F292" s="143" t="s">
        <v>117</v>
      </c>
      <c r="G292" s="142">
        <v>28.892353612075031</v>
      </c>
      <c r="H292" s="11" t="s">
        <v>59</v>
      </c>
      <c r="I292" s="141" t="s">
        <v>62</v>
      </c>
      <c r="J292" s="147"/>
      <c r="K292" s="146"/>
      <c r="L292" s="147">
        <v>60659</v>
      </c>
      <c r="M292" s="146">
        <v>100720</v>
      </c>
      <c r="N292" s="147"/>
      <c r="O292" s="146"/>
      <c r="P292" s="147">
        <v>18641</v>
      </c>
      <c r="Q292" s="146">
        <v>36339</v>
      </c>
      <c r="R292" s="147">
        <v>51960</v>
      </c>
      <c r="S292" s="146">
        <v>145500</v>
      </c>
      <c r="T292" s="147"/>
      <c r="U292" s="146"/>
      <c r="V292" s="147">
        <v>15188</v>
      </c>
      <c r="W292" s="146">
        <v>79417</v>
      </c>
      <c r="X292" s="32">
        <v>454</v>
      </c>
      <c r="Y292" s="147"/>
      <c r="Z292" s="146"/>
      <c r="AA292" s="147">
        <v>4473</v>
      </c>
      <c r="AB292" s="146">
        <v>6930</v>
      </c>
      <c r="AC292" s="147"/>
      <c r="AD292" s="146"/>
      <c r="AE292" s="147">
        <v>2516</v>
      </c>
      <c r="AF292" s="146">
        <v>15580</v>
      </c>
      <c r="AG292" s="147"/>
      <c r="AH292" s="146"/>
      <c r="AI292" s="147">
        <v>2610</v>
      </c>
      <c r="AJ292" s="146">
        <v>4914</v>
      </c>
      <c r="AK292" s="147">
        <v>4457</v>
      </c>
      <c r="AL292" s="146">
        <v>35691</v>
      </c>
      <c r="AM292" s="200">
        <v>454</v>
      </c>
    </row>
    <row r="293" spans="1:39" ht="24" customHeight="1">
      <c r="A293" s="206">
        <v>455</v>
      </c>
      <c r="B293" s="205">
        <v>12727</v>
      </c>
      <c r="C293" s="205">
        <v>43803</v>
      </c>
      <c r="D293" s="204">
        <v>85</v>
      </c>
      <c r="E293" s="3" t="s">
        <v>61</v>
      </c>
      <c r="F293" s="143" t="s">
        <v>116</v>
      </c>
      <c r="G293" s="142">
        <v>25.182531097890756</v>
      </c>
      <c r="H293" s="11" t="s">
        <v>59</v>
      </c>
      <c r="I293" s="141" t="s">
        <v>62</v>
      </c>
      <c r="J293" s="147"/>
      <c r="K293" s="146"/>
      <c r="L293" s="147">
        <v>32326</v>
      </c>
      <c r="M293" s="146"/>
      <c r="N293" s="147"/>
      <c r="O293" s="146"/>
      <c r="P293" s="147">
        <v>28423</v>
      </c>
      <c r="Q293" s="146"/>
      <c r="R293" s="147">
        <v>10078</v>
      </c>
      <c r="S293" s="146"/>
      <c r="T293" s="147"/>
      <c r="U293" s="146"/>
      <c r="V293" s="147">
        <v>18767</v>
      </c>
      <c r="W293" s="146"/>
      <c r="X293" s="203">
        <v>455</v>
      </c>
      <c r="Y293" s="147"/>
      <c r="Z293" s="146"/>
      <c r="AA293" s="147">
        <v>6324</v>
      </c>
      <c r="AB293" s="146"/>
      <c r="AC293" s="147"/>
      <c r="AD293" s="146"/>
      <c r="AE293" s="147">
        <v>1132</v>
      </c>
      <c r="AF293" s="146"/>
      <c r="AG293" s="147"/>
      <c r="AH293" s="146"/>
      <c r="AI293" s="147">
        <v>1414</v>
      </c>
      <c r="AJ293" s="146"/>
      <c r="AK293" s="147">
        <v>1283</v>
      </c>
      <c r="AL293" s="146"/>
      <c r="AM293" s="202">
        <v>455</v>
      </c>
    </row>
    <row r="294" spans="1:39" ht="24" customHeight="1">
      <c r="A294" s="201">
        <v>456</v>
      </c>
      <c r="B294" s="183">
        <v>34192</v>
      </c>
      <c r="C294" s="183">
        <v>43802</v>
      </c>
      <c r="D294" s="182">
        <v>26</v>
      </c>
      <c r="E294" s="4" t="s">
        <v>58</v>
      </c>
      <c r="F294" s="143" t="s">
        <v>116</v>
      </c>
      <c r="G294" s="142">
        <v>25.316156047470752</v>
      </c>
      <c r="H294" s="11" t="s">
        <v>59</v>
      </c>
      <c r="I294" s="82" t="s">
        <v>60</v>
      </c>
      <c r="J294" s="147"/>
      <c r="K294" s="146"/>
      <c r="L294" s="147">
        <v>97348</v>
      </c>
      <c r="M294" s="146">
        <v>151324</v>
      </c>
      <c r="N294" s="147"/>
      <c r="O294" s="146"/>
      <c r="P294" s="147">
        <v>92989</v>
      </c>
      <c r="Q294" s="146">
        <v>259247</v>
      </c>
      <c r="R294" s="147">
        <v>56300</v>
      </c>
      <c r="S294" s="146">
        <v>100210</v>
      </c>
      <c r="T294" s="147"/>
      <c r="U294" s="146"/>
      <c r="V294" s="147">
        <v>126585</v>
      </c>
      <c r="W294" s="146">
        <v>166320</v>
      </c>
      <c r="X294" s="32">
        <v>456</v>
      </c>
      <c r="Y294" s="147"/>
      <c r="Z294" s="146"/>
      <c r="AA294" s="147">
        <v>1611</v>
      </c>
      <c r="AB294" s="146">
        <v>1273</v>
      </c>
      <c r="AC294" s="147"/>
      <c r="AD294" s="146"/>
      <c r="AE294" s="147">
        <v>2998</v>
      </c>
      <c r="AF294" s="146">
        <v>7054</v>
      </c>
      <c r="AG294" s="147"/>
      <c r="AH294" s="146"/>
      <c r="AI294" s="147">
        <v>1256</v>
      </c>
      <c r="AJ294" s="146">
        <v>1394</v>
      </c>
      <c r="AK294" s="147">
        <v>3082</v>
      </c>
      <c r="AL294" s="146">
        <v>3528</v>
      </c>
      <c r="AM294" s="200">
        <v>456</v>
      </c>
    </row>
    <row r="295" spans="1:39" ht="24" customHeight="1">
      <c r="A295" s="199">
        <v>457</v>
      </c>
      <c r="B295" s="190">
        <v>27367</v>
      </c>
      <c r="C295" s="190">
        <v>43860</v>
      </c>
      <c r="D295" s="189">
        <v>45</v>
      </c>
      <c r="E295" s="4" t="s">
        <v>58</v>
      </c>
      <c r="F295" s="143" t="s">
        <v>116</v>
      </c>
      <c r="G295" s="142">
        <v>36.33</v>
      </c>
      <c r="H295" s="11" t="s">
        <v>59</v>
      </c>
      <c r="I295" s="141" t="s">
        <v>62</v>
      </c>
      <c r="J295" s="147"/>
      <c r="K295" s="146"/>
      <c r="L295" s="147">
        <v>185891</v>
      </c>
      <c r="M295" s="146">
        <v>256693</v>
      </c>
      <c r="N295" s="147"/>
      <c r="O295" s="146"/>
      <c r="P295" s="147">
        <v>60654</v>
      </c>
      <c r="Q295" s="146">
        <v>168887</v>
      </c>
      <c r="R295" s="147">
        <v>34243</v>
      </c>
      <c r="S295" s="146">
        <v>68543</v>
      </c>
      <c r="T295" s="147"/>
      <c r="U295" s="146"/>
      <c r="V295" s="147">
        <v>29712</v>
      </c>
      <c r="W295" s="146">
        <v>79308</v>
      </c>
      <c r="X295" s="198">
        <v>457</v>
      </c>
      <c r="Y295" s="147"/>
      <c r="Z295" s="146"/>
      <c r="AA295" s="147">
        <v>8809</v>
      </c>
      <c r="AB295" s="146">
        <v>10212</v>
      </c>
      <c r="AC295" s="147"/>
      <c r="AD295" s="146"/>
      <c r="AE295" s="147">
        <v>5218</v>
      </c>
      <c r="AF295" s="146">
        <v>23260</v>
      </c>
      <c r="AG295" s="147"/>
      <c r="AH295" s="146"/>
      <c r="AI295" s="147">
        <v>6958</v>
      </c>
      <c r="AJ295" s="146">
        <v>6341</v>
      </c>
      <c r="AK295" s="147">
        <v>11635</v>
      </c>
      <c r="AL295" s="146">
        <v>16599</v>
      </c>
      <c r="AM295" s="197">
        <v>457</v>
      </c>
    </row>
    <row r="296" spans="1:39" ht="24" customHeight="1">
      <c r="A296" s="199">
        <v>458</v>
      </c>
      <c r="B296" s="190">
        <v>32057</v>
      </c>
      <c r="C296" s="190">
        <v>43808</v>
      </c>
      <c r="D296" s="189">
        <v>32</v>
      </c>
      <c r="E296" s="4" t="s">
        <v>58</v>
      </c>
      <c r="F296" s="143" t="s">
        <v>116</v>
      </c>
      <c r="G296" s="142">
        <v>39.365870007396438</v>
      </c>
      <c r="H296" s="11" t="s">
        <v>59</v>
      </c>
      <c r="I296" s="141" t="s">
        <v>62</v>
      </c>
      <c r="J296" s="147"/>
      <c r="K296" s="146"/>
      <c r="L296" s="147">
        <v>12924</v>
      </c>
      <c r="M296" s="146">
        <v>585320</v>
      </c>
      <c r="N296" s="147"/>
      <c r="O296" s="146"/>
      <c r="P296" s="147">
        <v>4951</v>
      </c>
      <c r="Q296" s="146">
        <v>21233</v>
      </c>
      <c r="R296" s="147">
        <v>6694</v>
      </c>
      <c r="S296" s="146">
        <v>67240</v>
      </c>
      <c r="T296" s="147"/>
      <c r="U296" s="146"/>
      <c r="V296" s="147">
        <v>13409</v>
      </c>
      <c r="W296" s="146">
        <v>113621</v>
      </c>
      <c r="X296" s="198">
        <v>458</v>
      </c>
      <c r="Y296" s="147"/>
      <c r="Z296" s="146"/>
      <c r="AA296" s="147">
        <v>3463</v>
      </c>
      <c r="AB296" s="146">
        <v>44762</v>
      </c>
      <c r="AC296" s="147"/>
      <c r="AD296" s="146"/>
      <c r="AE296" s="147">
        <v>1178</v>
      </c>
      <c r="AF296" s="146">
        <v>12099</v>
      </c>
      <c r="AG296" s="147"/>
      <c r="AH296" s="146"/>
      <c r="AI296" s="147"/>
      <c r="AJ296" s="146"/>
      <c r="AK296" s="147">
        <v>3948</v>
      </c>
      <c r="AL296" s="146">
        <v>19174</v>
      </c>
      <c r="AM296" s="197">
        <v>458</v>
      </c>
    </row>
    <row r="297" spans="1:39" ht="24" customHeight="1">
      <c r="A297" s="201">
        <v>459</v>
      </c>
      <c r="B297" s="183">
        <v>35263</v>
      </c>
      <c r="C297" s="183">
        <v>43804</v>
      </c>
      <c r="D297" s="182">
        <v>23</v>
      </c>
      <c r="E297" s="3" t="s">
        <v>61</v>
      </c>
      <c r="F297" s="143" t="s">
        <v>116</v>
      </c>
      <c r="G297" s="142">
        <v>33.121130613716382</v>
      </c>
      <c r="H297" s="11" t="s">
        <v>59</v>
      </c>
      <c r="I297" s="141" t="s">
        <v>62</v>
      </c>
      <c r="J297" s="147"/>
      <c r="K297" s="146"/>
      <c r="L297" s="147">
        <v>37683</v>
      </c>
      <c r="M297" s="146">
        <v>411140</v>
      </c>
      <c r="N297" s="147"/>
      <c r="O297" s="146"/>
      <c r="P297" s="147">
        <v>53447</v>
      </c>
      <c r="Q297" s="146">
        <v>212354</v>
      </c>
      <c r="R297" s="147">
        <v>128982</v>
      </c>
      <c r="S297" s="146">
        <v>210325</v>
      </c>
      <c r="T297" s="147"/>
      <c r="U297" s="146"/>
      <c r="V297" s="147">
        <v>111144</v>
      </c>
      <c r="W297" s="146">
        <v>265027</v>
      </c>
      <c r="X297" s="32">
        <v>459</v>
      </c>
      <c r="Y297" s="147"/>
      <c r="Z297" s="146"/>
      <c r="AA297" s="147">
        <v>800</v>
      </c>
      <c r="AB297" s="146">
        <v>9756</v>
      </c>
      <c r="AC297" s="147"/>
      <c r="AD297" s="146"/>
      <c r="AE297" s="147">
        <v>2431</v>
      </c>
      <c r="AF297" s="146">
        <v>3162</v>
      </c>
      <c r="AG297" s="147"/>
      <c r="AH297" s="146"/>
      <c r="AI297" s="147">
        <v>1632</v>
      </c>
      <c r="AJ297" s="146">
        <v>2796</v>
      </c>
      <c r="AK297" s="147">
        <v>3617</v>
      </c>
      <c r="AL297" s="146">
        <v>6069</v>
      </c>
      <c r="AM297" s="200">
        <v>459</v>
      </c>
    </row>
    <row r="298" spans="1:39" ht="24" customHeight="1">
      <c r="A298" s="201">
        <v>460</v>
      </c>
      <c r="B298" s="183">
        <v>35548</v>
      </c>
      <c r="C298" s="183">
        <v>43857</v>
      </c>
      <c r="D298" s="182">
        <v>22</v>
      </c>
      <c r="E298" s="3" t="s">
        <v>61</v>
      </c>
      <c r="F298" s="143" t="s">
        <v>117</v>
      </c>
      <c r="G298" s="142">
        <v>34.882555381068528</v>
      </c>
      <c r="H298" s="11" t="s">
        <v>59</v>
      </c>
      <c r="I298" s="141" t="s">
        <v>62</v>
      </c>
      <c r="J298" s="147"/>
      <c r="K298" s="146"/>
      <c r="L298" s="147">
        <v>157932</v>
      </c>
      <c r="M298" s="146">
        <v>599923</v>
      </c>
      <c r="N298" s="147"/>
      <c r="O298" s="146"/>
      <c r="P298" s="147">
        <v>11602</v>
      </c>
      <c r="Q298" s="146">
        <v>140055</v>
      </c>
      <c r="R298" s="147">
        <v>75841</v>
      </c>
      <c r="S298" s="146">
        <v>278087</v>
      </c>
      <c r="T298" s="147"/>
      <c r="U298" s="146"/>
      <c r="V298" s="147">
        <v>55580</v>
      </c>
      <c r="W298" s="146">
        <v>462783</v>
      </c>
      <c r="X298" s="32">
        <v>460</v>
      </c>
      <c r="Y298" s="147"/>
      <c r="Z298" s="146"/>
      <c r="AA298" s="147">
        <v>9242</v>
      </c>
      <c r="AB298" s="146">
        <v>17907</v>
      </c>
      <c r="AC298" s="147"/>
      <c r="AD298" s="146"/>
      <c r="AE298" s="147">
        <v>962</v>
      </c>
      <c r="AF298" s="146">
        <v>13131</v>
      </c>
      <c r="AG298" s="147"/>
      <c r="AH298" s="146"/>
      <c r="AI298" s="147">
        <v>4911</v>
      </c>
      <c r="AJ298" s="146">
        <v>10709</v>
      </c>
      <c r="AK298" s="147">
        <v>1668</v>
      </c>
      <c r="AL298" s="146">
        <v>4357</v>
      </c>
      <c r="AM298" s="200">
        <v>460</v>
      </c>
    </row>
    <row r="299" spans="1:39" ht="24" customHeight="1">
      <c r="A299" s="199">
        <v>461</v>
      </c>
      <c r="B299" s="190">
        <v>29340</v>
      </c>
      <c r="C299" s="190">
        <v>43834</v>
      </c>
      <c r="D299" s="189">
        <v>39</v>
      </c>
      <c r="E299" s="4" t="s">
        <v>58</v>
      </c>
      <c r="F299" s="143" t="s">
        <v>116</v>
      </c>
      <c r="G299" s="142">
        <v>24.413580246913575</v>
      </c>
      <c r="H299" s="11" t="s">
        <v>59</v>
      </c>
      <c r="I299" s="141" t="s">
        <v>62</v>
      </c>
      <c r="J299" s="147"/>
      <c r="K299" s="146"/>
      <c r="L299" s="147">
        <v>40869</v>
      </c>
      <c r="M299" s="146">
        <v>106534</v>
      </c>
      <c r="N299" s="147"/>
      <c r="O299" s="146"/>
      <c r="P299" s="147">
        <v>10980</v>
      </c>
      <c r="Q299" s="146">
        <v>46524</v>
      </c>
      <c r="R299" s="147">
        <v>56117</v>
      </c>
      <c r="S299" s="146">
        <v>93769</v>
      </c>
      <c r="T299" s="147"/>
      <c r="U299" s="146"/>
      <c r="V299" s="147">
        <v>34311</v>
      </c>
      <c r="W299" s="146">
        <v>67671</v>
      </c>
      <c r="X299" s="198">
        <v>461</v>
      </c>
      <c r="Y299" s="147"/>
      <c r="Z299" s="146"/>
      <c r="AA299" s="147">
        <v>2203</v>
      </c>
      <c r="AB299" s="146">
        <v>4842</v>
      </c>
      <c r="AC299" s="147"/>
      <c r="AD299" s="146"/>
      <c r="AE299" s="147">
        <v>2709</v>
      </c>
      <c r="AF299" s="146">
        <v>8803</v>
      </c>
      <c r="AG299" s="147"/>
      <c r="AH299" s="146"/>
      <c r="AI299" s="147">
        <v>693.1</v>
      </c>
      <c r="AJ299" s="146">
        <v>3880</v>
      </c>
      <c r="AK299" s="147">
        <v>2583</v>
      </c>
      <c r="AL299" s="146">
        <v>2980</v>
      </c>
      <c r="AM299" s="197">
        <v>461</v>
      </c>
    </row>
    <row r="300" spans="1:39" ht="24" customHeight="1">
      <c r="A300" s="199">
        <v>462</v>
      </c>
      <c r="B300" s="190">
        <v>26194</v>
      </c>
      <c r="C300" s="190">
        <v>43812</v>
      </c>
      <c r="D300" s="189">
        <v>48</v>
      </c>
      <c r="E300" s="3" t="s">
        <v>61</v>
      </c>
      <c r="F300" s="143" t="s">
        <v>116</v>
      </c>
      <c r="G300" s="142">
        <v>24.086848238475888</v>
      </c>
      <c r="H300" s="11" t="s">
        <v>59</v>
      </c>
      <c r="I300" s="141" t="s">
        <v>62</v>
      </c>
      <c r="J300" s="147"/>
      <c r="K300" s="146"/>
      <c r="L300" s="147">
        <v>173926</v>
      </c>
      <c r="M300" s="146">
        <v>161425</v>
      </c>
      <c r="N300" s="147"/>
      <c r="O300" s="146"/>
      <c r="P300" s="147">
        <v>29396</v>
      </c>
      <c r="Q300" s="146">
        <v>26483</v>
      </c>
      <c r="R300" s="147">
        <v>76465</v>
      </c>
      <c r="S300" s="146">
        <v>73998</v>
      </c>
      <c r="T300" s="147"/>
      <c r="U300" s="146"/>
      <c r="V300" s="147">
        <v>65417</v>
      </c>
      <c r="W300" s="146">
        <v>69466</v>
      </c>
      <c r="X300" s="198">
        <v>462</v>
      </c>
      <c r="Y300" s="147"/>
      <c r="Z300" s="146"/>
      <c r="AA300" s="147">
        <v>13387</v>
      </c>
      <c r="AB300" s="146">
        <v>15012</v>
      </c>
      <c r="AC300" s="147"/>
      <c r="AD300" s="146"/>
      <c r="AE300" s="147">
        <v>6917</v>
      </c>
      <c r="AF300" s="146">
        <v>8689</v>
      </c>
      <c r="AG300" s="147"/>
      <c r="AH300" s="146"/>
      <c r="AI300" s="147"/>
      <c r="AJ300" s="146">
        <v>11221</v>
      </c>
      <c r="AK300" s="147">
        <v>5276</v>
      </c>
      <c r="AL300" s="146">
        <v>4272</v>
      </c>
      <c r="AM300" s="197">
        <v>462</v>
      </c>
    </row>
    <row r="301" spans="1:39" ht="24" customHeight="1">
      <c r="A301" s="201">
        <v>463</v>
      </c>
      <c r="B301" s="183">
        <v>33177</v>
      </c>
      <c r="C301" s="183">
        <v>43861</v>
      </c>
      <c r="D301" s="182">
        <v>29</v>
      </c>
      <c r="E301" s="3" t="s">
        <v>61</v>
      </c>
      <c r="F301" s="143" t="s">
        <v>116</v>
      </c>
      <c r="G301" s="142">
        <v>27.954014289502787</v>
      </c>
      <c r="H301" s="11" t="s">
        <v>59</v>
      </c>
      <c r="I301" s="141" t="s">
        <v>62</v>
      </c>
      <c r="J301" s="147"/>
      <c r="K301" s="146"/>
      <c r="L301" s="147">
        <v>57414</v>
      </c>
      <c r="M301" s="146">
        <v>380783</v>
      </c>
      <c r="N301" s="147"/>
      <c r="O301" s="146"/>
      <c r="P301" s="147">
        <v>11787</v>
      </c>
      <c r="Q301" s="146">
        <v>50892</v>
      </c>
      <c r="R301" s="147">
        <v>8156</v>
      </c>
      <c r="S301" s="146">
        <v>280888</v>
      </c>
      <c r="T301" s="147"/>
      <c r="U301" s="146"/>
      <c r="V301" s="147">
        <v>44601</v>
      </c>
      <c r="W301" s="146">
        <v>329454</v>
      </c>
      <c r="X301" s="32">
        <v>463</v>
      </c>
      <c r="Y301" s="147"/>
      <c r="Z301" s="146"/>
      <c r="AA301" s="147">
        <v>2240</v>
      </c>
      <c r="AB301" s="146">
        <v>7428</v>
      </c>
      <c r="AC301" s="147"/>
      <c r="AD301" s="146"/>
      <c r="AE301" s="147">
        <v>438.6</v>
      </c>
      <c r="AF301" s="146">
        <v>1906</v>
      </c>
      <c r="AG301" s="147"/>
      <c r="AH301" s="146"/>
      <c r="AI301" s="147">
        <v>787.6</v>
      </c>
      <c r="AJ301" s="146">
        <v>3152</v>
      </c>
      <c r="AK301" s="147">
        <v>2939</v>
      </c>
      <c r="AL301" s="146">
        <v>8362</v>
      </c>
      <c r="AM301" s="200">
        <v>463</v>
      </c>
    </row>
    <row r="302" spans="1:39" ht="24" customHeight="1">
      <c r="A302" s="201">
        <v>464</v>
      </c>
      <c r="B302" s="183">
        <v>34228</v>
      </c>
      <c r="C302" s="183">
        <v>43837</v>
      </c>
      <c r="D302" s="182">
        <v>26</v>
      </c>
      <c r="E302" s="3" t="s">
        <v>61</v>
      </c>
      <c r="F302" s="143" t="s">
        <v>116</v>
      </c>
      <c r="G302" s="142">
        <v>28.120421643851106</v>
      </c>
      <c r="H302" s="11" t="s">
        <v>59</v>
      </c>
      <c r="I302" s="141" t="s">
        <v>62</v>
      </c>
      <c r="J302" s="147"/>
      <c r="K302" s="146"/>
      <c r="L302" s="147">
        <v>172746</v>
      </c>
      <c r="M302" s="146">
        <v>169394</v>
      </c>
      <c r="N302" s="147"/>
      <c r="O302" s="146"/>
      <c r="P302" s="147">
        <v>37172</v>
      </c>
      <c r="Q302" s="146">
        <v>81588</v>
      </c>
      <c r="R302" s="147">
        <v>73923</v>
      </c>
      <c r="S302" s="146">
        <v>122245</v>
      </c>
      <c r="T302" s="147"/>
      <c r="U302" s="146"/>
      <c r="V302" s="147">
        <v>65789</v>
      </c>
      <c r="W302" s="146">
        <v>170051</v>
      </c>
      <c r="X302" s="32">
        <v>464</v>
      </c>
      <c r="Y302" s="147"/>
      <c r="Z302" s="146"/>
      <c r="AA302" s="147">
        <v>1727</v>
      </c>
      <c r="AB302" s="146">
        <v>2912</v>
      </c>
      <c r="AC302" s="147"/>
      <c r="AD302" s="146"/>
      <c r="AE302" s="147">
        <v>662.2</v>
      </c>
      <c r="AF302" s="146">
        <v>6531</v>
      </c>
      <c r="AG302" s="147"/>
      <c r="AH302" s="146"/>
      <c r="AI302" s="147">
        <v>888.4</v>
      </c>
      <c r="AJ302" s="146">
        <v>1234</v>
      </c>
      <c r="AK302" s="147">
        <v>3392</v>
      </c>
      <c r="AL302" s="146">
        <v>4240</v>
      </c>
      <c r="AM302" s="200">
        <v>464</v>
      </c>
    </row>
    <row r="303" spans="1:39" ht="24" customHeight="1">
      <c r="A303" s="199">
        <v>466</v>
      </c>
      <c r="B303" s="190">
        <v>30316</v>
      </c>
      <c r="C303" s="190">
        <v>43804</v>
      </c>
      <c r="D303" s="189">
        <v>36</v>
      </c>
      <c r="E303" s="3" t="s">
        <v>61</v>
      </c>
      <c r="F303" s="143" t="s">
        <v>116</v>
      </c>
      <c r="G303" s="142">
        <v>24.952417235901883</v>
      </c>
      <c r="H303" s="11" t="s">
        <v>59</v>
      </c>
      <c r="I303" s="141" t="s">
        <v>62</v>
      </c>
      <c r="J303" s="147"/>
      <c r="K303" s="146"/>
      <c r="L303" s="147">
        <v>31236</v>
      </c>
      <c r="M303" s="146">
        <v>157349</v>
      </c>
      <c r="N303" s="147"/>
      <c r="O303" s="146"/>
      <c r="P303" s="147">
        <v>10573</v>
      </c>
      <c r="Q303" s="146">
        <v>14209</v>
      </c>
      <c r="R303" s="147">
        <v>128416</v>
      </c>
      <c r="S303" s="146">
        <v>224157</v>
      </c>
      <c r="T303" s="147"/>
      <c r="U303" s="146"/>
      <c r="V303" s="147">
        <v>49034</v>
      </c>
      <c r="W303" s="146">
        <v>80040</v>
      </c>
      <c r="X303" s="198">
        <v>466</v>
      </c>
      <c r="Y303" s="147"/>
      <c r="Z303" s="146"/>
      <c r="AA303" s="147"/>
      <c r="AB303" s="146">
        <v>16452</v>
      </c>
      <c r="AC303" s="147"/>
      <c r="AD303" s="146"/>
      <c r="AE303" s="147">
        <v>2059</v>
      </c>
      <c r="AF303" s="146">
        <v>5561</v>
      </c>
      <c r="AG303" s="147"/>
      <c r="AH303" s="146"/>
      <c r="AI303" s="147">
        <v>4902</v>
      </c>
      <c r="AJ303" s="146">
        <v>8725</v>
      </c>
      <c r="AK303" s="147"/>
      <c r="AL303" s="146"/>
      <c r="AM303" s="197">
        <v>466</v>
      </c>
    </row>
    <row r="304" spans="1:39" ht="24" customHeight="1">
      <c r="A304" s="201">
        <v>467</v>
      </c>
      <c r="B304" s="183">
        <v>34550</v>
      </c>
      <c r="C304" s="183">
        <v>43809</v>
      </c>
      <c r="D304" s="182">
        <v>25</v>
      </c>
      <c r="E304" s="4" t="s">
        <v>58</v>
      </c>
      <c r="F304" s="143" t="s">
        <v>117</v>
      </c>
      <c r="G304" s="142">
        <v>50.558908594285256</v>
      </c>
      <c r="H304" s="11" t="s">
        <v>59</v>
      </c>
      <c r="I304" s="141" t="s">
        <v>62</v>
      </c>
      <c r="J304" s="147"/>
      <c r="K304" s="146"/>
      <c r="L304" s="147">
        <v>18383</v>
      </c>
      <c r="M304" s="146">
        <v>107555</v>
      </c>
      <c r="N304" s="147"/>
      <c r="O304" s="146"/>
      <c r="P304" s="147">
        <v>11263</v>
      </c>
      <c r="Q304" s="146">
        <v>40203</v>
      </c>
      <c r="R304" s="147">
        <v>121956</v>
      </c>
      <c r="S304" s="146">
        <v>1427606</v>
      </c>
      <c r="T304" s="147"/>
      <c r="U304" s="146"/>
      <c r="V304" s="147">
        <v>33890</v>
      </c>
      <c r="W304" s="146">
        <v>239480</v>
      </c>
      <c r="X304" s="32">
        <v>467</v>
      </c>
      <c r="Y304" s="147"/>
      <c r="Z304" s="146"/>
      <c r="AA304" s="147">
        <v>641.70000000000005</v>
      </c>
      <c r="AB304" s="146">
        <v>4397</v>
      </c>
      <c r="AC304" s="147"/>
      <c r="AD304" s="146"/>
      <c r="AE304" s="147">
        <v>4361</v>
      </c>
      <c r="AF304" s="146">
        <v>19729</v>
      </c>
      <c r="AG304" s="147"/>
      <c r="AH304" s="146"/>
      <c r="AI304" s="147">
        <v>704.5</v>
      </c>
      <c r="AJ304" s="146">
        <v>2808</v>
      </c>
      <c r="AK304" s="147">
        <v>3693</v>
      </c>
      <c r="AL304" s="146"/>
      <c r="AM304" s="200">
        <v>467</v>
      </c>
    </row>
    <row r="305" spans="1:39" ht="24" customHeight="1">
      <c r="A305" s="199">
        <v>468</v>
      </c>
      <c r="B305" s="190">
        <v>25775</v>
      </c>
      <c r="C305" s="190">
        <v>43806</v>
      </c>
      <c r="D305" s="189">
        <v>49</v>
      </c>
      <c r="E305" s="4" t="s">
        <v>58</v>
      </c>
      <c r="F305" s="143" t="s">
        <v>116</v>
      </c>
      <c r="G305" s="142">
        <v>25.608459357277884</v>
      </c>
      <c r="H305" s="11" t="s">
        <v>59</v>
      </c>
      <c r="I305" s="141" t="s">
        <v>62</v>
      </c>
      <c r="J305" s="147"/>
      <c r="K305" s="146"/>
      <c r="L305" s="147">
        <v>72698</v>
      </c>
      <c r="M305" s="146">
        <v>104184</v>
      </c>
      <c r="N305" s="147"/>
      <c r="O305" s="146"/>
      <c r="P305" s="147">
        <v>28808</v>
      </c>
      <c r="Q305" s="146">
        <v>30210</v>
      </c>
      <c r="R305" s="147"/>
      <c r="S305" s="146"/>
      <c r="T305" s="147"/>
      <c r="U305" s="146"/>
      <c r="V305" s="147">
        <v>131562</v>
      </c>
      <c r="W305" s="146">
        <v>137902</v>
      </c>
      <c r="X305" s="198">
        <v>468</v>
      </c>
      <c r="Y305" s="147"/>
      <c r="Z305" s="146"/>
      <c r="AA305" s="147">
        <v>1297</v>
      </c>
      <c r="AB305" s="146">
        <v>2994</v>
      </c>
      <c r="AC305" s="147"/>
      <c r="AD305" s="146"/>
      <c r="AE305" s="147">
        <v>1648</v>
      </c>
      <c r="AF305" s="146">
        <v>15055</v>
      </c>
      <c r="AG305" s="147"/>
      <c r="AH305" s="146"/>
      <c r="AI305" s="147">
        <v>6881</v>
      </c>
      <c r="AJ305" s="146">
        <v>18408</v>
      </c>
      <c r="AK305" s="147"/>
      <c r="AL305" s="146"/>
      <c r="AM305" s="197">
        <v>468</v>
      </c>
    </row>
    <row r="306" spans="1:39" ht="24" customHeight="1">
      <c r="A306" s="199">
        <v>469</v>
      </c>
      <c r="B306" s="190">
        <v>27214</v>
      </c>
      <c r="C306" s="190">
        <v>43805</v>
      </c>
      <c r="D306" s="189">
        <v>45</v>
      </c>
      <c r="E306" s="4" t="s">
        <v>58</v>
      </c>
      <c r="F306" s="143" t="s">
        <v>118</v>
      </c>
      <c r="G306" s="142">
        <v>38.380235169771439</v>
      </c>
      <c r="H306" s="11" t="s">
        <v>59</v>
      </c>
      <c r="I306" s="141" t="s">
        <v>62</v>
      </c>
      <c r="J306" s="147"/>
      <c r="K306" s="146"/>
      <c r="L306" s="147">
        <v>83074</v>
      </c>
      <c r="M306" s="146">
        <v>141258</v>
      </c>
      <c r="N306" s="147"/>
      <c r="O306" s="146"/>
      <c r="P306" s="147">
        <v>29504</v>
      </c>
      <c r="Q306" s="146">
        <v>41896</v>
      </c>
      <c r="R306" s="147"/>
      <c r="S306" s="146"/>
      <c r="T306" s="147"/>
      <c r="U306" s="146"/>
      <c r="V306" s="147">
        <v>154592</v>
      </c>
      <c r="W306" s="146">
        <v>191548</v>
      </c>
      <c r="X306" s="198">
        <v>469</v>
      </c>
      <c r="Y306" s="147"/>
      <c r="Z306" s="146"/>
      <c r="AA306" s="147">
        <v>4551</v>
      </c>
      <c r="AB306" s="146">
        <v>4960</v>
      </c>
      <c r="AC306" s="147"/>
      <c r="AD306" s="146"/>
      <c r="AE306" s="147">
        <v>1343</v>
      </c>
      <c r="AF306" s="146">
        <v>1621</v>
      </c>
      <c r="AG306" s="147"/>
      <c r="AH306" s="146"/>
      <c r="AI306" s="147">
        <v>4458</v>
      </c>
      <c r="AJ306" s="146">
        <v>4091</v>
      </c>
      <c r="AK306" s="147"/>
      <c r="AL306" s="146"/>
      <c r="AM306" s="197">
        <v>469</v>
      </c>
    </row>
    <row r="307" spans="1:39" ht="24" customHeight="1">
      <c r="A307" s="201">
        <v>470</v>
      </c>
      <c r="B307" s="183">
        <v>32576</v>
      </c>
      <c r="C307" s="183">
        <v>43837</v>
      </c>
      <c r="D307" s="182">
        <v>30</v>
      </c>
      <c r="E307" s="3" t="s">
        <v>61</v>
      </c>
      <c r="F307" s="143" t="s">
        <v>116</v>
      </c>
      <c r="G307" s="142">
        <v>18.320713899405085</v>
      </c>
      <c r="H307" s="11" t="s">
        <v>59</v>
      </c>
      <c r="I307" s="141" t="s">
        <v>62</v>
      </c>
      <c r="J307" s="147"/>
      <c r="K307" s="146"/>
      <c r="L307" s="147">
        <v>39173</v>
      </c>
      <c r="M307" s="146">
        <v>321108</v>
      </c>
      <c r="N307" s="147"/>
      <c r="O307" s="146"/>
      <c r="P307" s="147">
        <v>67820</v>
      </c>
      <c r="Q307" s="146">
        <v>201963</v>
      </c>
      <c r="R307" s="147"/>
      <c r="S307" s="146"/>
      <c r="T307" s="147"/>
      <c r="U307" s="146"/>
      <c r="V307" s="147">
        <v>74152</v>
      </c>
      <c r="W307" s="146">
        <v>778751</v>
      </c>
      <c r="X307" s="32">
        <v>470</v>
      </c>
      <c r="Y307" s="147"/>
      <c r="Z307" s="146"/>
      <c r="AA307" s="147">
        <v>1815</v>
      </c>
      <c r="AB307" s="146">
        <v>5102</v>
      </c>
      <c r="AC307" s="147"/>
      <c r="AD307" s="146"/>
      <c r="AE307" s="147">
        <v>1685</v>
      </c>
      <c r="AF307" s="146">
        <v>1348</v>
      </c>
      <c r="AG307" s="147"/>
      <c r="AH307" s="146"/>
      <c r="AI307" s="147">
        <v>1518</v>
      </c>
      <c r="AJ307" s="146">
        <v>1814</v>
      </c>
      <c r="AK307" s="147"/>
      <c r="AL307" s="146"/>
      <c r="AM307" s="200">
        <v>470</v>
      </c>
    </row>
    <row r="308" spans="1:39" ht="24" customHeight="1">
      <c r="A308" s="201">
        <v>471</v>
      </c>
      <c r="B308" s="183">
        <v>33790</v>
      </c>
      <c r="C308" s="183">
        <v>43864</v>
      </c>
      <c r="D308" s="182">
        <v>27</v>
      </c>
      <c r="E308" s="3" t="s">
        <v>61</v>
      </c>
      <c r="F308" s="143" t="s">
        <v>116</v>
      </c>
      <c r="G308" s="142">
        <v>25.221301775147928</v>
      </c>
      <c r="H308" s="11" t="s">
        <v>59</v>
      </c>
      <c r="I308" s="141" t="s">
        <v>62</v>
      </c>
      <c r="J308" s="147"/>
      <c r="K308" s="146"/>
      <c r="L308" s="147">
        <v>49354</v>
      </c>
      <c r="M308" s="146"/>
      <c r="N308" s="147"/>
      <c r="O308" s="146"/>
      <c r="P308" s="147">
        <v>50056</v>
      </c>
      <c r="Q308" s="146"/>
      <c r="R308" s="147"/>
      <c r="S308" s="146"/>
      <c r="T308" s="147"/>
      <c r="U308" s="146"/>
      <c r="V308" s="147">
        <v>73443</v>
      </c>
      <c r="W308" s="146"/>
      <c r="X308" s="32">
        <v>471</v>
      </c>
      <c r="Y308" s="147"/>
      <c r="Z308" s="146"/>
      <c r="AA308" s="147">
        <v>2036</v>
      </c>
      <c r="AB308" s="146"/>
      <c r="AC308" s="147"/>
      <c r="AD308" s="146"/>
      <c r="AE308" s="147">
        <v>3281</v>
      </c>
      <c r="AF308" s="146"/>
      <c r="AG308" s="147"/>
      <c r="AH308" s="146"/>
      <c r="AI308" s="147">
        <v>8325</v>
      </c>
      <c r="AJ308" s="146"/>
      <c r="AK308" s="147"/>
      <c r="AL308" s="146"/>
      <c r="AM308" s="200">
        <v>471</v>
      </c>
    </row>
    <row r="309" spans="1:39" ht="24" customHeight="1">
      <c r="A309" s="206">
        <v>472</v>
      </c>
      <c r="B309" s="205">
        <v>19269</v>
      </c>
      <c r="C309" s="205">
        <v>43843</v>
      </c>
      <c r="D309" s="204">
        <v>67</v>
      </c>
      <c r="E309" s="3" t="s">
        <v>61</v>
      </c>
      <c r="F309" s="143" t="s">
        <v>116</v>
      </c>
      <c r="G309" s="142">
        <v>25.987896048415806</v>
      </c>
      <c r="H309" s="11" t="s">
        <v>59</v>
      </c>
      <c r="I309" s="141" t="s">
        <v>62</v>
      </c>
      <c r="J309" s="147"/>
      <c r="K309" s="146"/>
      <c r="L309" s="147">
        <v>132995</v>
      </c>
      <c r="M309" s="146">
        <v>263319</v>
      </c>
      <c r="N309" s="147"/>
      <c r="O309" s="146"/>
      <c r="P309" s="147">
        <v>16933</v>
      </c>
      <c r="Q309" s="146">
        <v>319551</v>
      </c>
      <c r="R309" s="147"/>
      <c r="S309" s="146"/>
      <c r="T309" s="147"/>
      <c r="U309" s="146"/>
      <c r="V309" s="147">
        <v>40117</v>
      </c>
      <c r="W309" s="146">
        <v>250507</v>
      </c>
      <c r="X309" s="203">
        <v>472</v>
      </c>
      <c r="Y309" s="147"/>
      <c r="Z309" s="146"/>
      <c r="AA309" s="147">
        <v>4714</v>
      </c>
      <c r="AB309" s="146">
        <v>9507</v>
      </c>
      <c r="AC309" s="147"/>
      <c r="AD309" s="146"/>
      <c r="AE309" s="147">
        <v>2842</v>
      </c>
      <c r="AF309" s="146">
        <v>10557</v>
      </c>
      <c r="AG309" s="147"/>
      <c r="AH309" s="146"/>
      <c r="AI309" s="147">
        <v>1616</v>
      </c>
      <c r="AJ309" s="146">
        <v>18702</v>
      </c>
      <c r="AK309" s="147"/>
      <c r="AL309" s="146"/>
      <c r="AM309" s="202">
        <v>472</v>
      </c>
    </row>
    <row r="310" spans="1:39" ht="24" customHeight="1">
      <c r="A310" s="201">
        <v>473</v>
      </c>
      <c r="B310" s="183">
        <v>33341</v>
      </c>
      <c r="C310" s="183">
        <v>43836</v>
      </c>
      <c r="D310" s="182">
        <v>28</v>
      </c>
      <c r="E310" s="3" t="s">
        <v>61</v>
      </c>
      <c r="F310" s="143" t="s">
        <v>116</v>
      </c>
      <c r="G310" s="142">
        <v>30.86390169559758</v>
      </c>
      <c r="H310" s="11" t="s">
        <v>59</v>
      </c>
      <c r="I310" s="141" t="s">
        <v>62</v>
      </c>
      <c r="J310" s="147"/>
      <c r="K310" s="146"/>
      <c r="L310" s="147">
        <v>9949</v>
      </c>
      <c r="M310" s="146">
        <v>212905</v>
      </c>
      <c r="N310" s="147"/>
      <c r="O310" s="146"/>
      <c r="P310" s="147">
        <v>56321</v>
      </c>
      <c r="Q310" s="146">
        <v>109436</v>
      </c>
      <c r="R310" s="147"/>
      <c r="S310" s="146"/>
      <c r="T310" s="147"/>
      <c r="U310" s="146"/>
      <c r="V310" s="147">
        <v>69548</v>
      </c>
      <c r="W310" s="146">
        <v>342284</v>
      </c>
      <c r="X310" s="32">
        <v>473</v>
      </c>
      <c r="Y310" s="147"/>
      <c r="Z310" s="146"/>
      <c r="AA310" s="147">
        <v>1164</v>
      </c>
      <c r="AB310" s="146">
        <v>20864</v>
      </c>
      <c r="AC310" s="147"/>
      <c r="AD310" s="146"/>
      <c r="AE310" s="147">
        <v>4682</v>
      </c>
      <c r="AF310" s="146">
        <v>5499</v>
      </c>
      <c r="AG310" s="147"/>
      <c r="AH310" s="146"/>
      <c r="AI310" s="147">
        <v>1728</v>
      </c>
      <c r="AJ310" s="146">
        <v>3817</v>
      </c>
      <c r="AK310" s="147">
        <v>3124</v>
      </c>
      <c r="AL310" s="146">
        <v>8627</v>
      </c>
      <c r="AM310" s="200">
        <v>473</v>
      </c>
    </row>
    <row r="311" spans="1:39" ht="24" customHeight="1">
      <c r="A311" s="201">
        <v>474</v>
      </c>
      <c r="B311" s="183">
        <v>35957</v>
      </c>
      <c r="C311" s="183">
        <v>43837</v>
      </c>
      <c r="D311" s="182">
        <v>21</v>
      </c>
      <c r="E311" s="4" t="s">
        <v>58</v>
      </c>
      <c r="F311" s="143" t="s">
        <v>116</v>
      </c>
      <c r="G311" s="142">
        <v>26.21876231334792</v>
      </c>
      <c r="H311" s="11" t="s">
        <v>59</v>
      </c>
      <c r="I311" s="141" t="s">
        <v>62</v>
      </c>
      <c r="J311" s="147"/>
      <c r="K311" s="146"/>
      <c r="L311" s="147">
        <v>136662</v>
      </c>
      <c r="M311" s="146">
        <v>123987</v>
      </c>
      <c r="N311" s="147"/>
      <c r="O311" s="146"/>
      <c r="P311" s="147">
        <v>25773</v>
      </c>
      <c r="Q311" s="146">
        <v>226061</v>
      </c>
      <c r="R311" s="147"/>
      <c r="S311" s="146"/>
      <c r="T311" s="147"/>
      <c r="U311" s="146"/>
      <c r="V311" s="147">
        <v>125954</v>
      </c>
      <c r="W311" s="146">
        <v>228665</v>
      </c>
      <c r="X311" s="32">
        <v>474</v>
      </c>
      <c r="Y311" s="147"/>
      <c r="Z311" s="146"/>
      <c r="AA311" s="147">
        <v>807.3</v>
      </c>
      <c r="AB311" s="146">
        <v>1123</v>
      </c>
      <c r="AC311" s="147"/>
      <c r="AD311" s="146"/>
      <c r="AE311" s="147">
        <v>1440</v>
      </c>
      <c r="AF311" s="146">
        <v>4590</v>
      </c>
      <c r="AG311" s="147"/>
      <c r="AH311" s="146"/>
      <c r="AI311" s="147">
        <v>505.6</v>
      </c>
      <c r="AJ311" s="146">
        <v>1708</v>
      </c>
      <c r="AK311" s="147">
        <v>1920</v>
      </c>
      <c r="AL311" s="146">
        <v>3539</v>
      </c>
      <c r="AM311" s="200">
        <v>474</v>
      </c>
    </row>
    <row r="312" spans="1:39" ht="24" customHeight="1">
      <c r="A312" s="201">
        <v>475</v>
      </c>
      <c r="B312" s="183">
        <v>33674</v>
      </c>
      <c r="C312" s="183">
        <v>43836</v>
      </c>
      <c r="D312" s="182">
        <v>27</v>
      </c>
      <c r="E312" s="3" t="s">
        <v>61</v>
      </c>
      <c r="F312" s="143" t="s">
        <v>116</v>
      </c>
      <c r="G312" s="142">
        <v>36.777546900622184</v>
      </c>
      <c r="H312" s="11" t="s">
        <v>59</v>
      </c>
      <c r="I312" s="141" t="s">
        <v>62</v>
      </c>
      <c r="J312" s="147"/>
      <c r="K312" s="146"/>
      <c r="L312" s="147">
        <v>30390</v>
      </c>
      <c r="M312" s="146">
        <v>122085</v>
      </c>
      <c r="N312" s="147"/>
      <c r="O312" s="146"/>
      <c r="P312" s="147">
        <v>11015</v>
      </c>
      <c r="Q312" s="146">
        <v>112087</v>
      </c>
      <c r="R312" s="147"/>
      <c r="S312" s="146"/>
      <c r="T312" s="147"/>
      <c r="U312" s="146"/>
      <c r="V312" s="147">
        <v>173374</v>
      </c>
      <c r="W312" s="146">
        <v>445440</v>
      </c>
      <c r="X312" s="32">
        <v>475</v>
      </c>
      <c r="Y312" s="147"/>
      <c r="Z312" s="146"/>
      <c r="AA312" s="147">
        <v>762.5</v>
      </c>
      <c r="AB312" s="146">
        <v>1515</v>
      </c>
      <c r="AC312" s="147"/>
      <c r="AD312" s="146"/>
      <c r="AE312" s="147">
        <v>1464</v>
      </c>
      <c r="AF312" s="146">
        <v>11792</v>
      </c>
      <c r="AG312" s="147"/>
      <c r="AH312" s="146"/>
      <c r="AI312" s="147">
        <v>965.8</v>
      </c>
      <c r="AJ312" s="146">
        <v>4572</v>
      </c>
      <c r="AK312" s="147">
        <v>1964</v>
      </c>
      <c r="AL312" s="146">
        <v>4832</v>
      </c>
      <c r="AM312" s="200">
        <v>475</v>
      </c>
    </row>
    <row r="313" spans="1:39" ht="24" customHeight="1">
      <c r="A313" s="206">
        <v>476</v>
      </c>
      <c r="B313" s="205">
        <v>19130</v>
      </c>
      <c r="C313" s="205">
        <v>43838</v>
      </c>
      <c r="D313" s="204">
        <v>67</v>
      </c>
      <c r="E313" s="4" t="s">
        <v>58</v>
      </c>
      <c r="F313" s="143" t="s">
        <v>128</v>
      </c>
      <c r="G313" s="142">
        <v>19.708206120059348</v>
      </c>
      <c r="H313" s="11" t="s">
        <v>59</v>
      </c>
      <c r="I313" s="141" t="s">
        <v>62</v>
      </c>
      <c r="J313" s="147"/>
      <c r="K313" s="146"/>
      <c r="L313" s="147">
        <v>9275</v>
      </c>
      <c r="M313" s="146">
        <v>50658</v>
      </c>
      <c r="N313" s="147"/>
      <c r="O313" s="146"/>
      <c r="P313" s="147">
        <v>1998</v>
      </c>
      <c r="Q313" s="146">
        <v>99226</v>
      </c>
      <c r="R313" s="147"/>
      <c r="S313" s="146"/>
      <c r="T313" s="147"/>
      <c r="U313" s="146"/>
      <c r="V313" s="147">
        <v>190212</v>
      </c>
      <c r="W313" s="146">
        <v>430267</v>
      </c>
      <c r="X313" s="203">
        <v>476</v>
      </c>
      <c r="Y313" s="147"/>
      <c r="Z313" s="146"/>
      <c r="AA313" s="147">
        <v>18006</v>
      </c>
      <c r="AB313" s="146">
        <v>80866</v>
      </c>
      <c r="AC313" s="147"/>
      <c r="AD313" s="146"/>
      <c r="AE313" s="147">
        <v>6956</v>
      </c>
      <c r="AF313" s="146">
        <v>45046</v>
      </c>
      <c r="AG313" s="147"/>
      <c r="AH313" s="146"/>
      <c r="AI313" s="147">
        <v>7653</v>
      </c>
      <c r="AJ313" s="146">
        <v>12770</v>
      </c>
      <c r="AK313" s="147">
        <v>14200</v>
      </c>
      <c r="AL313" s="146">
        <v>22775</v>
      </c>
      <c r="AM313" s="202">
        <v>476</v>
      </c>
    </row>
    <row r="314" spans="1:39" ht="24" customHeight="1">
      <c r="A314" s="199">
        <v>477</v>
      </c>
      <c r="B314" s="190">
        <v>32450</v>
      </c>
      <c r="C314" s="190">
        <v>43836</v>
      </c>
      <c r="D314" s="189">
        <v>31</v>
      </c>
      <c r="E314" s="4" t="s">
        <v>58</v>
      </c>
      <c r="F314" s="143" t="s">
        <v>117</v>
      </c>
      <c r="G314" s="142">
        <v>24.463667820069208</v>
      </c>
      <c r="H314" s="11" t="s">
        <v>59</v>
      </c>
      <c r="I314" s="141" t="s">
        <v>62</v>
      </c>
      <c r="J314" s="147"/>
      <c r="K314" s="146"/>
      <c r="L314" s="147">
        <v>28359</v>
      </c>
      <c r="M314" s="146">
        <v>234083</v>
      </c>
      <c r="N314" s="147"/>
      <c r="O314" s="146"/>
      <c r="P314" s="147">
        <v>19664</v>
      </c>
      <c r="Q314" s="146">
        <v>112867</v>
      </c>
      <c r="R314" s="147"/>
      <c r="S314" s="146"/>
      <c r="T314" s="147"/>
      <c r="U314" s="146"/>
      <c r="V314" s="147">
        <v>25039</v>
      </c>
      <c r="W314" s="146">
        <v>328422</v>
      </c>
      <c r="X314" s="198">
        <v>477</v>
      </c>
      <c r="Y314" s="147"/>
      <c r="Z314" s="146"/>
      <c r="AA314" s="147">
        <v>2538</v>
      </c>
      <c r="AB314" s="146">
        <v>10842</v>
      </c>
      <c r="AC314" s="147"/>
      <c r="AD314" s="146"/>
      <c r="AE314" s="147">
        <v>4730</v>
      </c>
      <c r="AF314" s="146">
        <v>13197</v>
      </c>
      <c r="AG314" s="147"/>
      <c r="AH314" s="146"/>
      <c r="AI314" s="147">
        <v>5208</v>
      </c>
      <c r="AJ314" s="146">
        <v>9878</v>
      </c>
      <c r="AK314" s="147">
        <v>11528</v>
      </c>
      <c r="AL314" s="146">
        <v>37871</v>
      </c>
      <c r="AM314" s="197">
        <v>477</v>
      </c>
    </row>
    <row r="315" spans="1:39" ht="24" customHeight="1">
      <c r="A315" s="196">
        <v>478</v>
      </c>
      <c r="B315" s="180">
        <v>22070</v>
      </c>
      <c r="C315" s="180">
        <v>43837</v>
      </c>
      <c r="D315" s="179">
        <v>59</v>
      </c>
      <c r="E315" s="4" t="s">
        <v>58</v>
      </c>
      <c r="F315" s="143" t="s">
        <v>116</v>
      </c>
      <c r="G315" s="142">
        <v>26.952380862103336</v>
      </c>
      <c r="H315" s="11" t="s">
        <v>59</v>
      </c>
      <c r="I315" s="141" t="s">
        <v>62</v>
      </c>
      <c r="J315" s="147"/>
      <c r="K315" s="146"/>
      <c r="L315" s="147">
        <v>33889</v>
      </c>
      <c r="M315" s="146">
        <v>79757</v>
      </c>
      <c r="N315" s="147"/>
      <c r="O315" s="146"/>
      <c r="P315" s="147">
        <v>41923</v>
      </c>
      <c r="Q315" s="146">
        <v>122619</v>
      </c>
      <c r="R315" s="147"/>
      <c r="S315" s="146"/>
      <c r="T315" s="147"/>
      <c r="U315" s="146"/>
      <c r="V315" s="147">
        <v>85058</v>
      </c>
      <c r="W315" s="146">
        <v>91622</v>
      </c>
      <c r="X315" s="195">
        <v>478</v>
      </c>
      <c r="Y315" s="147"/>
      <c r="Z315" s="146"/>
      <c r="AA315" s="147">
        <v>2959</v>
      </c>
      <c r="AB315" s="146">
        <v>91603</v>
      </c>
      <c r="AC315" s="147"/>
      <c r="AD315" s="146"/>
      <c r="AE315" s="147">
        <v>2258</v>
      </c>
      <c r="AF315" s="146">
        <v>16804</v>
      </c>
      <c r="AG315" s="147"/>
      <c r="AH315" s="146"/>
      <c r="AI315" s="147">
        <v>2124</v>
      </c>
      <c r="AJ315" s="146">
        <v>3833</v>
      </c>
      <c r="AK315" s="147"/>
      <c r="AL315" s="146"/>
      <c r="AM315" s="194">
        <v>478</v>
      </c>
    </row>
    <row r="316" spans="1:39" ht="24" customHeight="1">
      <c r="A316" s="199">
        <v>479</v>
      </c>
      <c r="B316" s="190">
        <v>28902</v>
      </c>
      <c r="C316" s="190">
        <v>43834</v>
      </c>
      <c r="D316" s="189">
        <v>40</v>
      </c>
      <c r="E316" s="4" t="s">
        <v>58</v>
      </c>
      <c r="F316" s="143" t="s">
        <v>116</v>
      </c>
      <c r="G316" s="142">
        <v>29.726135075557785</v>
      </c>
      <c r="H316" s="11" t="s">
        <v>59</v>
      </c>
      <c r="I316" s="141" t="s">
        <v>62</v>
      </c>
      <c r="J316" s="147"/>
      <c r="K316" s="146"/>
      <c r="L316" s="147">
        <v>101092</v>
      </c>
      <c r="M316" s="146">
        <v>112942</v>
      </c>
      <c r="N316" s="147"/>
      <c r="O316" s="146"/>
      <c r="P316" s="147">
        <v>130846</v>
      </c>
      <c r="Q316" s="146">
        <v>167801</v>
      </c>
      <c r="R316" s="147"/>
      <c r="S316" s="146"/>
      <c r="T316" s="147"/>
      <c r="U316" s="146"/>
      <c r="V316" s="147">
        <v>72521</v>
      </c>
      <c r="W316" s="146">
        <v>188766</v>
      </c>
      <c r="X316" s="198">
        <v>479</v>
      </c>
      <c r="Y316" s="147"/>
      <c r="Z316" s="146"/>
      <c r="AA316" s="147">
        <v>2481</v>
      </c>
      <c r="AB316" s="146">
        <v>3603</v>
      </c>
      <c r="AC316" s="147"/>
      <c r="AD316" s="146"/>
      <c r="AE316" s="147">
        <v>1575</v>
      </c>
      <c r="AF316" s="146">
        <v>2788</v>
      </c>
      <c r="AG316" s="147"/>
      <c r="AH316" s="146"/>
      <c r="AI316" s="147">
        <v>2325</v>
      </c>
      <c r="AJ316" s="146">
        <v>3661</v>
      </c>
      <c r="AK316" s="147"/>
      <c r="AL316" s="146"/>
      <c r="AM316" s="197">
        <v>479</v>
      </c>
    </row>
    <row r="317" spans="1:39" ht="24" customHeight="1">
      <c r="A317" s="196">
        <v>480</v>
      </c>
      <c r="B317" s="180">
        <v>24874</v>
      </c>
      <c r="C317" s="180">
        <v>43837</v>
      </c>
      <c r="D317" s="179">
        <v>51</v>
      </c>
      <c r="E317" s="3" t="s">
        <v>61</v>
      </c>
      <c r="F317" s="143" t="s">
        <v>116</v>
      </c>
      <c r="G317" s="142">
        <v>24.769011330244449</v>
      </c>
      <c r="H317" s="11" t="s">
        <v>59</v>
      </c>
      <c r="I317" s="141" t="s">
        <v>62</v>
      </c>
      <c r="J317" s="147"/>
      <c r="K317" s="146"/>
      <c r="L317" s="147">
        <v>15230</v>
      </c>
      <c r="M317" s="146">
        <v>78193</v>
      </c>
      <c r="N317" s="147"/>
      <c r="O317" s="146"/>
      <c r="P317" s="147">
        <v>34439</v>
      </c>
      <c r="Q317" s="146">
        <v>74238</v>
      </c>
      <c r="R317" s="147"/>
      <c r="S317" s="146"/>
      <c r="T317" s="147"/>
      <c r="U317" s="146"/>
      <c r="V317" s="147">
        <v>19275</v>
      </c>
      <c r="W317" s="146">
        <v>251967</v>
      </c>
      <c r="X317" s="195">
        <v>480</v>
      </c>
      <c r="Y317" s="147"/>
      <c r="Z317" s="146"/>
      <c r="AA317" s="147">
        <v>589.5</v>
      </c>
      <c r="AB317" s="146">
        <v>3853</v>
      </c>
      <c r="AC317" s="147"/>
      <c r="AD317" s="146"/>
      <c r="AE317" s="147">
        <v>270.3</v>
      </c>
      <c r="AF317" s="146">
        <v>1398</v>
      </c>
      <c r="AG317" s="147"/>
      <c r="AH317" s="146"/>
      <c r="AI317" s="147">
        <v>645</v>
      </c>
      <c r="AJ317" s="146">
        <v>3598</v>
      </c>
      <c r="AK317" s="147"/>
      <c r="AL317" s="146"/>
      <c r="AM317" s="194">
        <v>480</v>
      </c>
    </row>
    <row r="318" spans="1:39" ht="24" customHeight="1">
      <c r="A318" s="206">
        <v>481</v>
      </c>
      <c r="B318" s="205">
        <v>19120</v>
      </c>
      <c r="C318" s="205">
        <v>43838</v>
      </c>
      <c r="D318" s="204">
        <v>67</v>
      </c>
      <c r="E318" s="3" t="s">
        <v>61</v>
      </c>
      <c r="F318" s="143" t="s">
        <v>117</v>
      </c>
      <c r="G318" s="142">
        <v>40.936639120000002</v>
      </c>
      <c r="H318" s="11" t="s">
        <v>59</v>
      </c>
      <c r="I318" s="141" t="s">
        <v>62</v>
      </c>
      <c r="J318" s="147"/>
      <c r="K318" s="146"/>
      <c r="L318" s="147">
        <v>14173</v>
      </c>
      <c r="M318" s="146">
        <v>318730</v>
      </c>
      <c r="N318" s="147"/>
      <c r="O318" s="146"/>
      <c r="P318" s="147">
        <v>15352</v>
      </c>
      <c r="Q318" s="146">
        <v>95668</v>
      </c>
      <c r="R318" s="147"/>
      <c r="S318" s="146"/>
      <c r="T318" s="147"/>
      <c r="U318" s="146"/>
      <c r="V318" s="147">
        <v>10374</v>
      </c>
      <c r="W318" s="146">
        <v>65276</v>
      </c>
      <c r="X318" s="203">
        <v>481</v>
      </c>
      <c r="Y318" s="147"/>
      <c r="Z318" s="146"/>
      <c r="AA318" s="147">
        <v>1005</v>
      </c>
      <c r="AB318" s="146">
        <v>11117</v>
      </c>
      <c r="AC318" s="147"/>
      <c r="AD318" s="146"/>
      <c r="AE318" s="147">
        <v>1950</v>
      </c>
      <c r="AF318" s="146">
        <v>9246</v>
      </c>
      <c r="AG318" s="147"/>
      <c r="AH318" s="146"/>
      <c r="AI318" s="147">
        <v>1243</v>
      </c>
      <c r="AJ318" s="146">
        <v>12975</v>
      </c>
      <c r="AK318" s="147"/>
      <c r="AL318" s="146"/>
      <c r="AM318" s="202">
        <v>481</v>
      </c>
    </row>
    <row r="319" spans="1:39" ht="24" customHeight="1">
      <c r="A319" s="196">
        <v>482</v>
      </c>
      <c r="B319" s="180">
        <v>24482</v>
      </c>
      <c r="C319" s="180">
        <v>43839</v>
      </c>
      <c r="D319" s="179">
        <v>52</v>
      </c>
      <c r="E319" s="4" t="s">
        <v>58</v>
      </c>
      <c r="F319" s="143" t="s">
        <v>117</v>
      </c>
      <c r="G319" s="142">
        <v>31.796491395420137</v>
      </c>
      <c r="H319" s="11" t="s">
        <v>59</v>
      </c>
      <c r="I319" s="141" t="s">
        <v>62</v>
      </c>
      <c r="J319" s="147"/>
      <c r="K319" s="146"/>
      <c r="L319" s="147">
        <v>31065</v>
      </c>
      <c r="M319" s="146">
        <v>64289</v>
      </c>
      <c r="N319" s="147"/>
      <c r="O319" s="146"/>
      <c r="P319" s="147">
        <v>53412</v>
      </c>
      <c r="Q319" s="146">
        <v>103775</v>
      </c>
      <c r="R319" s="147"/>
      <c r="S319" s="146"/>
      <c r="T319" s="147"/>
      <c r="U319" s="146"/>
      <c r="V319" s="147">
        <v>85241</v>
      </c>
      <c r="W319" s="146">
        <v>144972</v>
      </c>
      <c r="X319" s="195">
        <v>482</v>
      </c>
      <c r="Y319" s="147"/>
      <c r="Z319" s="146"/>
      <c r="AA319" s="147">
        <v>3110</v>
      </c>
      <c r="AB319" s="146">
        <v>4032</v>
      </c>
      <c r="AC319" s="147"/>
      <c r="AD319" s="146"/>
      <c r="AE319" s="147">
        <v>1953</v>
      </c>
      <c r="AF319" s="146">
        <v>2037</v>
      </c>
      <c r="AG319" s="147"/>
      <c r="AH319" s="146"/>
      <c r="AI319" s="147">
        <v>10115</v>
      </c>
      <c r="AJ319" s="146">
        <v>10093</v>
      </c>
      <c r="AK319" s="147"/>
      <c r="AL319" s="146"/>
      <c r="AM319" s="194">
        <v>482</v>
      </c>
    </row>
    <row r="320" spans="1:39" ht="24" customHeight="1">
      <c r="A320" s="201">
        <v>483</v>
      </c>
      <c r="B320" s="183">
        <v>36405</v>
      </c>
      <c r="C320" s="183">
        <v>43843</v>
      </c>
      <c r="D320" s="182">
        <v>20</v>
      </c>
      <c r="E320" s="3" t="s">
        <v>61</v>
      </c>
      <c r="F320" s="143" t="s">
        <v>129</v>
      </c>
      <c r="G320" s="142">
        <v>19.584775086505193</v>
      </c>
      <c r="H320" s="11" t="s">
        <v>59</v>
      </c>
      <c r="I320" s="141" t="s">
        <v>62</v>
      </c>
      <c r="J320" s="147"/>
      <c r="K320" s="146"/>
      <c r="L320" s="147">
        <v>44467</v>
      </c>
      <c r="M320" s="146">
        <v>496089</v>
      </c>
      <c r="N320" s="147"/>
      <c r="O320" s="146"/>
      <c r="P320" s="147">
        <v>11124</v>
      </c>
      <c r="Q320" s="146">
        <v>43063</v>
      </c>
      <c r="R320" s="147">
        <v>83490</v>
      </c>
      <c r="S320" s="146">
        <v>394750</v>
      </c>
      <c r="T320" s="147"/>
      <c r="U320" s="146"/>
      <c r="V320" s="147">
        <v>19712</v>
      </c>
      <c r="W320" s="146">
        <v>115377</v>
      </c>
      <c r="X320" s="32">
        <v>483</v>
      </c>
      <c r="Y320" s="147"/>
      <c r="Z320" s="146"/>
      <c r="AA320" s="147">
        <v>919.4</v>
      </c>
      <c r="AB320" s="146">
        <v>6586</v>
      </c>
      <c r="AC320" s="147"/>
      <c r="AD320" s="146"/>
      <c r="AE320" s="147">
        <v>290.5</v>
      </c>
      <c r="AF320" s="146">
        <v>401.3</v>
      </c>
      <c r="AG320" s="147"/>
      <c r="AH320" s="146"/>
      <c r="AI320" s="147">
        <v>519</v>
      </c>
      <c r="AJ320" s="146">
        <v>977.4</v>
      </c>
      <c r="AK320" s="147">
        <v>1955</v>
      </c>
      <c r="AL320" s="146">
        <v>3602</v>
      </c>
      <c r="AM320" s="200">
        <v>483</v>
      </c>
    </row>
    <row r="321" spans="1:39" ht="24" customHeight="1">
      <c r="A321" s="206">
        <v>484</v>
      </c>
      <c r="B321" s="205">
        <v>17949</v>
      </c>
      <c r="C321" s="205">
        <v>43845</v>
      </c>
      <c r="D321" s="204">
        <v>70</v>
      </c>
      <c r="E321" s="4" t="s">
        <v>58</v>
      </c>
      <c r="F321" s="143" t="s">
        <v>116</v>
      </c>
      <c r="G321" s="142">
        <v>29.771870660583218</v>
      </c>
      <c r="H321" s="11" t="s">
        <v>59</v>
      </c>
      <c r="I321" s="141" t="s">
        <v>62</v>
      </c>
      <c r="J321" s="147"/>
      <c r="K321" s="146"/>
      <c r="L321" s="147">
        <v>137163</v>
      </c>
      <c r="M321" s="146">
        <v>184367</v>
      </c>
      <c r="N321" s="147"/>
      <c r="O321" s="146"/>
      <c r="P321" s="147">
        <v>229670</v>
      </c>
      <c r="Q321" s="146">
        <v>177928</v>
      </c>
      <c r="R321" s="147"/>
      <c r="S321" s="146"/>
      <c r="T321" s="147"/>
      <c r="U321" s="146"/>
      <c r="V321" s="147">
        <v>108797</v>
      </c>
      <c r="W321" s="146">
        <v>118000</v>
      </c>
      <c r="X321" s="203">
        <v>484</v>
      </c>
      <c r="Y321" s="147"/>
      <c r="Z321" s="146"/>
      <c r="AA321" s="147">
        <v>1599</v>
      </c>
      <c r="AB321" s="146">
        <v>1770</v>
      </c>
      <c r="AC321" s="147"/>
      <c r="AD321" s="146"/>
      <c r="AE321" s="147">
        <v>558.6</v>
      </c>
      <c r="AF321" s="146">
        <v>674.9</v>
      </c>
      <c r="AG321" s="147"/>
      <c r="AH321" s="146"/>
      <c r="AI321" s="147">
        <v>2540</v>
      </c>
      <c r="AJ321" s="146">
        <v>3170</v>
      </c>
      <c r="AK321" s="147">
        <v>2796</v>
      </c>
      <c r="AL321" s="146">
        <v>3838</v>
      </c>
      <c r="AM321" s="202">
        <v>484</v>
      </c>
    </row>
    <row r="322" spans="1:39" ht="24" customHeight="1">
      <c r="A322" s="196">
        <v>485</v>
      </c>
      <c r="B322" s="180">
        <v>22432</v>
      </c>
      <c r="C322" s="180">
        <v>43855</v>
      </c>
      <c r="D322" s="179">
        <v>58</v>
      </c>
      <c r="E322" s="3" t="s">
        <v>61</v>
      </c>
      <c r="F322" s="143" t="s">
        <v>116</v>
      </c>
      <c r="G322" s="142">
        <v>26.298385122925421</v>
      </c>
      <c r="H322" s="11" t="s">
        <v>59</v>
      </c>
      <c r="I322" s="141" t="s">
        <v>62</v>
      </c>
      <c r="J322" s="147"/>
      <c r="K322" s="146"/>
      <c r="L322" s="147">
        <v>112738</v>
      </c>
      <c r="M322" s="146">
        <v>213563</v>
      </c>
      <c r="N322" s="147"/>
      <c r="O322" s="146"/>
      <c r="P322" s="147">
        <v>79736</v>
      </c>
      <c r="Q322" s="146">
        <v>206838</v>
      </c>
      <c r="R322" s="147"/>
      <c r="S322" s="146"/>
      <c r="T322" s="147"/>
      <c r="U322" s="146"/>
      <c r="V322" s="147">
        <v>111425</v>
      </c>
      <c r="W322" s="146">
        <v>124465</v>
      </c>
      <c r="X322" s="195">
        <v>485</v>
      </c>
      <c r="Y322" s="147"/>
      <c r="Z322" s="146"/>
      <c r="AA322" s="147">
        <v>3870</v>
      </c>
      <c r="AB322" s="146">
        <v>5200</v>
      </c>
      <c r="AC322" s="147"/>
      <c r="AD322" s="146"/>
      <c r="AE322" s="147">
        <v>112</v>
      </c>
      <c r="AF322" s="146">
        <v>581.5</v>
      </c>
      <c r="AG322" s="147"/>
      <c r="AH322" s="146"/>
      <c r="AI322" s="147">
        <v>3719</v>
      </c>
      <c r="AJ322" s="146">
        <v>5136</v>
      </c>
      <c r="AK322" s="147">
        <v>4547</v>
      </c>
      <c r="AL322" s="146">
        <v>6579</v>
      </c>
      <c r="AM322" s="194">
        <v>485</v>
      </c>
    </row>
    <row r="323" spans="1:39" ht="24" customHeight="1">
      <c r="A323" s="199">
        <v>486</v>
      </c>
      <c r="B323" s="190">
        <v>29596</v>
      </c>
      <c r="C323" s="190">
        <v>43843</v>
      </c>
      <c r="D323" s="189">
        <v>39</v>
      </c>
      <c r="E323" s="3" t="s">
        <v>61</v>
      </c>
      <c r="F323" s="143" t="s">
        <v>116</v>
      </c>
      <c r="G323" s="142">
        <v>30.217217648834069</v>
      </c>
      <c r="H323" s="11" t="s">
        <v>59</v>
      </c>
      <c r="I323" s="141" t="s">
        <v>62</v>
      </c>
      <c r="J323" s="147"/>
      <c r="K323" s="146"/>
      <c r="L323" s="147">
        <v>111942</v>
      </c>
      <c r="M323" s="146">
        <v>148005</v>
      </c>
      <c r="N323" s="147"/>
      <c r="O323" s="146"/>
      <c r="P323" s="147">
        <v>117653</v>
      </c>
      <c r="Q323" s="146">
        <v>269031</v>
      </c>
      <c r="R323" s="147"/>
      <c r="S323" s="146"/>
      <c r="T323" s="147"/>
      <c r="U323" s="146"/>
      <c r="V323" s="147">
        <v>60613</v>
      </c>
      <c r="W323" s="146">
        <v>314281</v>
      </c>
      <c r="X323" s="198">
        <v>486</v>
      </c>
      <c r="Y323" s="147"/>
      <c r="Z323" s="146"/>
      <c r="AA323" s="147">
        <v>578</v>
      </c>
      <c r="AB323" s="146">
        <v>1108</v>
      </c>
      <c r="AC323" s="147"/>
      <c r="AD323" s="146"/>
      <c r="AE323" s="147">
        <v>532.1</v>
      </c>
      <c r="AF323" s="146">
        <v>975.1</v>
      </c>
      <c r="AG323" s="147"/>
      <c r="AH323" s="146"/>
      <c r="AI323" s="147">
        <v>5059</v>
      </c>
      <c r="AJ323" s="146">
        <v>8731</v>
      </c>
      <c r="AK323" s="147">
        <v>11079</v>
      </c>
      <c r="AL323" s="146"/>
      <c r="AM323" s="197">
        <v>486</v>
      </c>
    </row>
    <row r="324" spans="1:39" ht="24" customHeight="1">
      <c r="A324" s="201">
        <v>487</v>
      </c>
      <c r="B324" s="183">
        <v>34478</v>
      </c>
      <c r="C324" s="183">
        <v>43845</v>
      </c>
      <c r="D324" s="182">
        <v>25</v>
      </c>
      <c r="E324" s="4" t="s">
        <v>58</v>
      </c>
      <c r="F324" s="143" t="s">
        <v>117</v>
      </c>
      <c r="G324" s="142">
        <v>23.719271908425597</v>
      </c>
      <c r="H324" s="11" t="s">
        <v>59</v>
      </c>
      <c r="I324" s="141" t="s">
        <v>62</v>
      </c>
      <c r="J324" s="147"/>
      <c r="K324" s="146"/>
      <c r="L324" s="147">
        <v>30909</v>
      </c>
      <c r="M324" s="146">
        <v>172606</v>
      </c>
      <c r="N324" s="147"/>
      <c r="O324" s="146"/>
      <c r="P324" s="147">
        <v>37141</v>
      </c>
      <c r="Q324" s="146">
        <v>63258</v>
      </c>
      <c r="R324" s="147"/>
      <c r="S324" s="146"/>
      <c r="T324" s="147"/>
      <c r="U324" s="146"/>
      <c r="V324" s="147">
        <v>68657</v>
      </c>
      <c r="W324" s="146">
        <v>220810</v>
      </c>
      <c r="X324" s="32">
        <v>487</v>
      </c>
      <c r="Y324" s="147"/>
      <c r="Z324" s="146"/>
      <c r="AA324" s="147">
        <v>2034</v>
      </c>
      <c r="AB324" s="146">
        <v>6337</v>
      </c>
      <c r="AC324" s="147"/>
      <c r="AD324" s="146"/>
      <c r="AE324" s="147">
        <v>2419</v>
      </c>
      <c r="AF324" s="146">
        <v>8312</v>
      </c>
      <c r="AG324" s="147"/>
      <c r="AH324" s="146"/>
      <c r="AI324" s="147">
        <v>1571</v>
      </c>
      <c r="AJ324" s="146">
        <v>4862</v>
      </c>
      <c r="AK324" s="147">
        <v>3147</v>
      </c>
      <c r="AL324" s="146">
        <v>7863</v>
      </c>
      <c r="AM324" s="200">
        <v>487</v>
      </c>
    </row>
    <row r="325" spans="1:39" ht="24" customHeight="1">
      <c r="A325" s="199">
        <v>488</v>
      </c>
      <c r="B325" s="190">
        <v>27803</v>
      </c>
      <c r="C325" s="190">
        <v>43845</v>
      </c>
      <c r="D325" s="189">
        <v>43</v>
      </c>
      <c r="E325" s="3" t="s">
        <v>61</v>
      </c>
      <c r="F325" s="143" t="s">
        <v>117</v>
      </c>
      <c r="G325" s="142">
        <v>24.20601733571138</v>
      </c>
      <c r="H325" s="11" t="s">
        <v>59</v>
      </c>
      <c r="I325" s="141" t="s">
        <v>62</v>
      </c>
      <c r="J325" s="147"/>
      <c r="K325" s="146"/>
      <c r="L325" s="147">
        <v>44734</v>
      </c>
      <c r="M325" s="146">
        <v>206267</v>
      </c>
      <c r="N325" s="147"/>
      <c r="O325" s="146"/>
      <c r="P325" s="147">
        <v>21081</v>
      </c>
      <c r="Q325" s="146">
        <v>42892</v>
      </c>
      <c r="R325" s="147">
        <v>127291</v>
      </c>
      <c r="S325" s="146">
        <v>228903</v>
      </c>
      <c r="T325" s="147"/>
      <c r="U325" s="146"/>
      <c r="V325" s="147">
        <v>33069</v>
      </c>
      <c r="W325" s="146">
        <v>94476</v>
      </c>
      <c r="X325" s="198">
        <v>488</v>
      </c>
      <c r="Y325" s="147"/>
      <c r="Z325" s="146"/>
      <c r="AA325" s="147"/>
      <c r="AB325" s="146"/>
      <c r="AC325" s="147"/>
      <c r="AD325" s="146"/>
      <c r="AE325" s="147"/>
      <c r="AF325" s="146"/>
      <c r="AG325" s="147"/>
      <c r="AH325" s="146"/>
      <c r="AI325" s="147"/>
      <c r="AJ325" s="146"/>
      <c r="AK325" s="147"/>
      <c r="AL325" s="146"/>
      <c r="AM325" s="197">
        <v>488</v>
      </c>
    </row>
    <row r="326" spans="1:39" ht="24" customHeight="1">
      <c r="A326" s="201">
        <v>489</v>
      </c>
      <c r="B326" s="183">
        <v>33492</v>
      </c>
      <c r="C326" s="183">
        <v>43845</v>
      </c>
      <c r="D326" s="182">
        <v>28</v>
      </c>
      <c r="E326" s="4" t="s">
        <v>58</v>
      </c>
      <c r="F326" s="143" t="s">
        <v>116</v>
      </c>
      <c r="G326" s="142">
        <v>26.937169763397108</v>
      </c>
      <c r="H326" s="11" t="s">
        <v>59</v>
      </c>
      <c r="I326" s="141" t="s">
        <v>62</v>
      </c>
      <c r="J326" s="147"/>
      <c r="K326" s="146"/>
      <c r="L326" s="147">
        <v>84316</v>
      </c>
      <c r="M326" s="146">
        <v>93061</v>
      </c>
      <c r="N326" s="147"/>
      <c r="O326" s="146"/>
      <c r="P326" s="147">
        <v>12794</v>
      </c>
      <c r="Q326" s="146">
        <v>21585</v>
      </c>
      <c r="R326" s="147">
        <v>81294</v>
      </c>
      <c r="S326" s="146">
        <v>117450</v>
      </c>
      <c r="T326" s="147"/>
      <c r="U326" s="146"/>
      <c r="V326" s="147">
        <v>617374</v>
      </c>
      <c r="W326" s="146">
        <v>861873</v>
      </c>
      <c r="X326" s="32">
        <v>489</v>
      </c>
      <c r="Y326" s="147"/>
      <c r="Z326" s="146"/>
      <c r="AA326" s="147"/>
      <c r="AB326" s="146"/>
      <c r="AC326" s="147"/>
      <c r="AD326" s="146"/>
      <c r="AE326" s="147"/>
      <c r="AF326" s="146"/>
      <c r="AG326" s="147"/>
      <c r="AH326" s="146"/>
      <c r="AI326" s="147">
        <v>2440</v>
      </c>
      <c r="AJ326" s="146">
        <v>2438</v>
      </c>
      <c r="AK326" s="147"/>
      <c r="AL326" s="146"/>
      <c r="AM326" s="200">
        <v>489</v>
      </c>
    </row>
    <row r="327" spans="1:39" ht="24" customHeight="1">
      <c r="A327" s="199">
        <v>490</v>
      </c>
      <c r="B327" s="190">
        <v>28457</v>
      </c>
      <c r="C327" s="190">
        <v>43846</v>
      </c>
      <c r="D327" s="189">
        <v>42</v>
      </c>
      <c r="E327" s="4" t="s">
        <v>58</v>
      </c>
      <c r="F327" s="143" t="s">
        <v>116</v>
      </c>
      <c r="G327" s="142">
        <v>25.479822936823659</v>
      </c>
      <c r="H327" s="11" t="s">
        <v>59</v>
      </c>
      <c r="I327" s="141" t="s">
        <v>62</v>
      </c>
      <c r="J327" s="147"/>
      <c r="K327" s="146"/>
      <c r="L327" s="147">
        <v>94227</v>
      </c>
      <c r="M327" s="146">
        <v>177945</v>
      </c>
      <c r="N327" s="147"/>
      <c r="O327" s="146"/>
      <c r="P327" s="147">
        <v>13275</v>
      </c>
      <c r="Q327" s="146">
        <v>57297</v>
      </c>
      <c r="R327" s="147">
        <v>45792</v>
      </c>
      <c r="S327" s="146">
        <v>71464</v>
      </c>
      <c r="T327" s="147"/>
      <c r="U327" s="146"/>
      <c r="V327" s="147">
        <v>96161</v>
      </c>
      <c r="W327" s="146">
        <v>203698</v>
      </c>
      <c r="X327" s="198">
        <v>490</v>
      </c>
      <c r="Y327" s="147"/>
      <c r="Z327" s="146"/>
      <c r="AA327" s="147"/>
      <c r="AB327" s="146"/>
      <c r="AC327" s="147"/>
      <c r="AD327" s="146"/>
      <c r="AE327" s="147"/>
      <c r="AF327" s="146"/>
      <c r="AG327" s="147"/>
      <c r="AH327" s="146"/>
      <c r="AI327" s="147">
        <v>6431</v>
      </c>
      <c r="AJ327" s="146">
        <v>7655</v>
      </c>
      <c r="AK327" s="147"/>
      <c r="AL327" s="146"/>
      <c r="AM327" s="197">
        <v>490</v>
      </c>
    </row>
    <row r="328" spans="1:39" ht="24" customHeight="1">
      <c r="A328" s="199">
        <v>491</v>
      </c>
      <c r="B328" s="190">
        <v>30341</v>
      </c>
      <c r="C328" s="190">
        <v>43847</v>
      </c>
      <c r="D328" s="189">
        <v>36</v>
      </c>
      <c r="E328" s="4" t="s">
        <v>58</v>
      </c>
      <c r="F328" s="143" t="s">
        <v>116</v>
      </c>
      <c r="G328" s="142">
        <v>37.740842104108495</v>
      </c>
      <c r="H328" s="11" t="s">
        <v>59</v>
      </c>
      <c r="I328" s="141" t="s">
        <v>62</v>
      </c>
      <c r="J328" s="147"/>
      <c r="K328" s="146"/>
      <c r="L328" s="147">
        <v>159769</v>
      </c>
      <c r="M328" s="146">
        <v>177171</v>
      </c>
      <c r="N328" s="147"/>
      <c r="O328" s="146"/>
      <c r="P328" s="147">
        <v>26850</v>
      </c>
      <c r="Q328" s="146">
        <v>51443</v>
      </c>
      <c r="R328" s="147">
        <v>49774</v>
      </c>
      <c r="S328" s="146">
        <v>78327</v>
      </c>
      <c r="T328" s="147"/>
      <c r="U328" s="146"/>
      <c r="V328" s="147">
        <v>87333</v>
      </c>
      <c r="W328" s="146">
        <v>209859</v>
      </c>
      <c r="X328" s="198">
        <v>491</v>
      </c>
      <c r="Y328" s="147"/>
      <c r="Z328" s="146"/>
      <c r="AA328" s="147"/>
      <c r="AB328" s="146"/>
      <c r="AC328" s="147"/>
      <c r="AD328" s="146"/>
      <c r="AE328" s="147"/>
      <c r="AF328" s="146"/>
      <c r="AG328" s="147"/>
      <c r="AH328" s="146"/>
      <c r="AI328" s="147">
        <v>5036</v>
      </c>
      <c r="AJ328" s="146">
        <v>5861</v>
      </c>
      <c r="AK328" s="147"/>
      <c r="AL328" s="146"/>
      <c r="AM328" s="197">
        <v>491</v>
      </c>
    </row>
    <row r="329" spans="1:39" ht="24" customHeight="1">
      <c r="A329" s="199">
        <v>492</v>
      </c>
      <c r="B329" s="190">
        <v>28322</v>
      </c>
      <c r="C329" s="190">
        <v>43859</v>
      </c>
      <c r="D329" s="189">
        <v>42</v>
      </c>
      <c r="E329" s="4" t="s">
        <v>58</v>
      </c>
      <c r="F329" s="143" t="s">
        <v>116</v>
      </c>
      <c r="G329" s="142">
        <v>26.463115359096509</v>
      </c>
      <c r="H329" s="11" t="s">
        <v>59</v>
      </c>
      <c r="I329" s="141" t="s">
        <v>62</v>
      </c>
      <c r="J329" s="147"/>
      <c r="K329" s="146"/>
      <c r="L329" s="147">
        <v>13938</v>
      </c>
      <c r="M329" s="146">
        <v>12030</v>
      </c>
      <c r="N329" s="147"/>
      <c r="O329" s="146"/>
      <c r="P329" s="147">
        <v>6712</v>
      </c>
      <c r="Q329" s="146">
        <v>6199</v>
      </c>
      <c r="R329" s="147">
        <v>46734</v>
      </c>
      <c r="S329" s="146">
        <v>48290</v>
      </c>
      <c r="T329" s="147"/>
      <c r="U329" s="146"/>
      <c r="V329" s="147">
        <v>18993</v>
      </c>
      <c r="W329" s="146">
        <v>26922</v>
      </c>
      <c r="X329" s="198">
        <v>492</v>
      </c>
      <c r="Y329" s="147"/>
      <c r="Z329" s="146"/>
      <c r="AA329" s="147"/>
      <c r="AB329" s="146"/>
      <c r="AC329" s="147"/>
      <c r="AD329" s="146"/>
      <c r="AE329" s="147"/>
      <c r="AF329" s="146"/>
      <c r="AG329" s="147"/>
      <c r="AH329" s="146"/>
      <c r="AI329" s="147">
        <v>2687</v>
      </c>
      <c r="AJ329" s="146">
        <v>4616</v>
      </c>
      <c r="AK329" s="147"/>
      <c r="AL329" s="146"/>
      <c r="AM329" s="197">
        <v>492</v>
      </c>
    </row>
    <row r="330" spans="1:39" ht="24" customHeight="1">
      <c r="A330" s="199">
        <v>493</v>
      </c>
      <c r="B330" s="190">
        <v>30435</v>
      </c>
      <c r="C330" s="190">
        <v>43851</v>
      </c>
      <c r="D330" s="189">
        <v>36</v>
      </c>
      <c r="E330" s="4" t="s">
        <v>58</v>
      </c>
      <c r="F330" s="143" t="s">
        <v>116</v>
      </c>
      <c r="G330" s="142">
        <v>28.608465803385585</v>
      </c>
      <c r="H330" s="11" t="s">
        <v>59</v>
      </c>
      <c r="I330" s="141" t="s">
        <v>62</v>
      </c>
      <c r="J330" s="147"/>
      <c r="K330" s="146"/>
      <c r="L330" s="147">
        <v>19619</v>
      </c>
      <c r="M330" s="146">
        <v>190231</v>
      </c>
      <c r="N330" s="147"/>
      <c r="O330" s="146"/>
      <c r="P330" s="147">
        <v>10002</v>
      </c>
      <c r="Q330" s="146">
        <v>104157</v>
      </c>
      <c r="R330" s="147">
        <v>18833</v>
      </c>
      <c r="S330" s="146">
        <v>131132</v>
      </c>
      <c r="T330" s="147"/>
      <c r="U330" s="146"/>
      <c r="V330" s="147">
        <v>31274</v>
      </c>
      <c r="W330" s="146">
        <v>531844</v>
      </c>
      <c r="X330" s="198">
        <v>493</v>
      </c>
      <c r="Y330" s="147"/>
      <c r="Z330" s="146"/>
      <c r="AA330" s="147"/>
      <c r="AB330" s="146"/>
      <c r="AC330" s="147"/>
      <c r="AD330" s="146"/>
      <c r="AE330" s="147"/>
      <c r="AF330" s="146"/>
      <c r="AG330" s="147"/>
      <c r="AH330" s="146"/>
      <c r="AI330" s="147">
        <v>19687</v>
      </c>
      <c r="AJ330" s="146">
        <v>111200</v>
      </c>
      <c r="AK330" s="147"/>
      <c r="AL330" s="146"/>
      <c r="AM330" s="197">
        <v>493</v>
      </c>
    </row>
    <row r="331" spans="1:39" ht="24" customHeight="1">
      <c r="A331" s="199">
        <v>494</v>
      </c>
      <c r="B331" s="190">
        <v>29253</v>
      </c>
      <c r="C331" s="190">
        <v>43852</v>
      </c>
      <c r="D331" s="189">
        <v>39</v>
      </c>
      <c r="E331" s="3" t="s">
        <v>61</v>
      </c>
      <c r="F331" s="143" t="s">
        <v>116</v>
      </c>
      <c r="G331" s="142">
        <v>32.367763217701672</v>
      </c>
      <c r="H331" s="11" t="s">
        <v>59</v>
      </c>
      <c r="I331" s="141" t="s">
        <v>62</v>
      </c>
      <c r="J331" s="147"/>
      <c r="K331" s="146"/>
      <c r="L331" s="147"/>
      <c r="M331" s="146"/>
      <c r="N331" s="147"/>
      <c r="O331" s="146"/>
      <c r="P331" s="147"/>
      <c r="Q331" s="146"/>
      <c r="R331" s="147"/>
      <c r="S331" s="146"/>
      <c r="T331" s="147"/>
      <c r="U331" s="146"/>
      <c r="V331" s="147"/>
      <c r="W331" s="146"/>
      <c r="X331" s="198">
        <v>494</v>
      </c>
      <c r="Y331" s="147"/>
      <c r="Z331" s="146"/>
      <c r="AA331" s="147"/>
      <c r="AB331" s="146"/>
      <c r="AC331" s="147"/>
      <c r="AD331" s="146"/>
      <c r="AE331" s="147"/>
      <c r="AF331" s="146"/>
      <c r="AG331" s="147"/>
      <c r="AH331" s="146"/>
      <c r="AI331" s="147"/>
      <c r="AJ331" s="146"/>
      <c r="AK331" s="147"/>
      <c r="AL331" s="146"/>
      <c r="AM331" s="197">
        <v>494</v>
      </c>
    </row>
    <row r="332" spans="1:39" ht="24" customHeight="1">
      <c r="A332" s="199">
        <v>495</v>
      </c>
      <c r="B332" s="190">
        <v>28959</v>
      </c>
      <c r="C332" s="190">
        <v>43853</v>
      </c>
      <c r="D332" s="189">
        <v>40</v>
      </c>
      <c r="E332" s="3" t="s">
        <v>61</v>
      </c>
      <c r="F332" s="143" t="s">
        <v>117</v>
      </c>
      <c r="G332" s="142">
        <v>45.820312499999993</v>
      </c>
      <c r="H332" s="11" t="s">
        <v>59</v>
      </c>
      <c r="I332" s="141" t="s">
        <v>62</v>
      </c>
      <c r="J332" s="147"/>
      <c r="K332" s="146"/>
      <c r="L332" s="147"/>
      <c r="M332" s="146"/>
      <c r="N332" s="147"/>
      <c r="O332" s="146"/>
      <c r="P332" s="147"/>
      <c r="Q332" s="146"/>
      <c r="R332" s="147"/>
      <c r="S332" s="146"/>
      <c r="T332" s="147"/>
      <c r="U332" s="146"/>
      <c r="V332" s="147"/>
      <c r="W332" s="146"/>
      <c r="X332" s="198">
        <v>495</v>
      </c>
      <c r="Y332" s="147"/>
      <c r="Z332" s="146"/>
      <c r="AA332" s="147"/>
      <c r="AB332" s="146"/>
      <c r="AC332" s="147"/>
      <c r="AD332" s="146"/>
      <c r="AE332" s="147"/>
      <c r="AF332" s="146"/>
      <c r="AG332" s="147"/>
      <c r="AH332" s="146"/>
      <c r="AI332" s="147"/>
      <c r="AJ332" s="146"/>
      <c r="AK332" s="147"/>
      <c r="AL332" s="146"/>
      <c r="AM332" s="197">
        <v>495</v>
      </c>
    </row>
    <row r="333" spans="1:39" ht="24" customHeight="1">
      <c r="A333" s="199">
        <v>496</v>
      </c>
      <c r="B333" s="190">
        <v>28280</v>
      </c>
      <c r="C333" s="190">
        <v>43853</v>
      </c>
      <c r="D333" s="189">
        <v>42</v>
      </c>
      <c r="E333" s="3" t="s">
        <v>61</v>
      </c>
      <c r="F333" s="143" t="s">
        <v>123</v>
      </c>
      <c r="G333" s="142">
        <v>44.232938670150361</v>
      </c>
      <c r="H333" s="11" t="s">
        <v>59</v>
      </c>
      <c r="I333" s="141" t="s">
        <v>62</v>
      </c>
      <c r="J333" s="147"/>
      <c r="K333" s="146"/>
      <c r="L333" s="147"/>
      <c r="M333" s="146"/>
      <c r="N333" s="147"/>
      <c r="O333" s="146"/>
      <c r="P333" s="147"/>
      <c r="Q333" s="146"/>
      <c r="R333" s="147"/>
      <c r="S333" s="146"/>
      <c r="T333" s="147"/>
      <c r="U333" s="146"/>
      <c r="V333" s="147"/>
      <c r="W333" s="146"/>
      <c r="X333" s="198">
        <v>496</v>
      </c>
      <c r="Y333" s="147"/>
      <c r="Z333" s="146"/>
      <c r="AA333" s="147"/>
      <c r="AB333" s="146"/>
      <c r="AC333" s="147"/>
      <c r="AD333" s="146"/>
      <c r="AE333" s="147"/>
      <c r="AF333" s="146"/>
      <c r="AG333" s="147"/>
      <c r="AH333" s="146"/>
      <c r="AI333" s="147"/>
      <c r="AJ333" s="146"/>
      <c r="AK333" s="147"/>
      <c r="AL333" s="146"/>
      <c r="AM333" s="197">
        <v>496</v>
      </c>
    </row>
    <row r="334" spans="1:39" ht="24" customHeight="1">
      <c r="A334" s="199">
        <v>497</v>
      </c>
      <c r="B334" s="190">
        <v>32345</v>
      </c>
      <c r="C334" s="190">
        <v>43851</v>
      </c>
      <c r="D334" s="189">
        <v>31</v>
      </c>
      <c r="E334" s="3" t="s">
        <v>61</v>
      </c>
      <c r="F334" s="143" t="s">
        <v>118</v>
      </c>
      <c r="G334" s="142">
        <v>35.381714411101349</v>
      </c>
      <c r="H334" s="11" t="s">
        <v>59</v>
      </c>
      <c r="I334" s="141" t="s">
        <v>62</v>
      </c>
      <c r="J334" s="147"/>
      <c r="K334" s="146"/>
      <c r="L334" s="147"/>
      <c r="M334" s="146"/>
      <c r="N334" s="147"/>
      <c r="O334" s="146"/>
      <c r="P334" s="147"/>
      <c r="Q334" s="146"/>
      <c r="R334" s="147"/>
      <c r="S334" s="146"/>
      <c r="T334" s="147"/>
      <c r="U334" s="146"/>
      <c r="V334" s="147"/>
      <c r="W334" s="146"/>
      <c r="X334" s="198">
        <v>497</v>
      </c>
      <c r="Y334" s="147"/>
      <c r="Z334" s="146"/>
      <c r="AA334" s="147"/>
      <c r="AB334" s="146"/>
      <c r="AC334" s="147"/>
      <c r="AD334" s="146"/>
      <c r="AE334" s="147"/>
      <c r="AF334" s="146"/>
      <c r="AG334" s="147"/>
      <c r="AH334" s="146"/>
      <c r="AI334" s="147"/>
      <c r="AJ334" s="146"/>
      <c r="AK334" s="147"/>
      <c r="AL334" s="146"/>
      <c r="AM334" s="197">
        <v>497</v>
      </c>
    </row>
    <row r="335" spans="1:39" ht="24" customHeight="1">
      <c r="A335" s="201">
        <v>498</v>
      </c>
      <c r="B335" s="183">
        <v>36326</v>
      </c>
      <c r="C335" s="183">
        <v>43857</v>
      </c>
      <c r="D335" s="182">
        <v>20</v>
      </c>
      <c r="E335" s="4" t="s">
        <v>58</v>
      </c>
      <c r="F335" s="143" t="s">
        <v>63</v>
      </c>
      <c r="G335" s="142">
        <v>30.791659646821017</v>
      </c>
      <c r="H335" s="11" t="s">
        <v>59</v>
      </c>
      <c r="I335" s="141" t="s">
        <v>62</v>
      </c>
      <c r="J335" s="147"/>
      <c r="K335" s="146"/>
      <c r="L335" s="147"/>
      <c r="M335" s="146"/>
      <c r="N335" s="147"/>
      <c r="O335" s="146"/>
      <c r="P335" s="147"/>
      <c r="Q335" s="146"/>
      <c r="R335" s="147"/>
      <c r="S335" s="146"/>
      <c r="T335" s="147"/>
      <c r="U335" s="146"/>
      <c r="V335" s="147"/>
      <c r="W335" s="146"/>
      <c r="X335" s="32">
        <v>498</v>
      </c>
      <c r="Y335" s="147"/>
      <c r="Z335" s="146"/>
      <c r="AA335" s="147"/>
      <c r="AB335" s="146"/>
      <c r="AC335" s="147"/>
      <c r="AD335" s="146"/>
      <c r="AE335" s="147"/>
      <c r="AF335" s="146"/>
      <c r="AG335" s="147"/>
      <c r="AH335" s="146"/>
      <c r="AI335" s="147"/>
      <c r="AJ335" s="146"/>
      <c r="AK335" s="147"/>
      <c r="AL335" s="146"/>
      <c r="AM335" s="200">
        <v>498</v>
      </c>
    </row>
    <row r="336" spans="1:39" ht="24" customHeight="1">
      <c r="A336" s="199">
        <v>499</v>
      </c>
      <c r="B336" s="190">
        <v>28785</v>
      </c>
      <c r="C336" s="190">
        <v>43858</v>
      </c>
      <c r="D336" s="189">
        <v>41</v>
      </c>
      <c r="E336" s="3" t="s">
        <v>61</v>
      </c>
      <c r="F336" s="143" t="s">
        <v>123</v>
      </c>
      <c r="G336" s="142">
        <v>28.93733026626283</v>
      </c>
      <c r="H336" s="11" t="s">
        <v>59</v>
      </c>
      <c r="I336" s="141" t="s">
        <v>62</v>
      </c>
      <c r="J336" s="147"/>
      <c r="K336" s="146"/>
      <c r="L336" s="147"/>
      <c r="M336" s="146"/>
      <c r="N336" s="147"/>
      <c r="O336" s="146"/>
      <c r="P336" s="147"/>
      <c r="Q336" s="146"/>
      <c r="R336" s="147"/>
      <c r="S336" s="146"/>
      <c r="T336" s="147"/>
      <c r="U336" s="146"/>
      <c r="V336" s="147"/>
      <c r="W336" s="146"/>
      <c r="X336" s="198">
        <v>499</v>
      </c>
      <c r="Y336" s="147"/>
      <c r="Z336" s="146"/>
      <c r="AA336" s="147"/>
      <c r="AB336" s="146"/>
      <c r="AC336" s="147"/>
      <c r="AD336" s="146"/>
      <c r="AE336" s="147"/>
      <c r="AF336" s="146"/>
      <c r="AG336" s="147"/>
      <c r="AH336" s="146"/>
      <c r="AI336" s="147"/>
      <c r="AJ336" s="146"/>
      <c r="AK336" s="147"/>
      <c r="AL336" s="146"/>
      <c r="AM336" s="197">
        <v>499</v>
      </c>
    </row>
    <row r="337" spans="1:39" ht="24" customHeight="1">
      <c r="A337" s="201">
        <v>500</v>
      </c>
      <c r="B337" s="183">
        <v>33959</v>
      </c>
      <c r="C337" s="183">
        <v>43866</v>
      </c>
      <c r="D337" s="182">
        <v>27</v>
      </c>
      <c r="E337" s="4" t="s">
        <v>58</v>
      </c>
      <c r="F337" s="143" t="s">
        <v>123</v>
      </c>
      <c r="G337" s="142">
        <v>31.943166295263971</v>
      </c>
      <c r="H337" s="11" t="s">
        <v>59</v>
      </c>
      <c r="I337" s="141" t="s">
        <v>62</v>
      </c>
      <c r="J337" s="147"/>
      <c r="K337" s="146"/>
      <c r="L337" s="147"/>
      <c r="M337" s="146"/>
      <c r="N337" s="147"/>
      <c r="O337" s="146"/>
      <c r="P337" s="147"/>
      <c r="Q337" s="146"/>
      <c r="R337" s="147"/>
      <c r="S337" s="146"/>
      <c r="T337" s="147"/>
      <c r="U337" s="146"/>
      <c r="V337" s="147"/>
      <c r="W337" s="146"/>
      <c r="X337" s="32">
        <v>500</v>
      </c>
      <c r="Y337" s="147"/>
      <c r="Z337" s="146"/>
      <c r="AA337" s="147"/>
      <c r="AB337" s="146"/>
      <c r="AC337" s="147"/>
      <c r="AD337" s="146"/>
      <c r="AE337" s="147"/>
      <c r="AF337" s="146"/>
      <c r="AG337" s="147"/>
      <c r="AH337" s="146"/>
      <c r="AI337" s="147"/>
      <c r="AJ337" s="146"/>
      <c r="AK337" s="147"/>
      <c r="AL337" s="146"/>
      <c r="AM337" s="200">
        <v>500</v>
      </c>
    </row>
    <row r="338" spans="1:39" ht="24" customHeight="1">
      <c r="A338" s="199">
        <v>501</v>
      </c>
      <c r="B338" s="190">
        <v>25901</v>
      </c>
      <c r="C338" s="190">
        <v>43853</v>
      </c>
      <c r="D338" s="189">
        <v>49</v>
      </c>
      <c r="E338" s="3" t="s">
        <v>61</v>
      </c>
      <c r="F338" s="143" t="s">
        <v>117</v>
      </c>
      <c r="G338" s="142">
        <v>34.437627778205218</v>
      </c>
      <c r="H338" s="11" t="s">
        <v>59</v>
      </c>
      <c r="I338" s="141" t="s">
        <v>62</v>
      </c>
      <c r="J338" s="147"/>
      <c r="K338" s="146"/>
      <c r="L338" s="147"/>
      <c r="M338" s="146"/>
      <c r="N338" s="147"/>
      <c r="O338" s="146"/>
      <c r="P338" s="147"/>
      <c r="Q338" s="146"/>
      <c r="R338" s="147"/>
      <c r="S338" s="146"/>
      <c r="T338" s="147"/>
      <c r="U338" s="146"/>
      <c r="V338" s="147"/>
      <c r="W338" s="146"/>
      <c r="X338" s="198">
        <v>501</v>
      </c>
      <c r="Y338" s="147"/>
      <c r="Z338" s="146"/>
      <c r="AA338" s="147"/>
      <c r="AB338" s="146"/>
      <c r="AC338" s="147"/>
      <c r="AD338" s="146"/>
      <c r="AE338" s="147"/>
      <c r="AF338" s="146"/>
      <c r="AG338" s="147"/>
      <c r="AH338" s="146"/>
      <c r="AI338" s="147"/>
      <c r="AJ338" s="146"/>
      <c r="AK338" s="147"/>
      <c r="AL338" s="146"/>
      <c r="AM338" s="197">
        <v>501</v>
      </c>
    </row>
    <row r="339" spans="1:39" ht="24" customHeight="1">
      <c r="A339" s="196">
        <v>502</v>
      </c>
      <c r="B339" s="180">
        <v>24444</v>
      </c>
      <c r="C339" s="180">
        <v>43854</v>
      </c>
      <c r="D339" s="179">
        <v>53</v>
      </c>
      <c r="E339" s="4" t="s">
        <v>58</v>
      </c>
      <c r="F339" s="143" t="s">
        <v>116</v>
      </c>
      <c r="G339" s="142">
        <v>25.432525951557096</v>
      </c>
      <c r="H339" s="11" t="s">
        <v>59</v>
      </c>
      <c r="I339" s="141" t="s">
        <v>62</v>
      </c>
      <c r="J339" s="147"/>
      <c r="K339" s="146"/>
      <c r="L339" s="147"/>
      <c r="M339" s="146"/>
      <c r="N339" s="147"/>
      <c r="O339" s="146"/>
      <c r="P339" s="147"/>
      <c r="Q339" s="146"/>
      <c r="R339" s="147"/>
      <c r="S339" s="146"/>
      <c r="T339" s="147"/>
      <c r="U339" s="146"/>
      <c r="V339" s="147"/>
      <c r="W339" s="146"/>
      <c r="X339" s="195">
        <v>502</v>
      </c>
      <c r="Y339" s="147"/>
      <c r="Z339" s="146"/>
      <c r="AA339" s="147"/>
      <c r="AB339" s="146"/>
      <c r="AC339" s="147"/>
      <c r="AD339" s="146"/>
      <c r="AE339" s="147"/>
      <c r="AF339" s="146"/>
      <c r="AG339" s="147"/>
      <c r="AH339" s="146"/>
      <c r="AI339" s="147"/>
      <c r="AJ339" s="146"/>
      <c r="AK339" s="147"/>
      <c r="AL339" s="146"/>
      <c r="AM339" s="194">
        <v>502</v>
      </c>
    </row>
    <row r="340" spans="1:39" ht="24" customHeight="1">
      <c r="A340" s="196">
        <v>503</v>
      </c>
      <c r="B340" s="180">
        <v>22352</v>
      </c>
      <c r="C340" s="180">
        <v>43852</v>
      </c>
      <c r="D340" s="179">
        <v>58</v>
      </c>
      <c r="E340" s="4" t="s">
        <v>58</v>
      </c>
      <c r="F340" s="143" t="s">
        <v>116</v>
      </c>
      <c r="G340" s="142">
        <v>32.115082737866167</v>
      </c>
      <c r="H340" s="11" t="s">
        <v>59</v>
      </c>
      <c r="I340" s="141" t="s">
        <v>62</v>
      </c>
      <c r="J340" s="147"/>
      <c r="K340" s="146"/>
      <c r="L340" s="147"/>
      <c r="M340" s="146"/>
      <c r="N340" s="147"/>
      <c r="O340" s="146"/>
      <c r="P340" s="147"/>
      <c r="Q340" s="146"/>
      <c r="R340" s="147"/>
      <c r="S340" s="146"/>
      <c r="T340" s="147"/>
      <c r="U340" s="146"/>
      <c r="V340" s="147"/>
      <c r="W340" s="146"/>
      <c r="X340" s="195">
        <v>503</v>
      </c>
      <c r="Y340" s="147"/>
      <c r="Z340" s="146"/>
      <c r="AA340" s="147"/>
      <c r="AB340" s="146"/>
      <c r="AC340" s="147"/>
      <c r="AD340" s="146"/>
      <c r="AE340" s="147"/>
      <c r="AF340" s="146"/>
      <c r="AG340" s="147"/>
      <c r="AH340" s="146"/>
      <c r="AI340" s="147"/>
      <c r="AJ340" s="146"/>
      <c r="AK340" s="147"/>
      <c r="AL340" s="146"/>
      <c r="AM340" s="194">
        <v>503</v>
      </c>
    </row>
    <row r="341" spans="1:39" ht="24" customHeight="1">
      <c r="A341" s="196">
        <v>504</v>
      </c>
      <c r="B341" s="180">
        <v>20392</v>
      </c>
      <c r="C341" s="180">
        <v>43866</v>
      </c>
      <c r="D341" s="179">
        <v>64</v>
      </c>
      <c r="E341" s="3" t="s">
        <v>61</v>
      </c>
      <c r="F341" s="143" t="s">
        <v>127</v>
      </c>
      <c r="G341" s="142">
        <v>22.026119277074574</v>
      </c>
      <c r="H341" s="11" t="s">
        <v>59</v>
      </c>
      <c r="I341" s="141" t="s">
        <v>62</v>
      </c>
      <c r="J341" s="147"/>
      <c r="K341" s="146"/>
      <c r="L341" s="147"/>
      <c r="M341" s="146"/>
      <c r="N341" s="147"/>
      <c r="O341" s="146"/>
      <c r="P341" s="147"/>
      <c r="Q341" s="146"/>
      <c r="R341" s="147"/>
      <c r="S341" s="146"/>
      <c r="T341" s="147"/>
      <c r="U341" s="146"/>
      <c r="V341" s="147"/>
      <c r="W341" s="146"/>
      <c r="X341" s="195">
        <v>504</v>
      </c>
      <c r="Y341" s="147"/>
      <c r="Z341" s="146"/>
      <c r="AA341" s="147"/>
      <c r="AB341" s="146"/>
      <c r="AC341" s="147"/>
      <c r="AD341" s="146"/>
      <c r="AE341" s="147"/>
      <c r="AF341" s="146"/>
      <c r="AG341" s="147"/>
      <c r="AH341" s="146"/>
      <c r="AI341" s="147"/>
      <c r="AJ341" s="146"/>
      <c r="AK341" s="147"/>
      <c r="AL341" s="146"/>
      <c r="AM341" s="194">
        <v>504</v>
      </c>
    </row>
    <row r="342" spans="1:39" ht="24" customHeight="1">
      <c r="A342" s="191">
        <v>505</v>
      </c>
      <c r="B342" s="190">
        <v>28843</v>
      </c>
      <c r="C342" s="190">
        <v>43857</v>
      </c>
      <c r="D342" s="189">
        <v>41</v>
      </c>
      <c r="E342" s="4" t="s">
        <v>58</v>
      </c>
      <c r="F342" s="143" t="s">
        <v>116</v>
      </c>
      <c r="G342" s="142">
        <v>26.908081285444233</v>
      </c>
      <c r="H342" s="11" t="s">
        <v>59</v>
      </c>
      <c r="I342" s="141" t="s">
        <v>62</v>
      </c>
      <c r="J342" s="147"/>
      <c r="K342" s="146"/>
      <c r="L342" s="147"/>
      <c r="M342" s="146"/>
      <c r="N342" s="147"/>
      <c r="O342" s="146"/>
      <c r="P342" s="147"/>
      <c r="Q342" s="146"/>
      <c r="R342" s="147"/>
      <c r="S342" s="146"/>
      <c r="T342" s="147"/>
      <c r="U342" s="146"/>
      <c r="V342" s="147"/>
      <c r="W342" s="146"/>
      <c r="X342" s="188">
        <v>505</v>
      </c>
      <c r="Y342" s="147"/>
      <c r="Z342" s="146"/>
      <c r="AA342" s="147"/>
      <c r="AB342" s="146"/>
      <c r="AC342" s="147"/>
      <c r="AD342" s="146"/>
      <c r="AE342" s="147"/>
      <c r="AF342" s="146"/>
      <c r="AG342" s="147"/>
      <c r="AH342" s="146"/>
      <c r="AI342" s="147"/>
      <c r="AJ342" s="146"/>
      <c r="AK342" s="147"/>
      <c r="AL342" s="146"/>
      <c r="AM342" s="187">
        <v>505</v>
      </c>
    </row>
    <row r="343" spans="1:39" ht="24" customHeight="1">
      <c r="A343" s="184">
        <v>506</v>
      </c>
      <c r="B343" s="183">
        <v>31434</v>
      </c>
      <c r="C343" s="183">
        <v>43866</v>
      </c>
      <c r="D343" s="182">
        <v>34</v>
      </c>
      <c r="E343" s="4" t="s">
        <v>58</v>
      </c>
      <c r="F343" s="143" t="s">
        <v>123</v>
      </c>
      <c r="G343" s="142">
        <v>21.417354405426174</v>
      </c>
      <c r="H343" s="11" t="s">
        <v>59</v>
      </c>
      <c r="I343" s="141" t="s">
        <v>62</v>
      </c>
      <c r="J343" s="147"/>
      <c r="K343" s="146"/>
      <c r="L343" s="147"/>
      <c r="M343" s="146"/>
      <c r="N343" s="147"/>
      <c r="O343" s="146"/>
      <c r="P343" s="147"/>
      <c r="Q343" s="146"/>
      <c r="R343" s="147"/>
      <c r="S343" s="146"/>
      <c r="T343" s="147"/>
      <c r="U343" s="146"/>
      <c r="V343" s="147"/>
      <c r="W343" s="146"/>
      <c r="X343" s="186">
        <v>506</v>
      </c>
      <c r="Y343" s="147"/>
      <c r="Z343" s="146"/>
      <c r="AA343" s="147"/>
      <c r="AB343" s="146"/>
      <c r="AC343" s="147"/>
      <c r="AD343" s="146"/>
      <c r="AE343" s="147"/>
      <c r="AF343" s="146"/>
      <c r="AG343" s="147"/>
      <c r="AH343" s="146"/>
      <c r="AI343" s="147"/>
      <c r="AJ343" s="146"/>
      <c r="AK343" s="147"/>
      <c r="AL343" s="146"/>
      <c r="AM343" s="185">
        <v>506</v>
      </c>
    </row>
    <row r="344" spans="1:39" ht="24" customHeight="1">
      <c r="A344" s="184">
        <v>507</v>
      </c>
      <c r="B344" s="183">
        <v>35202</v>
      </c>
      <c r="C344" s="183">
        <v>43864</v>
      </c>
      <c r="D344" s="182">
        <v>23</v>
      </c>
      <c r="E344" s="3" t="s">
        <v>61</v>
      </c>
      <c r="F344" s="143" t="s">
        <v>116</v>
      </c>
      <c r="G344" s="142">
        <v>33.349935600124347</v>
      </c>
      <c r="H344" s="11" t="s">
        <v>59</v>
      </c>
      <c r="I344" s="141" t="s">
        <v>62</v>
      </c>
      <c r="J344" s="147"/>
      <c r="K344" s="146"/>
      <c r="L344" s="147"/>
      <c r="M344" s="146"/>
      <c r="N344" s="147"/>
      <c r="O344" s="146"/>
      <c r="P344" s="147"/>
      <c r="Q344" s="146"/>
      <c r="R344" s="147"/>
      <c r="S344" s="146"/>
      <c r="T344" s="147"/>
      <c r="U344" s="146"/>
      <c r="V344" s="147"/>
      <c r="W344" s="146"/>
      <c r="X344" s="178"/>
      <c r="Y344" s="147"/>
      <c r="Z344" s="146"/>
      <c r="AA344" s="147"/>
      <c r="AB344" s="146"/>
      <c r="AC344" s="147"/>
      <c r="AD344" s="146"/>
      <c r="AE344" s="147"/>
      <c r="AF344" s="146"/>
      <c r="AG344" s="147"/>
      <c r="AH344" s="146"/>
      <c r="AI344" s="147"/>
      <c r="AJ344" s="146"/>
      <c r="AK344" s="147"/>
      <c r="AL344" s="146"/>
      <c r="AM344" s="177"/>
    </row>
    <row r="345" spans="1:39" ht="24" customHeight="1">
      <c r="A345" s="184">
        <v>508</v>
      </c>
      <c r="B345" s="183">
        <v>32161</v>
      </c>
      <c r="C345" s="183">
        <v>43861</v>
      </c>
      <c r="D345" s="182">
        <v>32</v>
      </c>
      <c r="E345" s="4" t="s">
        <v>58</v>
      </c>
      <c r="F345" s="143" t="s">
        <v>116</v>
      </c>
      <c r="G345" s="142">
        <v>23.46157865902742</v>
      </c>
      <c r="H345" s="11" t="s">
        <v>59</v>
      </c>
      <c r="I345" s="141" t="s">
        <v>62</v>
      </c>
      <c r="J345" s="147"/>
      <c r="K345" s="146"/>
      <c r="L345" s="147"/>
      <c r="M345" s="146"/>
      <c r="N345" s="147"/>
      <c r="O345" s="146"/>
      <c r="P345" s="147"/>
      <c r="Q345" s="146"/>
      <c r="R345" s="147"/>
      <c r="S345" s="146"/>
      <c r="T345" s="147"/>
      <c r="U345" s="146"/>
      <c r="V345" s="147"/>
      <c r="W345" s="146"/>
      <c r="X345" s="186">
        <v>508</v>
      </c>
      <c r="Y345" s="147"/>
      <c r="Z345" s="146"/>
      <c r="AA345" s="147"/>
      <c r="AB345" s="146"/>
      <c r="AC345" s="147"/>
      <c r="AD345" s="146"/>
      <c r="AE345" s="147"/>
      <c r="AF345" s="146"/>
      <c r="AG345" s="147"/>
      <c r="AH345" s="146"/>
      <c r="AI345" s="147"/>
      <c r="AJ345" s="146"/>
      <c r="AK345" s="147"/>
      <c r="AL345" s="146"/>
      <c r="AM345" s="185">
        <v>508</v>
      </c>
    </row>
    <row r="346" spans="1:39" ht="24" customHeight="1">
      <c r="A346" s="184">
        <v>509</v>
      </c>
      <c r="B346" s="183">
        <v>36031</v>
      </c>
      <c r="C346" s="183">
        <v>43871</v>
      </c>
      <c r="D346" s="182">
        <v>21</v>
      </c>
      <c r="E346" s="3" t="s">
        <v>61</v>
      </c>
      <c r="F346" s="143" t="s">
        <v>116</v>
      </c>
      <c r="G346" s="142">
        <v>24.913494809688583</v>
      </c>
      <c r="H346" s="11" t="s">
        <v>59</v>
      </c>
      <c r="I346" s="141" t="s">
        <v>62</v>
      </c>
      <c r="J346" s="147"/>
      <c r="K346" s="146"/>
      <c r="L346" s="147"/>
      <c r="M346" s="146"/>
      <c r="N346" s="147"/>
      <c r="O346" s="146"/>
      <c r="P346" s="147"/>
      <c r="Q346" s="146"/>
      <c r="R346" s="147"/>
      <c r="S346" s="146"/>
      <c r="T346" s="147"/>
      <c r="U346" s="146"/>
      <c r="V346" s="147"/>
      <c r="W346" s="146"/>
      <c r="X346" s="178"/>
      <c r="Y346" s="147"/>
      <c r="Z346" s="146"/>
      <c r="AA346" s="147"/>
      <c r="AB346" s="146"/>
      <c r="AC346" s="147"/>
      <c r="AD346" s="146"/>
      <c r="AE346" s="147"/>
      <c r="AF346" s="146"/>
      <c r="AG346" s="147"/>
      <c r="AH346" s="146"/>
      <c r="AI346" s="147"/>
      <c r="AJ346" s="146"/>
      <c r="AK346" s="147"/>
      <c r="AL346" s="146"/>
      <c r="AM346" s="177"/>
    </row>
    <row r="347" spans="1:39" ht="24" customHeight="1">
      <c r="A347" s="184">
        <v>510</v>
      </c>
      <c r="B347" s="183">
        <v>36430</v>
      </c>
      <c r="C347" s="183">
        <v>43865</v>
      </c>
      <c r="D347" s="182">
        <v>20</v>
      </c>
      <c r="E347" s="4" t="s">
        <v>58</v>
      </c>
      <c r="F347" s="143" t="s">
        <v>63</v>
      </c>
      <c r="G347" s="142">
        <v>28.335935787858869</v>
      </c>
      <c r="H347" s="11" t="s">
        <v>59</v>
      </c>
      <c r="I347" s="141" t="s">
        <v>62</v>
      </c>
      <c r="J347" s="147"/>
      <c r="K347" s="146"/>
      <c r="L347" s="147"/>
      <c r="M347" s="146"/>
      <c r="N347" s="147"/>
      <c r="O347" s="146"/>
      <c r="P347" s="147"/>
      <c r="Q347" s="146"/>
      <c r="R347" s="147"/>
      <c r="S347" s="146"/>
      <c r="T347" s="147"/>
      <c r="U347" s="146"/>
      <c r="V347" s="147"/>
      <c r="W347" s="146"/>
      <c r="X347" s="186">
        <v>510</v>
      </c>
      <c r="Y347" s="147"/>
      <c r="Z347" s="146"/>
      <c r="AA347" s="147"/>
      <c r="AB347" s="146"/>
      <c r="AC347" s="147"/>
      <c r="AD347" s="146"/>
      <c r="AE347" s="147"/>
      <c r="AF347" s="146"/>
      <c r="AG347" s="147"/>
      <c r="AH347" s="146"/>
      <c r="AI347" s="147"/>
      <c r="AJ347" s="146"/>
      <c r="AK347" s="147"/>
      <c r="AL347" s="146"/>
      <c r="AM347" s="185">
        <v>510</v>
      </c>
    </row>
    <row r="348" spans="1:39" ht="24" customHeight="1">
      <c r="A348" s="181">
        <v>511</v>
      </c>
      <c r="B348" s="180">
        <v>24340</v>
      </c>
      <c r="C348" s="180">
        <v>43859</v>
      </c>
      <c r="D348" s="179">
        <v>53</v>
      </c>
      <c r="E348" s="4" t="s">
        <v>58</v>
      </c>
      <c r="F348" s="143" t="s">
        <v>116</v>
      </c>
      <c r="G348" s="142">
        <v>29.293204071660362</v>
      </c>
      <c r="H348" s="11" t="s">
        <v>59</v>
      </c>
      <c r="I348" s="141" t="s">
        <v>62</v>
      </c>
      <c r="J348" s="147"/>
      <c r="K348" s="146"/>
      <c r="L348" s="147"/>
      <c r="M348" s="146"/>
      <c r="N348" s="147"/>
      <c r="O348" s="146"/>
      <c r="P348" s="147"/>
      <c r="Q348" s="146"/>
      <c r="R348" s="147"/>
      <c r="S348" s="146"/>
      <c r="T348" s="147"/>
      <c r="U348" s="146"/>
      <c r="V348" s="147"/>
      <c r="W348" s="146"/>
      <c r="X348" s="193">
        <v>511</v>
      </c>
      <c r="Y348" s="147"/>
      <c r="Z348" s="146"/>
      <c r="AA348" s="147"/>
      <c r="AB348" s="146"/>
      <c r="AC348" s="147"/>
      <c r="AD348" s="146"/>
      <c r="AE348" s="147"/>
      <c r="AF348" s="146"/>
      <c r="AG348" s="147"/>
      <c r="AH348" s="146"/>
      <c r="AI348" s="147"/>
      <c r="AJ348" s="146"/>
      <c r="AK348" s="147"/>
      <c r="AL348" s="146"/>
      <c r="AM348" s="192">
        <v>511</v>
      </c>
    </row>
    <row r="349" spans="1:39" ht="24" customHeight="1">
      <c r="A349" s="184">
        <v>512</v>
      </c>
      <c r="B349" s="183">
        <v>34054</v>
      </c>
      <c r="C349" s="183">
        <v>43861</v>
      </c>
      <c r="D349" s="182">
        <v>26</v>
      </c>
      <c r="E349" s="3" t="s">
        <v>61</v>
      </c>
      <c r="F349" s="143" t="s">
        <v>116</v>
      </c>
      <c r="G349" s="142">
        <v>27.954014289502787</v>
      </c>
      <c r="H349" s="11" t="s">
        <v>59</v>
      </c>
      <c r="I349" s="141" t="s">
        <v>62</v>
      </c>
      <c r="J349" s="147"/>
      <c r="K349" s="146"/>
      <c r="L349" s="147"/>
      <c r="M349" s="146"/>
      <c r="N349" s="147"/>
      <c r="O349" s="146"/>
      <c r="P349" s="147"/>
      <c r="Q349" s="146"/>
      <c r="R349" s="147"/>
      <c r="S349" s="146"/>
      <c r="T349" s="147"/>
      <c r="U349" s="146"/>
      <c r="V349" s="147"/>
      <c r="W349" s="146"/>
      <c r="X349" s="178"/>
      <c r="Y349" s="147"/>
      <c r="Z349" s="146"/>
      <c r="AA349" s="147"/>
      <c r="AB349" s="146"/>
      <c r="AC349" s="147"/>
      <c r="AD349" s="146"/>
      <c r="AE349" s="147"/>
      <c r="AF349" s="146"/>
      <c r="AG349" s="147"/>
      <c r="AH349" s="146"/>
      <c r="AI349" s="147"/>
      <c r="AJ349" s="146"/>
      <c r="AK349" s="147"/>
      <c r="AL349" s="146"/>
      <c r="AM349" s="177"/>
    </row>
    <row r="350" spans="1:39" ht="24" customHeight="1">
      <c r="A350" s="181">
        <v>513</v>
      </c>
      <c r="B350" s="180">
        <v>20355</v>
      </c>
      <c r="C350" s="180">
        <v>43865</v>
      </c>
      <c r="D350" s="179">
        <v>64</v>
      </c>
      <c r="E350" s="3" t="s">
        <v>61</v>
      </c>
      <c r="F350" s="143" t="s">
        <v>117</v>
      </c>
      <c r="G350" s="142">
        <v>33.840830449826996</v>
      </c>
      <c r="H350" s="11" t="s">
        <v>59</v>
      </c>
      <c r="I350" s="141" t="s">
        <v>62</v>
      </c>
      <c r="J350" s="147"/>
      <c r="K350" s="146"/>
      <c r="L350" s="147"/>
      <c r="M350" s="146"/>
      <c r="N350" s="147"/>
      <c r="O350" s="146"/>
      <c r="P350" s="147"/>
      <c r="Q350" s="146"/>
      <c r="R350" s="147"/>
      <c r="S350" s="146"/>
      <c r="T350" s="147"/>
      <c r="U350" s="146"/>
      <c r="V350" s="147"/>
      <c r="W350" s="146"/>
      <c r="X350" s="178"/>
      <c r="Y350" s="147"/>
      <c r="Z350" s="146"/>
      <c r="AA350" s="147"/>
      <c r="AB350" s="146"/>
      <c r="AC350" s="147"/>
      <c r="AD350" s="146"/>
      <c r="AE350" s="147"/>
      <c r="AF350" s="146"/>
      <c r="AG350" s="147"/>
      <c r="AH350" s="146"/>
      <c r="AI350" s="147"/>
      <c r="AJ350" s="146"/>
      <c r="AK350" s="147"/>
      <c r="AL350" s="146"/>
      <c r="AM350" s="177"/>
    </row>
    <row r="351" spans="1:39" ht="24" customHeight="1">
      <c r="A351" s="181">
        <v>514</v>
      </c>
      <c r="B351" s="180">
        <v>24794</v>
      </c>
      <c r="C351" s="180">
        <v>43865</v>
      </c>
      <c r="D351" s="179">
        <v>52</v>
      </c>
      <c r="E351" s="4" t="s">
        <v>58</v>
      </c>
      <c r="F351" s="143" t="s">
        <v>117</v>
      </c>
      <c r="G351" s="142">
        <v>25.401234567901231</v>
      </c>
      <c r="H351" s="11" t="s">
        <v>59</v>
      </c>
      <c r="I351" s="141" t="s">
        <v>62</v>
      </c>
      <c r="J351" s="147"/>
      <c r="K351" s="146"/>
      <c r="L351" s="147"/>
      <c r="M351" s="146"/>
      <c r="N351" s="147"/>
      <c r="O351" s="146"/>
      <c r="P351" s="147"/>
      <c r="Q351" s="146"/>
      <c r="R351" s="147"/>
      <c r="S351" s="146"/>
      <c r="T351" s="147"/>
      <c r="U351" s="146"/>
      <c r="V351" s="147"/>
      <c r="W351" s="146"/>
      <c r="X351" s="193">
        <v>514</v>
      </c>
      <c r="Y351" s="147"/>
      <c r="Z351" s="146"/>
      <c r="AA351" s="147"/>
      <c r="AB351" s="146"/>
      <c r="AC351" s="147"/>
      <c r="AD351" s="146"/>
      <c r="AE351" s="147"/>
      <c r="AF351" s="146"/>
      <c r="AG351" s="147"/>
      <c r="AH351" s="146"/>
      <c r="AI351" s="147"/>
      <c r="AJ351" s="146"/>
      <c r="AK351" s="147"/>
      <c r="AL351" s="146"/>
      <c r="AM351" s="192">
        <v>514</v>
      </c>
    </row>
    <row r="352" spans="1:39" ht="24" customHeight="1">
      <c r="A352" s="184">
        <v>516</v>
      </c>
      <c r="B352" s="183">
        <v>33427</v>
      </c>
      <c r="C352" s="183">
        <v>43868</v>
      </c>
      <c r="D352" s="182">
        <v>28</v>
      </c>
      <c r="E352" s="3" t="s">
        <v>61</v>
      </c>
      <c r="F352" s="143" t="s">
        <v>116</v>
      </c>
      <c r="G352" s="142">
        <v>19.799511612046906</v>
      </c>
      <c r="H352" s="11" t="s">
        <v>59</v>
      </c>
      <c r="I352" s="141" t="s">
        <v>62</v>
      </c>
      <c r="J352" s="147"/>
      <c r="K352" s="146"/>
      <c r="L352" s="147"/>
      <c r="M352" s="146"/>
      <c r="N352" s="147"/>
      <c r="O352" s="146"/>
      <c r="P352" s="147"/>
      <c r="Q352" s="146"/>
      <c r="R352" s="147"/>
      <c r="S352" s="146"/>
      <c r="T352" s="147"/>
      <c r="U352" s="146"/>
      <c r="V352" s="147"/>
      <c r="W352" s="146"/>
      <c r="X352" s="178"/>
      <c r="Y352" s="147"/>
      <c r="Z352" s="146"/>
      <c r="AA352" s="147"/>
      <c r="AB352" s="146"/>
      <c r="AC352" s="147"/>
      <c r="AD352" s="146"/>
      <c r="AE352" s="147"/>
      <c r="AF352" s="146"/>
      <c r="AG352" s="147"/>
      <c r="AH352" s="146"/>
      <c r="AI352" s="147"/>
      <c r="AJ352" s="146"/>
      <c r="AK352" s="147"/>
      <c r="AL352" s="146"/>
      <c r="AM352" s="177"/>
    </row>
    <row r="353" spans="1:39" ht="24" customHeight="1">
      <c r="A353" s="181">
        <v>517</v>
      </c>
      <c r="B353" s="180">
        <v>24148</v>
      </c>
      <c r="C353" s="180">
        <v>43865</v>
      </c>
      <c r="D353" s="179">
        <v>53</v>
      </c>
      <c r="E353" s="4" t="s">
        <v>58</v>
      </c>
      <c r="F353" s="143" t="s">
        <v>116</v>
      </c>
      <c r="G353" s="142">
        <v>24.820472128545926</v>
      </c>
      <c r="H353" s="11" t="s">
        <v>59</v>
      </c>
      <c r="I353" s="141" t="s">
        <v>62</v>
      </c>
      <c r="J353" s="147"/>
      <c r="K353" s="146"/>
      <c r="L353" s="147"/>
      <c r="M353" s="146"/>
      <c r="N353" s="147"/>
      <c r="O353" s="146"/>
      <c r="P353" s="147"/>
      <c r="Q353" s="146"/>
      <c r="R353" s="147"/>
      <c r="S353" s="146"/>
      <c r="T353" s="147"/>
      <c r="U353" s="146"/>
      <c r="V353" s="147"/>
      <c r="W353" s="146"/>
      <c r="X353" s="193">
        <v>517</v>
      </c>
      <c r="Y353" s="147"/>
      <c r="Z353" s="146"/>
      <c r="AA353" s="147"/>
      <c r="AB353" s="146"/>
      <c r="AC353" s="147"/>
      <c r="AD353" s="146"/>
      <c r="AE353" s="147"/>
      <c r="AF353" s="146"/>
      <c r="AG353" s="147"/>
      <c r="AH353" s="146"/>
      <c r="AI353" s="147"/>
      <c r="AJ353" s="146"/>
      <c r="AK353" s="147"/>
      <c r="AL353" s="146"/>
      <c r="AM353" s="192">
        <v>517</v>
      </c>
    </row>
    <row r="354" spans="1:39" ht="24" customHeight="1">
      <c r="A354" s="191">
        <v>518</v>
      </c>
      <c r="B354" s="190">
        <v>25698</v>
      </c>
      <c r="C354" s="190">
        <v>43869</v>
      </c>
      <c r="D354" s="189">
        <v>49</v>
      </c>
      <c r="E354" s="4" t="s">
        <v>58</v>
      </c>
      <c r="F354" s="143" t="s">
        <v>116</v>
      </c>
      <c r="G354" s="142">
        <v>32.77600311945929</v>
      </c>
      <c r="H354" s="11" t="s">
        <v>59</v>
      </c>
      <c r="I354" s="141" t="s">
        <v>62</v>
      </c>
      <c r="J354" s="147"/>
      <c r="K354" s="146"/>
      <c r="L354" s="147"/>
      <c r="M354" s="146"/>
      <c r="N354" s="147"/>
      <c r="O354" s="146"/>
      <c r="P354" s="147"/>
      <c r="Q354" s="146"/>
      <c r="R354" s="147"/>
      <c r="S354" s="146"/>
      <c r="T354" s="147"/>
      <c r="U354" s="146"/>
      <c r="V354" s="147"/>
      <c r="W354" s="146"/>
      <c r="X354" s="188">
        <v>518</v>
      </c>
      <c r="Y354" s="147"/>
      <c r="Z354" s="146"/>
      <c r="AA354" s="147"/>
      <c r="AB354" s="146"/>
      <c r="AC354" s="147"/>
      <c r="AD354" s="146"/>
      <c r="AE354" s="147"/>
      <c r="AF354" s="146"/>
      <c r="AG354" s="147"/>
      <c r="AH354" s="146"/>
      <c r="AI354" s="147"/>
      <c r="AJ354" s="146"/>
      <c r="AK354" s="147"/>
      <c r="AL354" s="146"/>
      <c r="AM354" s="187">
        <v>518</v>
      </c>
    </row>
    <row r="355" spans="1:39" ht="24" customHeight="1">
      <c r="A355" s="191">
        <v>519</v>
      </c>
      <c r="B355" s="190">
        <v>26440</v>
      </c>
      <c r="C355" s="190">
        <v>43872</v>
      </c>
      <c r="D355" s="189">
        <v>47</v>
      </c>
      <c r="E355" s="4" t="s">
        <v>58</v>
      </c>
      <c r="F355" s="143" t="s">
        <v>116</v>
      </c>
      <c r="G355" s="142">
        <v>18.475135232962657</v>
      </c>
      <c r="H355" s="11" t="s">
        <v>59</v>
      </c>
      <c r="I355" s="141" t="s">
        <v>62</v>
      </c>
      <c r="J355" s="147"/>
      <c r="K355" s="146"/>
      <c r="L355" s="147"/>
      <c r="M355" s="146"/>
      <c r="N355" s="147"/>
      <c r="O355" s="146"/>
      <c r="P355" s="147"/>
      <c r="Q355" s="146"/>
      <c r="R355" s="147"/>
      <c r="S355" s="146"/>
      <c r="T355" s="147"/>
      <c r="U355" s="146"/>
      <c r="V355" s="147"/>
      <c r="W355" s="146"/>
      <c r="X355" s="188">
        <v>519</v>
      </c>
      <c r="Y355" s="147"/>
      <c r="Z355" s="146"/>
      <c r="AA355" s="147"/>
      <c r="AB355" s="146"/>
      <c r="AC355" s="147"/>
      <c r="AD355" s="146"/>
      <c r="AE355" s="147"/>
      <c r="AF355" s="146"/>
      <c r="AG355" s="147"/>
      <c r="AH355" s="146"/>
      <c r="AI355" s="147"/>
      <c r="AJ355" s="146"/>
      <c r="AK355" s="147"/>
      <c r="AL355" s="146"/>
      <c r="AM355" s="187">
        <v>519</v>
      </c>
    </row>
    <row r="356" spans="1:39" ht="24" customHeight="1">
      <c r="A356" s="184">
        <v>521</v>
      </c>
      <c r="B356" s="183">
        <v>36435</v>
      </c>
      <c r="C356" s="183">
        <v>43868</v>
      </c>
      <c r="D356" s="182">
        <v>20</v>
      </c>
      <c r="E356" s="3" t="s">
        <v>61</v>
      </c>
      <c r="F356" s="143" t="s">
        <v>63</v>
      </c>
      <c r="G356" s="142">
        <v>28.667455621301777</v>
      </c>
      <c r="H356" s="11" t="s">
        <v>59</v>
      </c>
      <c r="I356" s="141" t="s">
        <v>62</v>
      </c>
      <c r="J356" s="147"/>
      <c r="K356" s="146"/>
      <c r="L356" s="147"/>
      <c r="M356" s="146"/>
      <c r="N356" s="147"/>
      <c r="O356" s="146"/>
      <c r="P356" s="147"/>
      <c r="Q356" s="146"/>
      <c r="R356" s="147"/>
      <c r="S356" s="146"/>
      <c r="T356" s="147"/>
      <c r="U356" s="146"/>
      <c r="V356" s="147"/>
      <c r="W356" s="146"/>
      <c r="X356" s="178"/>
      <c r="Y356" s="147"/>
      <c r="Z356" s="146"/>
      <c r="AA356" s="147"/>
      <c r="AB356" s="146"/>
      <c r="AC356" s="147"/>
      <c r="AD356" s="146"/>
      <c r="AE356" s="147"/>
      <c r="AF356" s="146"/>
      <c r="AG356" s="147"/>
      <c r="AH356" s="146"/>
      <c r="AI356" s="147"/>
      <c r="AJ356" s="146"/>
      <c r="AK356" s="147"/>
      <c r="AL356" s="146"/>
      <c r="AM356" s="177"/>
    </row>
    <row r="357" spans="1:39" ht="24" customHeight="1">
      <c r="A357" s="191">
        <v>522</v>
      </c>
      <c r="B357" s="190">
        <v>29908</v>
      </c>
      <c r="C357" s="190">
        <v>43868</v>
      </c>
      <c r="D357" s="189">
        <v>38</v>
      </c>
      <c r="E357" s="4" t="s">
        <v>58</v>
      </c>
      <c r="F357" s="143" t="s">
        <v>116</v>
      </c>
      <c r="G357" s="142">
        <v>25.618483092847423</v>
      </c>
      <c r="H357" s="11" t="s">
        <v>59</v>
      </c>
      <c r="I357" s="141" t="s">
        <v>62</v>
      </c>
      <c r="J357" s="147"/>
      <c r="K357" s="146"/>
      <c r="L357" s="147"/>
      <c r="M357" s="146"/>
      <c r="N357" s="147"/>
      <c r="O357" s="146"/>
      <c r="P357" s="147"/>
      <c r="Q357" s="146"/>
      <c r="R357" s="147"/>
      <c r="S357" s="146"/>
      <c r="T357" s="147"/>
      <c r="U357" s="146"/>
      <c r="V357" s="147"/>
      <c r="W357" s="146"/>
      <c r="X357" s="188">
        <v>522</v>
      </c>
      <c r="Y357" s="147"/>
      <c r="Z357" s="146"/>
      <c r="AA357" s="147"/>
      <c r="AB357" s="146"/>
      <c r="AC357" s="147"/>
      <c r="AD357" s="146"/>
      <c r="AE357" s="147"/>
      <c r="AF357" s="146"/>
      <c r="AG357" s="147"/>
      <c r="AH357" s="146"/>
      <c r="AI357" s="147"/>
      <c r="AJ357" s="146"/>
      <c r="AK357" s="147"/>
      <c r="AL357" s="146"/>
      <c r="AM357" s="187">
        <v>522</v>
      </c>
    </row>
    <row r="358" spans="1:39" ht="24" customHeight="1">
      <c r="A358" s="184">
        <v>523</v>
      </c>
      <c r="B358" s="183">
        <v>33135</v>
      </c>
      <c r="C358" s="183">
        <v>43872</v>
      </c>
      <c r="D358" s="182">
        <v>29</v>
      </c>
      <c r="E358" s="4" t="s">
        <v>58</v>
      </c>
      <c r="F358" s="143" t="s">
        <v>116</v>
      </c>
      <c r="G358" s="142">
        <v>24.236499938905617</v>
      </c>
      <c r="H358" s="11" t="s">
        <v>59</v>
      </c>
      <c r="I358" s="141" t="s">
        <v>62</v>
      </c>
      <c r="J358" s="147"/>
      <c r="K358" s="146"/>
      <c r="L358" s="147"/>
      <c r="M358" s="146"/>
      <c r="N358" s="147"/>
      <c r="O358" s="146"/>
      <c r="P358" s="147"/>
      <c r="Q358" s="146"/>
      <c r="R358" s="147"/>
      <c r="S358" s="146"/>
      <c r="T358" s="147"/>
      <c r="U358" s="146"/>
      <c r="V358" s="147"/>
      <c r="W358" s="146"/>
      <c r="X358" s="186">
        <v>523</v>
      </c>
      <c r="Y358" s="147"/>
      <c r="Z358" s="146"/>
      <c r="AA358" s="147"/>
      <c r="AB358" s="146"/>
      <c r="AC358" s="147"/>
      <c r="AD358" s="146"/>
      <c r="AE358" s="147"/>
      <c r="AF358" s="146"/>
      <c r="AG358" s="147"/>
      <c r="AH358" s="146"/>
      <c r="AI358" s="147"/>
      <c r="AJ358" s="146"/>
      <c r="AK358" s="147"/>
      <c r="AL358" s="146"/>
      <c r="AM358" s="185">
        <v>523</v>
      </c>
    </row>
    <row r="359" spans="1:39" ht="24" customHeight="1">
      <c r="A359" s="184">
        <v>524</v>
      </c>
      <c r="B359" s="183">
        <v>35259</v>
      </c>
      <c r="C359" s="183">
        <v>43871</v>
      </c>
      <c r="D359" s="182">
        <v>23</v>
      </c>
      <c r="E359" s="3" t="s">
        <v>61</v>
      </c>
      <c r="F359" s="143" t="s">
        <v>116</v>
      </c>
      <c r="G359" s="142">
        <v>22.553695005199181</v>
      </c>
      <c r="H359" s="11" t="s">
        <v>59</v>
      </c>
      <c r="I359" s="141" t="s">
        <v>62</v>
      </c>
      <c r="J359" s="147"/>
      <c r="K359" s="146"/>
      <c r="L359" s="147"/>
      <c r="M359" s="146"/>
      <c r="N359" s="147"/>
      <c r="O359" s="146"/>
      <c r="P359" s="147"/>
      <c r="Q359" s="146"/>
      <c r="R359" s="147"/>
      <c r="S359" s="146"/>
      <c r="T359" s="147"/>
      <c r="U359" s="146"/>
      <c r="V359" s="147"/>
      <c r="W359" s="146"/>
      <c r="X359" s="178"/>
      <c r="Y359" s="147"/>
      <c r="Z359" s="146"/>
      <c r="AA359" s="147"/>
      <c r="AB359" s="146"/>
      <c r="AC359" s="147"/>
      <c r="AD359" s="146"/>
      <c r="AE359" s="147"/>
      <c r="AF359" s="146"/>
      <c r="AG359" s="147"/>
      <c r="AH359" s="146"/>
      <c r="AI359" s="147"/>
      <c r="AJ359" s="146"/>
      <c r="AK359" s="147"/>
      <c r="AL359" s="146"/>
      <c r="AM359" s="177"/>
    </row>
    <row r="360" spans="1:39" ht="24" customHeight="1">
      <c r="A360" s="181">
        <v>525</v>
      </c>
      <c r="B360" s="180">
        <v>20164</v>
      </c>
      <c r="C360" s="180">
        <v>43871</v>
      </c>
      <c r="D360" s="179">
        <v>64</v>
      </c>
      <c r="E360" s="3" t="s">
        <v>61</v>
      </c>
      <c r="F360" s="143" t="s">
        <v>116</v>
      </c>
      <c r="G360" s="142">
        <v>24.606676428101139</v>
      </c>
      <c r="H360" s="11" t="s">
        <v>59</v>
      </c>
      <c r="I360" s="141" t="s">
        <v>62</v>
      </c>
      <c r="J360" s="147"/>
      <c r="K360" s="146"/>
      <c r="L360" s="147"/>
      <c r="M360" s="146"/>
      <c r="N360" s="147"/>
      <c r="O360" s="146"/>
      <c r="P360" s="147"/>
      <c r="Q360" s="146"/>
      <c r="R360" s="147"/>
      <c r="S360" s="146"/>
      <c r="T360" s="147"/>
      <c r="U360" s="146"/>
      <c r="V360" s="147"/>
      <c r="W360" s="146"/>
      <c r="X360" s="178"/>
      <c r="Y360" s="147"/>
      <c r="Z360" s="146"/>
      <c r="AA360" s="147"/>
      <c r="AB360" s="146"/>
      <c r="AC360" s="147"/>
      <c r="AD360" s="146"/>
      <c r="AE360" s="147"/>
      <c r="AF360" s="146"/>
      <c r="AG360" s="147"/>
      <c r="AH360" s="146"/>
      <c r="AI360" s="147"/>
      <c r="AJ360" s="146"/>
      <c r="AK360" s="147"/>
      <c r="AL360" s="146"/>
      <c r="AM360" s="177"/>
    </row>
    <row r="361" spans="1:39" ht="24" customHeight="1">
      <c r="A361" s="184">
        <v>526</v>
      </c>
      <c r="B361" s="183">
        <v>33943</v>
      </c>
      <c r="C361" s="183">
        <v>43879</v>
      </c>
      <c r="D361" s="182">
        <v>27</v>
      </c>
      <c r="E361" s="3" t="s">
        <v>61</v>
      </c>
      <c r="F361" s="143" t="s">
        <v>116</v>
      </c>
      <c r="G361" s="142">
        <v>27.409222543996439</v>
      </c>
      <c r="H361" s="11" t="s">
        <v>59</v>
      </c>
      <c r="I361" s="141" t="s">
        <v>62</v>
      </c>
      <c r="J361" s="147"/>
      <c r="K361" s="146"/>
      <c r="L361" s="147"/>
      <c r="M361" s="146"/>
      <c r="N361" s="147"/>
      <c r="O361" s="146"/>
      <c r="P361" s="147"/>
      <c r="Q361" s="146"/>
      <c r="R361" s="147"/>
      <c r="S361" s="146"/>
      <c r="T361" s="147"/>
      <c r="U361" s="146"/>
      <c r="V361" s="147"/>
      <c r="W361" s="146"/>
      <c r="X361" s="178"/>
      <c r="Y361" s="147"/>
      <c r="Z361" s="146"/>
      <c r="AA361" s="147"/>
      <c r="AB361" s="146"/>
      <c r="AC361" s="147"/>
      <c r="AD361" s="146"/>
      <c r="AE361" s="147"/>
      <c r="AF361" s="146"/>
      <c r="AG361" s="147"/>
      <c r="AH361" s="146"/>
      <c r="AI361" s="147"/>
      <c r="AJ361" s="146"/>
      <c r="AK361" s="147"/>
      <c r="AL361" s="146"/>
      <c r="AM361" s="177"/>
    </row>
    <row r="362" spans="1:39" ht="24" customHeight="1">
      <c r="A362" s="184">
        <v>527</v>
      </c>
      <c r="B362" s="183">
        <v>33959</v>
      </c>
      <c r="C362" s="183">
        <v>43875</v>
      </c>
      <c r="D362" s="182">
        <v>27</v>
      </c>
      <c r="E362" s="3" t="s">
        <v>61</v>
      </c>
      <c r="F362" s="143" t="s">
        <v>116</v>
      </c>
      <c r="G362" s="142">
        <v>28.054819116553752</v>
      </c>
      <c r="H362" s="11" t="s">
        <v>59</v>
      </c>
      <c r="I362" s="141" t="s">
        <v>62</v>
      </c>
      <c r="J362" s="147"/>
      <c r="K362" s="146"/>
      <c r="L362" s="147"/>
      <c r="M362" s="146"/>
      <c r="N362" s="147"/>
      <c r="O362" s="146"/>
      <c r="P362" s="147"/>
      <c r="Q362" s="146"/>
      <c r="R362" s="147"/>
      <c r="S362" s="146"/>
      <c r="T362" s="147"/>
      <c r="U362" s="146"/>
      <c r="V362" s="147"/>
      <c r="W362" s="146"/>
      <c r="X362" s="178"/>
      <c r="Y362" s="147"/>
      <c r="Z362" s="146"/>
      <c r="AA362" s="147"/>
      <c r="AB362" s="146"/>
      <c r="AC362" s="147"/>
      <c r="AD362" s="146"/>
      <c r="AE362" s="147"/>
      <c r="AF362" s="146"/>
      <c r="AG362" s="147"/>
      <c r="AH362" s="146"/>
      <c r="AI362" s="147"/>
      <c r="AJ362" s="146"/>
      <c r="AK362" s="147"/>
      <c r="AL362" s="146"/>
      <c r="AM362" s="177"/>
    </row>
    <row r="363" spans="1:39" ht="24" customHeight="1">
      <c r="A363" s="184">
        <v>528</v>
      </c>
      <c r="B363" s="183">
        <v>34950</v>
      </c>
      <c r="C363" s="183">
        <v>43879</v>
      </c>
      <c r="D363" s="182">
        <v>24</v>
      </c>
      <c r="E363" s="3" t="s">
        <v>61</v>
      </c>
      <c r="F363" s="143" t="s">
        <v>116</v>
      </c>
      <c r="G363" s="142">
        <v>20.642494565442657</v>
      </c>
      <c r="H363" s="11" t="s">
        <v>59</v>
      </c>
      <c r="I363" s="141" t="s">
        <v>62</v>
      </c>
      <c r="J363" s="147"/>
      <c r="K363" s="146"/>
      <c r="L363" s="147"/>
      <c r="M363" s="146"/>
      <c r="N363" s="147"/>
      <c r="O363" s="146"/>
      <c r="P363" s="147"/>
      <c r="Q363" s="146"/>
      <c r="R363" s="147"/>
      <c r="S363" s="146"/>
      <c r="T363" s="147"/>
      <c r="U363" s="146"/>
      <c r="V363" s="147"/>
      <c r="W363" s="146"/>
      <c r="X363" s="178"/>
      <c r="Y363" s="147"/>
      <c r="Z363" s="146"/>
      <c r="AA363" s="147"/>
      <c r="AB363" s="146"/>
      <c r="AC363" s="147"/>
      <c r="AD363" s="146"/>
      <c r="AE363" s="147"/>
      <c r="AF363" s="146"/>
      <c r="AG363" s="147"/>
      <c r="AH363" s="146"/>
      <c r="AI363" s="147"/>
      <c r="AJ363" s="146"/>
      <c r="AK363" s="147"/>
      <c r="AL363" s="146"/>
      <c r="AM363" s="177"/>
    </row>
    <row r="364" spans="1:39" ht="24" customHeight="1">
      <c r="A364" s="184">
        <v>529</v>
      </c>
      <c r="B364" s="183">
        <v>35786</v>
      </c>
      <c r="C364" s="183">
        <v>43878</v>
      </c>
      <c r="D364" s="182">
        <v>22</v>
      </c>
      <c r="E364" s="3" t="s">
        <v>61</v>
      </c>
      <c r="F364" s="143" t="s">
        <v>116</v>
      </c>
      <c r="G364" s="142">
        <v>28.453199274990599</v>
      </c>
      <c r="H364" s="11" t="s">
        <v>59</v>
      </c>
      <c r="I364" s="141" t="s">
        <v>62</v>
      </c>
      <c r="J364" s="147"/>
      <c r="K364" s="146"/>
      <c r="L364" s="147"/>
      <c r="M364" s="146"/>
      <c r="N364" s="147"/>
      <c r="O364" s="146"/>
      <c r="P364" s="147"/>
      <c r="Q364" s="146"/>
      <c r="R364" s="147"/>
      <c r="S364" s="146"/>
      <c r="T364" s="147"/>
      <c r="U364" s="146"/>
      <c r="V364" s="147"/>
      <c r="W364" s="146"/>
      <c r="X364" s="178"/>
      <c r="Y364" s="147"/>
      <c r="Z364" s="146"/>
      <c r="AA364" s="147"/>
      <c r="AB364" s="146"/>
      <c r="AC364" s="147"/>
      <c r="AD364" s="146"/>
      <c r="AE364" s="147"/>
      <c r="AF364" s="146"/>
      <c r="AG364" s="147"/>
      <c r="AH364" s="146"/>
      <c r="AI364" s="147"/>
      <c r="AJ364" s="146"/>
      <c r="AK364" s="147"/>
      <c r="AL364" s="146"/>
      <c r="AM364" s="177"/>
    </row>
    <row r="365" spans="1:39" ht="24" customHeight="1">
      <c r="A365" s="184">
        <v>530</v>
      </c>
      <c r="B365" s="183">
        <v>33552</v>
      </c>
      <c r="C365" s="183">
        <v>43874</v>
      </c>
      <c r="D365" s="182">
        <v>28</v>
      </c>
      <c r="E365" s="4" t="s">
        <v>58</v>
      </c>
      <c r="F365" s="143" t="s">
        <v>116</v>
      </c>
      <c r="G365" s="142">
        <v>33.338349219856681</v>
      </c>
      <c r="H365" s="11" t="s">
        <v>59</v>
      </c>
      <c r="I365" s="141" t="s">
        <v>62</v>
      </c>
      <c r="J365" s="147"/>
      <c r="K365" s="146"/>
      <c r="L365" s="147"/>
      <c r="M365" s="146"/>
      <c r="N365" s="147"/>
      <c r="O365" s="146"/>
      <c r="P365" s="147"/>
      <c r="Q365" s="146"/>
      <c r="R365" s="147"/>
      <c r="S365" s="146"/>
      <c r="T365" s="147"/>
      <c r="U365" s="146"/>
      <c r="V365" s="147"/>
      <c r="W365" s="146"/>
      <c r="X365" s="186">
        <v>530</v>
      </c>
      <c r="Y365" s="147"/>
      <c r="Z365" s="146"/>
      <c r="AA365" s="147"/>
      <c r="AB365" s="146"/>
      <c r="AC365" s="147"/>
      <c r="AD365" s="146"/>
      <c r="AE365" s="147"/>
      <c r="AF365" s="146"/>
      <c r="AG365" s="147"/>
      <c r="AH365" s="146"/>
      <c r="AI365" s="147"/>
      <c r="AJ365" s="146"/>
      <c r="AK365" s="147"/>
      <c r="AL365" s="146"/>
      <c r="AM365" s="185">
        <v>530</v>
      </c>
    </row>
    <row r="366" spans="1:39" ht="24" customHeight="1">
      <c r="A366" s="184">
        <v>531</v>
      </c>
      <c r="B366" s="183">
        <v>36725</v>
      </c>
      <c r="C366" s="183">
        <v>43878</v>
      </c>
      <c r="D366" s="182">
        <v>19</v>
      </c>
      <c r="E366" s="3" t="s">
        <v>61</v>
      </c>
      <c r="F366" s="143" t="s">
        <v>116</v>
      </c>
      <c r="G366" s="142">
        <v>26.808802879044823</v>
      </c>
      <c r="H366" s="11" t="s">
        <v>59</v>
      </c>
      <c r="I366" s="141" t="s">
        <v>62</v>
      </c>
      <c r="J366" s="147"/>
      <c r="K366" s="146"/>
      <c r="L366" s="147"/>
      <c r="M366" s="146"/>
      <c r="N366" s="147"/>
      <c r="O366" s="146"/>
      <c r="P366" s="147"/>
      <c r="Q366" s="146"/>
      <c r="R366" s="147"/>
      <c r="S366" s="146"/>
      <c r="T366" s="147"/>
      <c r="U366" s="146"/>
      <c r="V366" s="147"/>
      <c r="W366" s="146"/>
      <c r="X366" s="178"/>
      <c r="Y366" s="147"/>
      <c r="Z366" s="146"/>
      <c r="AA366" s="147"/>
      <c r="AB366" s="146"/>
      <c r="AC366" s="147"/>
      <c r="AD366" s="146"/>
      <c r="AE366" s="147"/>
      <c r="AF366" s="146"/>
      <c r="AG366" s="147"/>
      <c r="AH366" s="146"/>
      <c r="AI366" s="147"/>
      <c r="AJ366" s="146"/>
      <c r="AK366" s="147"/>
      <c r="AL366" s="146"/>
      <c r="AM366" s="177"/>
    </row>
    <row r="367" spans="1:39" ht="24" customHeight="1">
      <c r="A367" s="181">
        <v>535</v>
      </c>
      <c r="B367" s="180">
        <v>20575</v>
      </c>
      <c r="C367" s="180">
        <v>43885</v>
      </c>
      <c r="D367" s="179">
        <v>63</v>
      </c>
      <c r="E367" s="3" t="s">
        <v>61</v>
      </c>
      <c r="F367" s="143" t="s">
        <v>116</v>
      </c>
      <c r="G367" s="142">
        <v>27.98920978139671</v>
      </c>
      <c r="H367" s="11" t="s">
        <v>59</v>
      </c>
      <c r="I367" s="141" t="s">
        <v>62</v>
      </c>
      <c r="J367" s="147"/>
      <c r="K367" s="146"/>
      <c r="L367" s="147"/>
      <c r="M367" s="146"/>
      <c r="N367" s="147"/>
      <c r="O367" s="146"/>
      <c r="P367" s="147"/>
      <c r="Q367" s="146"/>
      <c r="R367" s="147"/>
      <c r="S367" s="146"/>
      <c r="T367" s="147"/>
      <c r="U367" s="146"/>
      <c r="V367" s="147"/>
      <c r="W367" s="146"/>
      <c r="X367" s="178"/>
      <c r="Y367" s="147"/>
      <c r="Z367" s="146"/>
      <c r="AA367" s="147"/>
      <c r="AB367" s="146"/>
      <c r="AC367" s="147"/>
      <c r="AD367" s="146"/>
      <c r="AE367" s="147"/>
      <c r="AF367" s="146"/>
      <c r="AG367" s="147"/>
      <c r="AH367" s="146"/>
      <c r="AI367" s="147"/>
      <c r="AJ367" s="146"/>
      <c r="AK367" s="147"/>
      <c r="AL367" s="146"/>
      <c r="AM367" s="177"/>
    </row>
    <row r="368" spans="1:39" ht="24" customHeight="1">
      <c r="A368" s="171" t="s">
        <v>130</v>
      </c>
      <c r="B368" s="151">
        <v>37583</v>
      </c>
      <c r="C368" s="151">
        <v>43767</v>
      </c>
      <c r="D368" s="150">
        <v>16</v>
      </c>
      <c r="E368" s="3" t="s">
        <v>61</v>
      </c>
      <c r="F368" s="143" t="s">
        <v>116</v>
      </c>
      <c r="G368" s="142">
        <v>20.884674443678083</v>
      </c>
      <c r="H368" s="11" t="s">
        <v>59</v>
      </c>
      <c r="I368" s="82" t="s">
        <v>60</v>
      </c>
      <c r="J368" s="147">
        <v>618013</v>
      </c>
      <c r="K368" s="146">
        <v>800578</v>
      </c>
      <c r="L368" s="147">
        <v>438169</v>
      </c>
      <c r="M368" s="146">
        <v>825176</v>
      </c>
      <c r="N368" s="147">
        <v>394600</v>
      </c>
      <c r="O368" s="146">
        <v>781605</v>
      </c>
      <c r="P368" s="147">
        <v>226872</v>
      </c>
      <c r="Q368" s="146">
        <v>334125</v>
      </c>
      <c r="R368" s="147">
        <v>242143</v>
      </c>
      <c r="S368" s="146">
        <v>293183</v>
      </c>
      <c r="T368" s="147">
        <v>65888</v>
      </c>
      <c r="U368" s="146">
        <v>79783</v>
      </c>
      <c r="V368" s="147">
        <v>688889</v>
      </c>
      <c r="W368" s="146">
        <v>496297</v>
      </c>
      <c r="X368" s="174" t="s">
        <v>130</v>
      </c>
      <c r="Y368" s="147">
        <v>4728</v>
      </c>
      <c r="Z368" s="146">
        <v>12732</v>
      </c>
      <c r="AA368" s="147">
        <v>4864</v>
      </c>
      <c r="AB368" s="146">
        <v>7003</v>
      </c>
      <c r="AC368" s="147">
        <v>13136</v>
      </c>
      <c r="AD368" s="146">
        <v>14824</v>
      </c>
      <c r="AE368" s="147">
        <v>4168</v>
      </c>
      <c r="AF368" s="146">
        <v>4874</v>
      </c>
      <c r="AG368" s="147">
        <v>5216</v>
      </c>
      <c r="AH368" s="146">
        <v>5609</v>
      </c>
      <c r="AI368" s="147"/>
      <c r="AJ368" s="146"/>
      <c r="AK368" s="147">
        <v>5858</v>
      </c>
      <c r="AL368" s="146">
        <v>6351</v>
      </c>
      <c r="AM368" s="173" t="s">
        <v>130</v>
      </c>
    </row>
    <row r="369" spans="1:39" ht="24" customHeight="1">
      <c r="A369" s="171" t="s">
        <v>131</v>
      </c>
      <c r="B369" s="151">
        <v>37368</v>
      </c>
      <c r="C369" s="151">
        <v>43840</v>
      </c>
      <c r="D369" s="150">
        <v>17</v>
      </c>
      <c r="E369" s="3" t="s">
        <v>61</v>
      </c>
      <c r="F369" s="143" t="s">
        <v>116</v>
      </c>
      <c r="G369" s="142">
        <v>25.897987683432159</v>
      </c>
      <c r="H369" s="11" t="s">
        <v>59</v>
      </c>
      <c r="I369" s="82" t="s">
        <v>60</v>
      </c>
      <c r="J369" s="147">
        <v>285723</v>
      </c>
      <c r="K369" s="146">
        <v>489445</v>
      </c>
      <c r="L369" s="147">
        <v>208991</v>
      </c>
      <c r="M369" s="146">
        <v>363594</v>
      </c>
      <c r="N369" s="147">
        <v>253395</v>
      </c>
      <c r="O369" s="146">
        <v>419847</v>
      </c>
      <c r="P369" s="147">
        <v>105843</v>
      </c>
      <c r="Q369" s="146">
        <v>236219</v>
      </c>
      <c r="R369" s="147">
        <v>366058</v>
      </c>
      <c r="S369" s="146">
        <v>474375</v>
      </c>
      <c r="T369" s="147"/>
      <c r="U369" s="146">
        <v>124337</v>
      </c>
      <c r="V369" s="147">
        <v>160308</v>
      </c>
      <c r="W369" s="146">
        <v>294168</v>
      </c>
      <c r="X369" s="174" t="s">
        <v>131</v>
      </c>
      <c r="Y369" s="147">
        <v>2655</v>
      </c>
      <c r="Z369" s="146">
        <v>5248</v>
      </c>
      <c r="AA369" s="147">
        <v>2244</v>
      </c>
      <c r="AB369" s="146">
        <v>2968</v>
      </c>
      <c r="AC369" s="147">
        <v>2293</v>
      </c>
      <c r="AD369" s="146">
        <v>3139</v>
      </c>
      <c r="AE369" s="147">
        <v>586.9</v>
      </c>
      <c r="AF369" s="146">
        <v>1219</v>
      </c>
      <c r="AG369" s="147">
        <v>3616</v>
      </c>
      <c r="AH369" s="146">
        <v>4442</v>
      </c>
      <c r="AI369" s="147"/>
      <c r="AJ369" s="146"/>
      <c r="AK369" s="147">
        <v>2699</v>
      </c>
      <c r="AL369" s="146">
        <v>3289</v>
      </c>
      <c r="AM369" s="173" t="s">
        <v>131</v>
      </c>
    </row>
    <row r="370" spans="1:39" ht="24" customHeight="1">
      <c r="A370" s="171" t="s">
        <v>132</v>
      </c>
      <c r="B370" s="151">
        <v>37470</v>
      </c>
      <c r="C370" s="151">
        <v>43771</v>
      </c>
      <c r="D370" s="150">
        <v>17</v>
      </c>
      <c r="E370" s="3" t="s">
        <v>61</v>
      </c>
      <c r="F370" s="143" t="s">
        <v>116</v>
      </c>
      <c r="G370" s="142">
        <v>20.083361613630231</v>
      </c>
      <c r="H370" s="11" t="s">
        <v>59</v>
      </c>
      <c r="I370" s="82" t="s">
        <v>60</v>
      </c>
      <c r="J370" s="147">
        <v>65736</v>
      </c>
      <c r="K370" s="146">
        <v>81062</v>
      </c>
      <c r="L370" s="147">
        <v>46805</v>
      </c>
      <c r="M370" s="146">
        <v>70859</v>
      </c>
      <c r="N370" s="147">
        <v>108979</v>
      </c>
      <c r="O370" s="146">
        <v>168738</v>
      </c>
      <c r="P370" s="147">
        <v>92598</v>
      </c>
      <c r="Q370" s="146">
        <v>111741</v>
      </c>
      <c r="R370" s="147">
        <v>48660</v>
      </c>
      <c r="S370" s="146">
        <v>60161</v>
      </c>
      <c r="T370" s="147">
        <v>12179</v>
      </c>
      <c r="U370" s="146">
        <v>15642</v>
      </c>
      <c r="V370" s="147">
        <v>141263</v>
      </c>
      <c r="W370" s="146">
        <v>147973</v>
      </c>
      <c r="X370" s="174" t="s">
        <v>132</v>
      </c>
      <c r="Y370" s="147">
        <v>3788</v>
      </c>
      <c r="Z370" s="146">
        <v>4193</v>
      </c>
      <c r="AA370" s="147">
        <v>945.3</v>
      </c>
      <c r="AB370" s="146">
        <v>1247</v>
      </c>
      <c r="AC370" s="147">
        <v>30704</v>
      </c>
      <c r="AD370" s="146">
        <v>25363</v>
      </c>
      <c r="AE370" s="147">
        <v>10950</v>
      </c>
      <c r="AF370" s="146">
        <v>11534</v>
      </c>
      <c r="AG370" s="147">
        <v>2898</v>
      </c>
      <c r="AH370" s="146">
        <v>2659</v>
      </c>
      <c r="AI370" s="147"/>
      <c r="AJ370" s="146"/>
      <c r="AK370" s="147">
        <v>3037</v>
      </c>
      <c r="AL370" s="146">
        <v>3119</v>
      </c>
      <c r="AM370" s="173" t="s">
        <v>132</v>
      </c>
    </row>
    <row r="371" spans="1:39" ht="24" customHeight="1">
      <c r="A371" s="171" t="s">
        <v>133</v>
      </c>
      <c r="B371" s="151">
        <v>37366</v>
      </c>
      <c r="C371" s="151">
        <v>43760</v>
      </c>
      <c r="D371" s="150">
        <v>17</v>
      </c>
      <c r="E371" s="4" t="s">
        <v>58</v>
      </c>
      <c r="F371" s="143" t="s">
        <v>116</v>
      </c>
      <c r="G371" s="142">
        <v>24.029858101220142</v>
      </c>
      <c r="H371" s="11" t="s">
        <v>59</v>
      </c>
      <c r="I371" s="82" t="s">
        <v>60</v>
      </c>
      <c r="J371" s="147">
        <v>334275</v>
      </c>
      <c r="K371" s="146">
        <v>813006</v>
      </c>
      <c r="L371" s="147">
        <v>263882</v>
      </c>
      <c r="M371" s="146">
        <v>1021079</v>
      </c>
      <c r="N371" s="147">
        <v>137141</v>
      </c>
      <c r="O371" s="146">
        <v>872045</v>
      </c>
      <c r="P371" s="147">
        <v>184021</v>
      </c>
      <c r="Q371" s="146">
        <v>893472</v>
      </c>
      <c r="R371" s="147">
        <v>296386</v>
      </c>
      <c r="S371" s="146">
        <v>363222</v>
      </c>
      <c r="T371" s="147">
        <v>58078</v>
      </c>
      <c r="U371" s="146">
        <v>77877</v>
      </c>
      <c r="V371" s="147">
        <v>176170</v>
      </c>
      <c r="W371" s="146">
        <v>207019</v>
      </c>
      <c r="X371" s="174" t="s">
        <v>133</v>
      </c>
      <c r="Y371" s="147">
        <v>11333</v>
      </c>
      <c r="Z371" s="146">
        <v>21260</v>
      </c>
      <c r="AA371" s="147">
        <v>6620</v>
      </c>
      <c r="AB371" s="146">
        <v>12038</v>
      </c>
      <c r="AC371" s="147">
        <v>16112</v>
      </c>
      <c r="AD371" s="146">
        <v>29562</v>
      </c>
      <c r="AE371" s="147">
        <v>4344</v>
      </c>
      <c r="AF371" s="146">
        <v>14687</v>
      </c>
      <c r="AG371" s="147">
        <v>3389</v>
      </c>
      <c r="AH371" s="146">
        <v>4531</v>
      </c>
      <c r="AI371" s="147"/>
      <c r="AJ371" s="146"/>
      <c r="AK371" s="147">
        <v>1754</v>
      </c>
      <c r="AL371" s="146">
        <v>2424</v>
      </c>
      <c r="AM371" s="173" t="s">
        <v>133</v>
      </c>
    </row>
    <row r="372" spans="1:39" ht="24" customHeight="1">
      <c r="A372" s="169" t="s">
        <v>134</v>
      </c>
      <c r="B372" s="145">
        <v>38439</v>
      </c>
      <c r="C372" s="145">
        <v>43759</v>
      </c>
      <c r="D372" s="144">
        <v>14</v>
      </c>
      <c r="E372" s="3" t="s">
        <v>61</v>
      </c>
      <c r="F372" s="143" t="s">
        <v>116</v>
      </c>
      <c r="G372" s="142">
        <v>21.760889446996217</v>
      </c>
      <c r="H372" s="11" t="s">
        <v>59</v>
      </c>
      <c r="I372" s="82" t="s">
        <v>60</v>
      </c>
      <c r="J372" s="147">
        <v>65242</v>
      </c>
      <c r="K372" s="146">
        <v>157443</v>
      </c>
      <c r="L372" s="147">
        <v>46747</v>
      </c>
      <c r="M372" s="146">
        <v>83617</v>
      </c>
      <c r="N372" s="147">
        <v>161624</v>
      </c>
      <c r="O372" s="146">
        <v>554994</v>
      </c>
      <c r="P372" s="147">
        <v>59024</v>
      </c>
      <c r="Q372" s="146">
        <v>229073</v>
      </c>
      <c r="R372" s="147">
        <v>333517</v>
      </c>
      <c r="S372" s="146">
        <v>548290</v>
      </c>
      <c r="T372" s="147">
        <v>109147</v>
      </c>
      <c r="U372" s="146">
        <v>160226</v>
      </c>
      <c r="V372" s="147">
        <v>183566</v>
      </c>
      <c r="W372" s="146">
        <v>277749</v>
      </c>
      <c r="X372" s="176" t="s">
        <v>134</v>
      </c>
      <c r="Y372" s="147">
        <v>2521</v>
      </c>
      <c r="Z372" s="146">
        <v>3056</v>
      </c>
      <c r="AA372" s="147">
        <v>714.7</v>
      </c>
      <c r="AB372" s="146">
        <v>893.7</v>
      </c>
      <c r="AC372" s="147">
        <v>5310</v>
      </c>
      <c r="AD372" s="146">
        <v>6227</v>
      </c>
      <c r="AE372" s="147">
        <v>1871</v>
      </c>
      <c r="AF372" s="146">
        <v>2243</v>
      </c>
      <c r="AG372" s="147">
        <v>6346</v>
      </c>
      <c r="AH372" s="146">
        <v>6516</v>
      </c>
      <c r="AI372" s="147"/>
      <c r="AJ372" s="146"/>
      <c r="AK372" s="147">
        <v>3349</v>
      </c>
      <c r="AL372" s="146">
        <v>3731</v>
      </c>
      <c r="AM372" s="175" t="s">
        <v>134</v>
      </c>
    </row>
    <row r="373" spans="1:39" ht="24" customHeight="1">
      <c r="A373" s="171" t="s">
        <v>135</v>
      </c>
      <c r="B373" s="151">
        <v>37441</v>
      </c>
      <c r="C373" s="151">
        <v>43743</v>
      </c>
      <c r="D373" s="150">
        <v>17</v>
      </c>
      <c r="E373" s="4" t="s">
        <v>58</v>
      </c>
      <c r="F373" s="143" t="s">
        <v>116</v>
      </c>
      <c r="G373" s="142">
        <v>18.800093151429294</v>
      </c>
      <c r="H373" s="11" t="s">
        <v>59</v>
      </c>
      <c r="I373" s="82" t="s">
        <v>60</v>
      </c>
      <c r="J373" s="147">
        <v>142820</v>
      </c>
      <c r="K373" s="146">
        <v>211125</v>
      </c>
      <c r="L373" s="147">
        <v>91024</v>
      </c>
      <c r="M373" s="146">
        <v>164788</v>
      </c>
      <c r="N373" s="147">
        <v>729922</v>
      </c>
      <c r="O373" s="146">
        <v>1005713</v>
      </c>
      <c r="P373" s="147">
        <v>140645</v>
      </c>
      <c r="Q373" s="146">
        <v>247611</v>
      </c>
      <c r="R373" s="147">
        <v>706517</v>
      </c>
      <c r="S373" s="146">
        <v>664264</v>
      </c>
      <c r="T373" s="147">
        <v>131685</v>
      </c>
      <c r="U373" s="146">
        <v>176640</v>
      </c>
      <c r="V373" s="147">
        <v>777389</v>
      </c>
      <c r="W373" s="146">
        <v>779883</v>
      </c>
      <c r="X373" s="174" t="s">
        <v>135</v>
      </c>
      <c r="Y373" s="147">
        <v>893.7</v>
      </c>
      <c r="Z373" s="146">
        <v>1011</v>
      </c>
      <c r="AA373" s="147">
        <v>259.3</v>
      </c>
      <c r="AB373" s="146">
        <v>419.7</v>
      </c>
      <c r="AC373" s="147">
        <v>2131</v>
      </c>
      <c r="AD373" s="146">
        <v>1915</v>
      </c>
      <c r="AE373" s="147">
        <v>308.10000000000002</v>
      </c>
      <c r="AF373" s="146">
        <v>380.2</v>
      </c>
      <c r="AG373" s="147">
        <v>6060</v>
      </c>
      <c r="AH373" s="146">
        <v>6703</v>
      </c>
      <c r="AI373" s="147"/>
      <c r="AJ373" s="146"/>
      <c r="AK373" s="147">
        <v>2994</v>
      </c>
      <c r="AL373" s="146">
        <v>3281</v>
      </c>
      <c r="AM373" s="173" t="s">
        <v>135</v>
      </c>
    </row>
    <row r="374" spans="1:39" ht="24" customHeight="1">
      <c r="A374" s="171" t="s">
        <v>136</v>
      </c>
      <c r="B374" s="151">
        <v>37656</v>
      </c>
      <c r="C374" s="151">
        <v>43773</v>
      </c>
      <c r="D374" s="150">
        <v>16</v>
      </c>
      <c r="E374" s="4" t="s">
        <v>58</v>
      </c>
      <c r="F374" s="143" t="s">
        <v>127</v>
      </c>
      <c r="G374" s="142">
        <v>23.663481404958677</v>
      </c>
      <c r="H374" s="11" t="s">
        <v>59</v>
      </c>
      <c r="I374" s="82" t="s">
        <v>60</v>
      </c>
      <c r="J374" s="147">
        <v>435083</v>
      </c>
      <c r="K374" s="146">
        <v>470294</v>
      </c>
      <c r="L374" s="147">
        <v>395743</v>
      </c>
      <c r="M374" s="146">
        <v>310384</v>
      </c>
      <c r="N374" s="147">
        <v>105706</v>
      </c>
      <c r="O374" s="146">
        <v>135433</v>
      </c>
      <c r="P374" s="147">
        <v>27665</v>
      </c>
      <c r="Q374" s="146">
        <v>41738</v>
      </c>
      <c r="R374" s="147">
        <v>451258</v>
      </c>
      <c r="S374" s="146">
        <v>497159</v>
      </c>
      <c r="T374" s="147">
        <v>108221</v>
      </c>
      <c r="U374" s="146">
        <v>139325</v>
      </c>
      <c r="V374" s="147">
        <v>608658</v>
      </c>
      <c r="W374" s="146">
        <v>562631</v>
      </c>
      <c r="X374" s="174" t="s">
        <v>136</v>
      </c>
      <c r="Y374" s="147">
        <v>26012</v>
      </c>
      <c r="Z374" s="146">
        <v>28634</v>
      </c>
      <c r="AA374" s="147">
        <v>17180</v>
      </c>
      <c r="AB374" s="146">
        <v>18789</v>
      </c>
      <c r="AC374" s="147">
        <v>21457</v>
      </c>
      <c r="AD374" s="146">
        <v>26144</v>
      </c>
      <c r="AE374" s="147">
        <v>2854</v>
      </c>
      <c r="AF374" s="146">
        <v>4128</v>
      </c>
      <c r="AG374" s="147">
        <v>10992</v>
      </c>
      <c r="AH374" s="146">
        <v>10847</v>
      </c>
      <c r="AI374" s="147"/>
      <c r="AJ374" s="146"/>
      <c r="AK374" s="147">
        <v>14261</v>
      </c>
      <c r="AL374" s="146">
        <v>15769</v>
      </c>
      <c r="AM374" s="173" t="s">
        <v>136</v>
      </c>
    </row>
    <row r="375" spans="1:39" ht="24" customHeight="1">
      <c r="A375" s="169" t="s">
        <v>137</v>
      </c>
      <c r="B375" s="145">
        <v>38604</v>
      </c>
      <c r="C375" s="145">
        <v>43773</v>
      </c>
      <c r="D375" s="144">
        <v>14</v>
      </c>
      <c r="E375" s="3" t="s">
        <v>61</v>
      </c>
      <c r="F375" s="143" t="s">
        <v>116</v>
      </c>
      <c r="G375" s="142">
        <v>26.307573246201258</v>
      </c>
      <c r="H375" s="11" t="s">
        <v>59</v>
      </c>
      <c r="I375" s="82" t="s">
        <v>60</v>
      </c>
      <c r="J375" s="147">
        <v>250816</v>
      </c>
      <c r="K375" s="146">
        <v>529615</v>
      </c>
      <c r="L375" s="147">
        <v>302330</v>
      </c>
      <c r="M375" s="146">
        <v>463099</v>
      </c>
      <c r="N375" s="147">
        <v>162162</v>
      </c>
      <c r="O375" s="146">
        <v>382953</v>
      </c>
      <c r="P375" s="147">
        <v>247942</v>
      </c>
      <c r="Q375" s="146">
        <v>390523</v>
      </c>
      <c r="R375" s="147">
        <v>185314</v>
      </c>
      <c r="S375" s="146">
        <v>327137</v>
      </c>
      <c r="T375" s="147">
        <v>36755</v>
      </c>
      <c r="U375" s="146">
        <v>60954</v>
      </c>
      <c r="V375" s="147">
        <v>74704</v>
      </c>
      <c r="W375" s="146">
        <v>148353</v>
      </c>
      <c r="X375" s="176" t="s">
        <v>137</v>
      </c>
      <c r="Y375" s="147">
        <v>17561</v>
      </c>
      <c r="Z375" s="146">
        <v>28890</v>
      </c>
      <c r="AA375" s="147">
        <v>10927</v>
      </c>
      <c r="AB375" s="146">
        <v>14922</v>
      </c>
      <c r="AC375" s="147">
        <v>3262</v>
      </c>
      <c r="AD375" s="146">
        <v>4160</v>
      </c>
      <c r="AE375" s="147">
        <v>312</v>
      </c>
      <c r="AF375" s="146">
        <v>555</v>
      </c>
      <c r="AG375" s="147">
        <v>3006</v>
      </c>
      <c r="AH375" s="146">
        <v>4791</v>
      </c>
      <c r="AI375" s="147"/>
      <c r="AJ375" s="146"/>
      <c r="AK375" s="147">
        <v>1269</v>
      </c>
      <c r="AL375" s="146">
        <v>5708</v>
      </c>
      <c r="AM375" s="175" t="s">
        <v>137</v>
      </c>
    </row>
    <row r="376" spans="1:39" ht="24" customHeight="1">
      <c r="A376" s="171" t="s">
        <v>138</v>
      </c>
      <c r="B376" s="151">
        <v>37240</v>
      </c>
      <c r="C376" s="151">
        <v>43753</v>
      </c>
      <c r="D376" s="150">
        <v>17</v>
      </c>
      <c r="E376" s="4" t="s">
        <v>58</v>
      </c>
      <c r="F376" s="143" t="s">
        <v>116</v>
      </c>
      <c r="G376" s="142">
        <v>21.79003168615796</v>
      </c>
      <c r="H376" s="11" t="s">
        <v>59</v>
      </c>
      <c r="I376" s="82" t="s">
        <v>60</v>
      </c>
      <c r="J376" s="147">
        <v>175406</v>
      </c>
      <c r="K376" s="146">
        <v>217935</v>
      </c>
      <c r="L376" s="147">
        <v>135515</v>
      </c>
      <c r="M376" s="146">
        <v>150805</v>
      </c>
      <c r="N376" s="147">
        <v>121974</v>
      </c>
      <c r="O376" s="146">
        <v>134986</v>
      </c>
      <c r="P376" s="147">
        <v>37909</v>
      </c>
      <c r="Q376" s="146">
        <v>61569</v>
      </c>
      <c r="R376" s="147">
        <v>152110</v>
      </c>
      <c r="S376" s="146">
        <v>242295</v>
      </c>
      <c r="T376" s="147">
        <v>55491</v>
      </c>
      <c r="U376" s="146">
        <v>71585</v>
      </c>
      <c r="V376" s="147">
        <v>159068</v>
      </c>
      <c r="W376" s="146">
        <v>185406</v>
      </c>
      <c r="X376" s="174" t="s">
        <v>138</v>
      </c>
      <c r="Y376" s="147">
        <v>2991</v>
      </c>
      <c r="Z376" s="146">
        <v>3422</v>
      </c>
      <c r="AA376" s="147">
        <v>988.2</v>
      </c>
      <c r="AB376" s="146">
        <v>1144</v>
      </c>
      <c r="AC376" s="147">
        <v>12200</v>
      </c>
      <c r="AD376" s="146">
        <v>10501</v>
      </c>
      <c r="AE376" s="147">
        <v>2525</v>
      </c>
      <c r="AF376" s="146">
        <v>3406</v>
      </c>
      <c r="AG376" s="147">
        <v>5071</v>
      </c>
      <c r="AH376" s="146">
        <v>4435</v>
      </c>
      <c r="AI376" s="147"/>
      <c r="AJ376" s="146"/>
      <c r="AK376" s="147">
        <v>5287</v>
      </c>
      <c r="AL376" s="146">
        <v>5072</v>
      </c>
      <c r="AM376" s="173" t="s">
        <v>138</v>
      </c>
    </row>
    <row r="377" spans="1:39" ht="24" customHeight="1">
      <c r="A377" s="171" t="s">
        <v>139</v>
      </c>
      <c r="B377" s="151">
        <v>38007</v>
      </c>
      <c r="C377" s="151">
        <v>43792</v>
      </c>
      <c r="D377" s="150">
        <v>15</v>
      </c>
      <c r="E377" s="3" t="s">
        <v>61</v>
      </c>
      <c r="F377" s="143" t="s">
        <v>116</v>
      </c>
      <c r="G377" s="142">
        <v>28.308517284464799</v>
      </c>
      <c r="H377" s="11" t="s">
        <v>59</v>
      </c>
      <c r="I377" s="82" t="s">
        <v>60</v>
      </c>
      <c r="J377" s="147">
        <v>888238</v>
      </c>
      <c r="K377" s="146">
        <v>991059</v>
      </c>
      <c r="L377" s="147">
        <v>582728</v>
      </c>
      <c r="M377" s="146">
        <v>578798</v>
      </c>
      <c r="N377" s="147">
        <v>513524</v>
      </c>
      <c r="O377" s="146">
        <v>908252</v>
      </c>
      <c r="P377" s="147">
        <v>95351</v>
      </c>
      <c r="Q377" s="146">
        <v>261531</v>
      </c>
      <c r="R377" s="147">
        <v>191527</v>
      </c>
      <c r="S377" s="146">
        <v>258004</v>
      </c>
      <c r="T377" s="147">
        <v>34831</v>
      </c>
      <c r="U377" s="146">
        <v>55682</v>
      </c>
      <c r="V377" s="147">
        <v>203681</v>
      </c>
      <c r="W377" s="146">
        <v>205872</v>
      </c>
      <c r="X377" s="174" t="s">
        <v>139</v>
      </c>
      <c r="Y377" s="147">
        <v>16363</v>
      </c>
      <c r="Z377" s="146">
        <v>17960</v>
      </c>
      <c r="AA377" s="147">
        <v>6364</v>
      </c>
      <c r="AB377" s="146">
        <v>7193</v>
      </c>
      <c r="AC377" s="147">
        <v>17240</v>
      </c>
      <c r="AD377" s="146">
        <v>22995</v>
      </c>
      <c r="AE377" s="147">
        <v>5347</v>
      </c>
      <c r="AF377" s="146">
        <v>8527</v>
      </c>
      <c r="AG377" s="147">
        <v>16932</v>
      </c>
      <c r="AH377" s="146">
        <v>17563</v>
      </c>
      <c r="AI377" s="147"/>
      <c r="AJ377" s="146"/>
      <c r="AK377" s="147">
        <v>20422</v>
      </c>
      <c r="AL377" s="146">
        <v>35878</v>
      </c>
      <c r="AM377" s="173" t="s">
        <v>139</v>
      </c>
    </row>
    <row r="378" spans="1:39" ht="24" customHeight="1">
      <c r="A378" s="171" t="s">
        <v>140</v>
      </c>
      <c r="B378" s="151">
        <v>37776</v>
      </c>
      <c r="C378" s="151">
        <v>43780</v>
      </c>
      <c r="D378" s="150">
        <v>16</v>
      </c>
      <c r="E378" s="3" t="s">
        <v>61</v>
      </c>
      <c r="F378" s="143" t="s">
        <v>116</v>
      </c>
      <c r="G378" s="142">
        <v>24.03904486883933</v>
      </c>
      <c r="H378" s="11" t="s">
        <v>59</v>
      </c>
      <c r="I378" s="82" t="s">
        <v>60</v>
      </c>
      <c r="J378" s="147">
        <v>448621</v>
      </c>
      <c r="K378" s="146">
        <v>496728</v>
      </c>
      <c r="L378" s="147">
        <v>264639</v>
      </c>
      <c r="M378" s="146">
        <v>282985</v>
      </c>
      <c r="N378" s="147">
        <v>144285</v>
      </c>
      <c r="O378" s="146">
        <v>191880</v>
      </c>
      <c r="P378" s="147">
        <v>222599</v>
      </c>
      <c r="Q378" s="146">
        <v>1186203</v>
      </c>
      <c r="R378" s="147">
        <v>161148</v>
      </c>
      <c r="S378" s="146">
        <v>176135</v>
      </c>
      <c r="T378" s="147">
        <v>31257</v>
      </c>
      <c r="U378" s="146">
        <v>42074</v>
      </c>
      <c r="V378" s="147">
        <v>236911</v>
      </c>
      <c r="W378" s="146">
        <v>241657</v>
      </c>
      <c r="X378" s="174" t="s">
        <v>140</v>
      </c>
      <c r="Y378" s="147">
        <v>3155</v>
      </c>
      <c r="Z378" s="146">
        <v>2985</v>
      </c>
      <c r="AA378" s="147"/>
      <c r="AB378" s="146">
        <v>2183</v>
      </c>
      <c r="AC378" s="147">
        <v>4007</v>
      </c>
      <c r="AD378" s="146">
        <v>6526</v>
      </c>
      <c r="AE378" s="147">
        <v>745</v>
      </c>
      <c r="AF378" s="146">
        <v>2108</v>
      </c>
      <c r="AG378" s="147">
        <v>4038</v>
      </c>
      <c r="AH378" s="146">
        <v>2840</v>
      </c>
      <c r="AI378" s="147"/>
      <c r="AJ378" s="146"/>
      <c r="AK378" s="147">
        <v>4759</v>
      </c>
      <c r="AL378" s="146">
        <v>5103</v>
      </c>
      <c r="AM378" s="173" t="s">
        <v>140</v>
      </c>
    </row>
    <row r="379" spans="1:39" ht="24" customHeight="1">
      <c r="A379" s="171" t="s">
        <v>141</v>
      </c>
      <c r="B379" s="151">
        <v>37663</v>
      </c>
      <c r="C379" s="151">
        <v>43756</v>
      </c>
      <c r="D379" s="150">
        <v>16</v>
      </c>
      <c r="E379" s="4" t="s">
        <v>58</v>
      </c>
      <c r="F379" s="143" t="s">
        <v>116</v>
      </c>
      <c r="G379" s="142">
        <v>25.710360549401543</v>
      </c>
      <c r="H379" s="11" t="s">
        <v>59</v>
      </c>
      <c r="I379" s="82" t="s">
        <v>60</v>
      </c>
      <c r="J379" s="147">
        <v>932095</v>
      </c>
      <c r="K379" s="146">
        <v>1222794</v>
      </c>
      <c r="L379" s="147">
        <v>593706</v>
      </c>
      <c r="M379" s="146">
        <v>572239</v>
      </c>
      <c r="N379" s="147">
        <v>70319</v>
      </c>
      <c r="O379" s="146">
        <v>539201</v>
      </c>
      <c r="P379" s="147">
        <v>91040</v>
      </c>
      <c r="Q379" s="146">
        <v>930916</v>
      </c>
      <c r="R379" s="147">
        <v>119850</v>
      </c>
      <c r="S379" s="146">
        <v>214698</v>
      </c>
      <c r="T379" s="147">
        <v>43509</v>
      </c>
      <c r="U379" s="146">
        <v>76212</v>
      </c>
      <c r="V379" s="147">
        <v>80882</v>
      </c>
      <c r="W379" s="146">
        <v>153053</v>
      </c>
      <c r="X379" s="174" t="s">
        <v>141</v>
      </c>
      <c r="Y379" s="147">
        <v>17597</v>
      </c>
      <c r="Z379" s="146">
        <v>25822</v>
      </c>
      <c r="AA379" s="147">
        <v>9788</v>
      </c>
      <c r="AB379" s="146">
        <v>12642</v>
      </c>
      <c r="AC379" s="147">
        <v>16069</v>
      </c>
      <c r="AD379" s="146">
        <v>44678</v>
      </c>
      <c r="AE379" s="147">
        <v>4189</v>
      </c>
      <c r="AF379" s="146">
        <v>13047</v>
      </c>
      <c r="AG379" s="147">
        <v>3426</v>
      </c>
      <c r="AH379" s="146">
        <v>3592</v>
      </c>
      <c r="AI379" s="147"/>
      <c r="AJ379" s="146"/>
      <c r="AK379" s="147">
        <v>1815</v>
      </c>
      <c r="AL379" s="146">
        <v>2546</v>
      </c>
      <c r="AM379" s="173" t="s">
        <v>141</v>
      </c>
    </row>
    <row r="380" spans="1:39" ht="24" customHeight="1">
      <c r="A380" s="171" t="s">
        <v>142</v>
      </c>
      <c r="B380" s="151">
        <v>37810</v>
      </c>
      <c r="C380" s="151">
        <v>43781</v>
      </c>
      <c r="D380" s="150">
        <v>16</v>
      </c>
      <c r="E380" s="3" t="s">
        <v>61</v>
      </c>
      <c r="F380" s="143" t="s">
        <v>116</v>
      </c>
      <c r="G380" s="142">
        <v>27.101249337354364</v>
      </c>
      <c r="H380" s="11" t="s">
        <v>59</v>
      </c>
      <c r="I380" s="82" t="s">
        <v>60</v>
      </c>
      <c r="J380" s="147">
        <v>42497</v>
      </c>
      <c r="K380" s="146">
        <v>114741</v>
      </c>
      <c r="L380" s="147">
        <v>28573</v>
      </c>
      <c r="M380" s="146">
        <v>80334</v>
      </c>
      <c r="N380" s="147">
        <v>157911</v>
      </c>
      <c r="O380" s="146">
        <v>114054</v>
      </c>
      <c r="P380" s="147">
        <v>24619</v>
      </c>
      <c r="Q380" s="146">
        <v>56731</v>
      </c>
      <c r="R380" s="147">
        <v>144321</v>
      </c>
      <c r="S380" s="146">
        <v>144762</v>
      </c>
      <c r="T380" s="147">
        <v>49053</v>
      </c>
      <c r="U380" s="146">
        <v>61748</v>
      </c>
      <c r="V380" s="147">
        <v>80714</v>
      </c>
      <c r="W380" s="146">
        <v>95819</v>
      </c>
      <c r="X380" s="174" t="s">
        <v>142</v>
      </c>
      <c r="Y380" s="147">
        <v>4084</v>
      </c>
      <c r="Z380" s="146">
        <v>3961</v>
      </c>
      <c r="AA380" s="147">
        <v>700.7</v>
      </c>
      <c r="AB380" s="146">
        <v>769.1</v>
      </c>
      <c r="AC380" s="147">
        <v>4954</v>
      </c>
      <c r="AD380" s="146">
        <v>5025</v>
      </c>
      <c r="AE380" s="147">
        <v>985.4</v>
      </c>
      <c r="AF380" s="146">
        <v>1269</v>
      </c>
      <c r="AG380" s="147">
        <v>4016</v>
      </c>
      <c r="AH380" s="146">
        <v>4072</v>
      </c>
      <c r="AI380" s="147"/>
      <c r="AJ380" s="146"/>
      <c r="AK380" s="147">
        <v>2912</v>
      </c>
      <c r="AL380" s="146">
        <v>2900</v>
      </c>
      <c r="AM380" s="173" t="s">
        <v>142</v>
      </c>
    </row>
    <row r="381" spans="1:39" ht="24" customHeight="1">
      <c r="A381" s="171" t="s">
        <v>143</v>
      </c>
      <c r="B381" s="151">
        <v>37475</v>
      </c>
      <c r="C381" s="151">
        <v>43783</v>
      </c>
      <c r="D381" s="150">
        <v>17</v>
      </c>
      <c r="E381" s="3" t="s">
        <v>61</v>
      </c>
      <c r="F381" s="143" t="s">
        <v>116</v>
      </c>
      <c r="G381" s="142">
        <v>23.138103344301506</v>
      </c>
      <c r="H381" s="11" t="s">
        <v>59</v>
      </c>
      <c r="I381" s="82" t="s">
        <v>60</v>
      </c>
      <c r="J381" s="147">
        <v>243839</v>
      </c>
      <c r="K381" s="146">
        <v>355513</v>
      </c>
      <c r="L381" s="147">
        <v>208433</v>
      </c>
      <c r="M381" s="146">
        <v>304417</v>
      </c>
      <c r="N381" s="147">
        <v>56954</v>
      </c>
      <c r="O381" s="146">
        <v>106245</v>
      </c>
      <c r="P381" s="147">
        <v>14787</v>
      </c>
      <c r="Q381" s="146">
        <v>122959</v>
      </c>
      <c r="R381" s="147">
        <v>139245</v>
      </c>
      <c r="S381" s="146">
        <v>173215</v>
      </c>
      <c r="T381" s="147">
        <v>43441</v>
      </c>
      <c r="U381" s="146">
        <v>80664</v>
      </c>
      <c r="V381" s="147">
        <v>159450</v>
      </c>
      <c r="W381" s="146">
        <v>193149</v>
      </c>
      <c r="X381" s="174" t="s">
        <v>143</v>
      </c>
      <c r="Y381" s="147">
        <v>2870</v>
      </c>
      <c r="Z381" s="146">
        <v>4501</v>
      </c>
      <c r="AA381" s="147">
        <v>1398</v>
      </c>
      <c r="AB381" s="146">
        <v>2369</v>
      </c>
      <c r="AC381" s="147">
        <v>4534</v>
      </c>
      <c r="AD381" s="146">
        <v>12457</v>
      </c>
      <c r="AE381" s="147">
        <v>1258</v>
      </c>
      <c r="AF381" s="146">
        <v>12841</v>
      </c>
      <c r="AG381" s="147">
        <v>1347</v>
      </c>
      <c r="AH381" s="146">
        <v>2035</v>
      </c>
      <c r="AI381" s="147"/>
      <c r="AJ381" s="146"/>
      <c r="AK381" s="147">
        <v>1524</v>
      </c>
      <c r="AL381" s="146">
        <v>2696</v>
      </c>
      <c r="AM381" s="173" t="s">
        <v>143</v>
      </c>
    </row>
    <row r="382" spans="1:39" ht="24" customHeight="1">
      <c r="A382" s="171" t="s">
        <v>144</v>
      </c>
      <c r="B382" s="151">
        <v>38258</v>
      </c>
      <c r="C382" s="151">
        <v>43768</v>
      </c>
      <c r="D382" s="150">
        <v>15</v>
      </c>
      <c r="E382" s="4" t="s">
        <v>58</v>
      </c>
      <c r="F382" s="143" t="s">
        <v>116</v>
      </c>
      <c r="G382" s="142">
        <v>20.286507911738084</v>
      </c>
      <c r="H382" s="11" t="s">
        <v>59</v>
      </c>
      <c r="I382" s="82" t="s">
        <v>60</v>
      </c>
      <c r="J382" s="147">
        <v>181378</v>
      </c>
      <c r="K382" s="146">
        <v>330522</v>
      </c>
      <c r="L382" s="147">
        <v>153464</v>
      </c>
      <c r="M382" s="146">
        <v>241184</v>
      </c>
      <c r="N382" s="147">
        <v>131803</v>
      </c>
      <c r="O382" s="146">
        <v>147559</v>
      </c>
      <c r="P382" s="147">
        <v>37683</v>
      </c>
      <c r="Q382" s="146">
        <v>76443</v>
      </c>
      <c r="R382" s="147">
        <v>71089</v>
      </c>
      <c r="S382" s="146">
        <v>81947</v>
      </c>
      <c r="T382" s="147">
        <v>30199</v>
      </c>
      <c r="U382" s="146">
        <v>48234</v>
      </c>
      <c r="V382" s="147">
        <v>97753</v>
      </c>
      <c r="W382" s="146">
        <v>106048</v>
      </c>
      <c r="X382" s="174" t="s">
        <v>144</v>
      </c>
      <c r="Y382" s="147">
        <v>341.4</v>
      </c>
      <c r="Z382" s="146">
        <v>166.3</v>
      </c>
      <c r="AA382" s="147"/>
      <c r="AB382" s="146"/>
      <c r="AC382" s="147">
        <v>412.3</v>
      </c>
      <c r="AD382" s="146">
        <v>280.8</v>
      </c>
      <c r="AE382" s="147">
        <v>20.93</v>
      </c>
      <c r="AF382" s="146">
        <v>13.57</v>
      </c>
      <c r="AG382" s="147">
        <v>454.9</v>
      </c>
      <c r="AH382" s="146">
        <v>170.1</v>
      </c>
      <c r="AI382" s="147"/>
      <c r="AJ382" s="146"/>
      <c r="AK382" s="147">
        <v>381.8</v>
      </c>
      <c r="AL382" s="146">
        <v>284.5</v>
      </c>
      <c r="AM382" s="173" t="s">
        <v>144</v>
      </c>
    </row>
    <row r="383" spans="1:39" ht="24" customHeight="1">
      <c r="A383" s="171" t="s">
        <v>145</v>
      </c>
      <c r="B383" s="151">
        <v>37712</v>
      </c>
      <c r="C383" s="151">
        <v>43788</v>
      </c>
      <c r="D383" s="150">
        <v>16</v>
      </c>
      <c r="E383" s="3" t="s">
        <v>61</v>
      </c>
      <c r="F383" s="143" t="s">
        <v>146</v>
      </c>
      <c r="G383" s="142">
        <v>20.359141198353232</v>
      </c>
      <c r="H383" s="11" t="s">
        <v>59</v>
      </c>
      <c r="I383" s="82" t="s">
        <v>60</v>
      </c>
      <c r="J383" s="147">
        <v>140751</v>
      </c>
      <c r="K383" s="146">
        <v>160903</v>
      </c>
      <c r="L383" s="147">
        <v>103505</v>
      </c>
      <c r="M383" s="146">
        <v>142642</v>
      </c>
      <c r="N383" s="147">
        <v>240942</v>
      </c>
      <c r="O383" s="146">
        <v>217596</v>
      </c>
      <c r="P383" s="147">
        <v>120093</v>
      </c>
      <c r="Q383" s="146">
        <v>168953</v>
      </c>
      <c r="R383" s="147">
        <v>284627</v>
      </c>
      <c r="S383" s="146">
        <v>231205</v>
      </c>
      <c r="T383" s="147">
        <v>83251</v>
      </c>
      <c r="U383" s="146">
        <v>99060</v>
      </c>
      <c r="V383" s="147">
        <v>185551</v>
      </c>
      <c r="W383" s="146">
        <v>175139</v>
      </c>
      <c r="X383" s="174" t="s">
        <v>145</v>
      </c>
      <c r="Y383" s="147">
        <v>1614</v>
      </c>
      <c r="Z383" s="146">
        <v>2472</v>
      </c>
      <c r="AA383" s="147">
        <v>2069</v>
      </c>
      <c r="AB383" s="146">
        <v>505.1</v>
      </c>
      <c r="AC383" s="147">
        <v>6912</v>
      </c>
      <c r="AD383" s="146">
        <v>9348</v>
      </c>
      <c r="AE383" s="147">
        <v>807.2</v>
      </c>
      <c r="AF383" s="146">
        <v>677.1</v>
      </c>
      <c r="AG383" s="147">
        <v>4606</v>
      </c>
      <c r="AH383" s="146">
        <v>5977</v>
      </c>
      <c r="AI383" s="147"/>
      <c r="AJ383" s="146"/>
      <c r="AK383" s="147">
        <v>3761</v>
      </c>
      <c r="AL383" s="146">
        <v>5332</v>
      </c>
      <c r="AM383" s="173" t="s">
        <v>145</v>
      </c>
    </row>
    <row r="384" spans="1:39" ht="24" customHeight="1">
      <c r="A384" s="171" t="s">
        <v>147</v>
      </c>
      <c r="B384" s="151">
        <v>37737</v>
      </c>
      <c r="C384" s="151">
        <v>43743</v>
      </c>
      <c r="D384" s="150">
        <v>16</v>
      </c>
      <c r="E384" s="4" t="s">
        <v>58</v>
      </c>
      <c r="F384" s="143" t="s">
        <v>127</v>
      </c>
      <c r="G384" s="142">
        <v>20.659610741332582</v>
      </c>
      <c r="H384" s="11" t="s">
        <v>59</v>
      </c>
      <c r="I384" s="82" t="s">
        <v>60</v>
      </c>
      <c r="J384" s="147">
        <v>124905</v>
      </c>
      <c r="K384" s="146">
        <v>159976</v>
      </c>
      <c r="L384" s="147">
        <v>90596</v>
      </c>
      <c r="M384" s="146">
        <v>103797</v>
      </c>
      <c r="N384" s="147">
        <v>206217</v>
      </c>
      <c r="O384" s="146">
        <v>183649</v>
      </c>
      <c r="P384" s="147">
        <v>83259</v>
      </c>
      <c r="Q384" s="146">
        <v>82709</v>
      </c>
      <c r="R384" s="147">
        <v>213139</v>
      </c>
      <c r="S384" s="146">
        <v>176195</v>
      </c>
      <c r="T384" s="147">
        <v>55536</v>
      </c>
      <c r="U384" s="146">
        <v>64941</v>
      </c>
      <c r="V384" s="147">
        <v>145742</v>
      </c>
      <c r="W384" s="146">
        <v>152826</v>
      </c>
      <c r="X384" s="174" t="s">
        <v>147</v>
      </c>
      <c r="Y384" s="147">
        <v>6099</v>
      </c>
      <c r="Z384" s="146">
        <v>6020</v>
      </c>
      <c r="AA384" s="147">
        <v>8589</v>
      </c>
      <c r="AB384" s="146">
        <v>8300</v>
      </c>
      <c r="AC384" s="147">
        <v>4402</v>
      </c>
      <c r="AD384" s="146">
        <v>4289</v>
      </c>
      <c r="AE384" s="147">
        <v>1686</v>
      </c>
      <c r="AF384" s="146">
        <v>1744</v>
      </c>
      <c r="AG384" s="147">
        <v>8968</v>
      </c>
      <c r="AH384" s="146">
        <v>8494</v>
      </c>
      <c r="AI384" s="147"/>
      <c r="AJ384" s="146"/>
      <c r="AK384" s="147">
        <v>5519</v>
      </c>
      <c r="AL384" s="146">
        <v>5668</v>
      </c>
      <c r="AM384" s="173" t="s">
        <v>147</v>
      </c>
    </row>
    <row r="385" spans="1:39" ht="24" customHeight="1">
      <c r="A385" s="171" t="s">
        <v>148</v>
      </c>
      <c r="B385" s="151">
        <v>38118</v>
      </c>
      <c r="C385" s="151">
        <v>43747</v>
      </c>
      <c r="D385" s="150">
        <v>15</v>
      </c>
      <c r="E385" s="3" t="s">
        <v>61</v>
      </c>
      <c r="F385" s="143" t="s">
        <v>127</v>
      </c>
      <c r="G385" s="142">
        <v>26.034841325105582</v>
      </c>
      <c r="H385" s="11" t="s">
        <v>59</v>
      </c>
      <c r="I385" s="82" t="s">
        <v>60</v>
      </c>
      <c r="J385" s="147">
        <v>171596</v>
      </c>
      <c r="K385" s="146">
        <v>210731</v>
      </c>
      <c r="L385" s="147">
        <v>128316</v>
      </c>
      <c r="M385" s="146">
        <v>145807</v>
      </c>
      <c r="N385" s="147">
        <v>250045</v>
      </c>
      <c r="O385" s="146">
        <v>344679</v>
      </c>
      <c r="P385" s="147">
        <v>38691</v>
      </c>
      <c r="Q385" s="146">
        <v>118496</v>
      </c>
      <c r="R385" s="147">
        <v>162824</v>
      </c>
      <c r="S385" s="146">
        <v>189874</v>
      </c>
      <c r="T385" s="147">
        <v>63042</v>
      </c>
      <c r="U385" s="146">
        <v>68475</v>
      </c>
      <c r="V385" s="147">
        <v>39144</v>
      </c>
      <c r="W385" s="146">
        <v>55398</v>
      </c>
      <c r="X385" s="174" t="s">
        <v>148</v>
      </c>
      <c r="Y385" s="147">
        <v>2571</v>
      </c>
      <c r="Z385" s="146">
        <v>2647</v>
      </c>
      <c r="AA385" s="147">
        <v>935.7</v>
      </c>
      <c r="AB385" s="146">
        <v>1086</v>
      </c>
      <c r="AC385" s="147">
        <v>1498</v>
      </c>
      <c r="AD385" s="146">
        <v>1310</v>
      </c>
      <c r="AE385" s="147">
        <v>52.67</v>
      </c>
      <c r="AF385" s="146">
        <v>68.2</v>
      </c>
      <c r="AG385" s="147">
        <v>1070</v>
      </c>
      <c r="AH385" s="146">
        <v>956.9</v>
      </c>
      <c r="AI385" s="147"/>
      <c r="AJ385" s="146"/>
      <c r="AK385" s="147">
        <v>767.2</v>
      </c>
      <c r="AL385" s="146">
        <v>753.2</v>
      </c>
      <c r="AM385" s="173" t="s">
        <v>148</v>
      </c>
    </row>
    <row r="386" spans="1:39" ht="24" customHeight="1">
      <c r="A386" s="171" t="s">
        <v>149</v>
      </c>
      <c r="B386" s="151">
        <v>38226</v>
      </c>
      <c r="C386" s="151">
        <v>43770</v>
      </c>
      <c r="D386" s="150">
        <v>15</v>
      </c>
      <c r="E386" s="3" t="s">
        <v>61</v>
      </c>
      <c r="F386" s="143" t="s">
        <v>150</v>
      </c>
      <c r="G386" s="142">
        <v>23.736957223277997</v>
      </c>
      <c r="H386" s="11" t="s">
        <v>59</v>
      </c>
      <c r="I386" s="82" t="s">
        <v>60</v>
      </c>
      <c r="J386" s="147">
        <v>483540</v>
      </c>
      <c r="K386" s="146">
        <v>671309</v>
      </c>
      <c r="L386" s="147">
        <v>400631</v>
      </c>
      <c r="M386" s="146">
        <v>610534</v>
      </c>
      <c r="N386" s="147">
        <v>243804</v>
      </c>
      <c r="O386" s="146">
        <v>288568</v>
      </c>
      <c r="P386" s="147">
        <v>81491</v>
      </c>
      <c r="Q386" s="146">
        <v>119946</v>
      </c>
      <c r="R386" s="147">
        <v>148503</v>
      </c>
      <c r="S386" s="146">
        <v>251733</v>
      </c>
      <c r="T386" s="147">
        <v>105287</v>
      </c>
      <c r="U386" s="146">
        <v>172381</v>
      </c>
      <c r="V386" s="147">
        <v>91143</v>
      </c>
      <c r="W386" s="146">
        <v>324305</v>
      </c>
      <c r="X386" s="174" t="s">
        <v>149</v>
      </c>
      <c r="Y386" s="147">
        <v>6031</v>
      </c>
      <c r="Z386" s="146">
        <v>7325</v>
      </c>
      <c r="AA386" s="147">
        <v>4829</v>
      </c>
      <c r="AB386" s="146">
        <v>4480</v>
      </c>
      <c r="AC386" s="147">
        <v>2441</v>
      </c>
      <c r="AD386" s="146">
        <v>3084</v>
      </c>
      <c r="AE386" s="147">
        <v>537.70000000000005</v>
      </c>
      <c r="AF386" s="146">
        <v>743.7</v>
      </c>
      <c r="AG386" s="147">
        <v>3680</v>
      </c>
      <c r="AH386" s="146">
        <v>4061</v>
      </c>
      <c r="AI386" s="147"/>
      <c r="AJ386" s="146"/>
      <c r="AK386" s="147">
        <v>1791</v>
      </c>
      <c r="AL386" s="146">
        <v>2514</v>
      </c>
      <c r="AM386" s="173" t="s">
        <v>149</v>
      </c>
    </row>
    <row r="387" spans="1:39" ht="24" customHeight="1">
      <c r="A387" s="171" t="s">
        <v>151</v>
      </c>
      <c r="B387" s="151">
        <v>37505</v>
      </c>
      <c r="C387" s="151">
        <v>43775</v>
      </c>
      <c r="D387" s="150">
        <v>17</v>
      </c>
      <c r="E387" s="3" t="s">
        <v>61</v>
      </c>
      <c r="F387" s="143" t="s">
        <v>116</v>
      </c>
      <c r="G387" s="142">
        <v>19.114235923321917</v>
      </c>
      <c r="H387" s="11" t="s">
        <v>59</v>
      </c>
      <c r="I387" s="82" t="s">
        <v>60</v>
      </c>
      <c r="J387" s="147">
        <v>1244933</v>
      </c>
      <c r="K387" s="146">
        <v>1497621</v>
      </c>
      <c r="L387" s="147">
        <v>540725</v>
      </c>
      <c r="M387" s="146">
        <v>446484</v>
      </c>
      <c r="N387" s="147">
        <v>321033</v>
      </c>
      <c r="O387" s="146">
        <v>352114</v>
      </c>
      <c r="P387" s="147">
        <v>174089</v>
      </c>
      <c r="Q387" s="146">
        <v>206901</v>
      </c>
      <c r="R387" s="147">
        <v>262192</v>
      </c>
      <c r="S387" s="146">
        <v>314871</v>
      </c>
      <c r="T387" s="147">
        <v>91428</v>
      </c>
      <c r="U387" s="146">
        <v>105747</v>
      </c>
      <c r="V387" s="147">
        <v>273929</v>
      </c>
      <c r="W387" s="146">
        <v>320337</v>
      </c>
      <c r="X387" s="174" t="s">
        <v>151</v>
      </c>
      <c r="Y387" s="147">
        <v>48289</v>
      </c>
      <c r="Z387" s="146">
        <v>50424</v>
      </c>
      <c r="AA387" s="147">
        <v>24476</v>
      </c>
      <c r="AB387" s="146">
        <v>23849</v>
      </c>
      <c r="AC387" s="147">
        <v>27508</v>
      </c>
      <c r="AD387" s="146">
        <v>28052</v>
      </c>
      <c r="AE387" s="147">
        <v>4477</v>
      </c>
      <c r="AF387" s="146">
        <v>3780</v>
      </c>
      <c r="AG387" s="147">
        <v>7391</v>
      </c>
      <c r="AH387" s="146">
        <v>7587</v>
      </c>
      <c r="AI387" s="147"/>
      <c r="AJ387" s="146"/>
      <c r="AK387" s="147">
        <v>12252</v>
      </c>
      <c r="AL387" s="146">
        <v>13862</v>
      </c>
      <c r="AM387" s="173" t="s">
        <v>151</v>
      </c>
    </row>
    <row r="388" spans="1:39" ht="24" customHeight="1">
      <c r="A388" s="171" t="s">
        <v>152</v>
      </c>
      <c r="B388" s="151">
        <v>37962</v>
      </c>
      <c r="C388" s="151">
        <v>43775</v>
      </c>
      <c r="D388" s="150">
        <v>15</v>
      </c>
      <c r="E388" s="3" t="s">
        <v>61</v>
      </c>
      <c r="F388" s="143" t="s">
        <v>116</v>
      </c>
      <c r="G388" s="142">
        <v>20.187781171413405</v>
      </c>
      <c r="H388" s="11" t="s">
        <v>59</v>
      </c>
      <c r="I388" s="82" t="s">
        <v>60</v>
      </c>
      <c r="J388" s="147">
        <v>1239867</v>
      </c>
      <c r="K388" s="146">
        <v>1257981</v>
      </c>
      <c r="L388" s="147">
        <v>375943</v>
      </c>
      <c r="M388" s="146">
        <v>685441</v>
      </c>
      <c r="N388" s="147">
        <v>286675</v>
      </c>
      <c r="O388" s="146">
        <v>514119</v>
      </c>
      <c r="P388" s="147">
        <v>132647</v>
      </c>
      <c r="Q388" s="146">
        <v>155049</v>
      </c>
      <c r="R388" s="147">
        <v>426621</v>
      </c>
      <c r="S388" s="146">
        <v>401736</v>
      </c>
      <c r="T388" s="147">
        <v>118881</v>
      </c>
      <c r="U388" s="146">
        <v>123217</v>
      </c>
      <c r="V388" s="147">
        <v>106535</v>
      </c>
      <c r="W388" s="146">
        <v>114387</v>
      </c>
      <c r="X388" s="174" t="s">
        <v>152</v>
      </c>
      <c r="Y388" s="147">
        <v>17183</v>
      </c>
      <c r="Z388" s="146">
        <v>18218</v>
      </c>
      <c r="AA388" s="147">
        <v>15631</v>
      </c>
      <c r="AB388" s="146">
        <v>21404</v>
      </c>
      <c r="AC388" s="147">
        <v>4798</v>
      </c>
      <c r="AD388" s="146">
        <v>4923</v>
      </c>
      <c r="AE388" s="147">
        <v>561.4</v>
      </c>
      <c r="AF388" s="146">
        <v>763.8</v>
      </c>
      <c r="AG388" s="147">
        <v>4122</v>
      </c>
      <c r="AH388" s="146">
        <v>4686</v>
      </c>
      <c r="AI388" s="147"/>
      <c r="AJ388" s="146"/>
      <c r="AK388" s="147" t="s">
        <v>1163</v>
      </c>
      <c r="AL388" s="146" t="s">
        <v>1162</v>
      </c>
      <c r="AM388" s="173" t="s">
        <v>152</v>
      </c>
    </row>
    <row r="389" spans="1:39" ht="24" customHeight="1">
      <c r="A389" s="171" t="s">
        <v>153</v>
      </c>
      <c r="B389" s="151">
        <v>38216</v>
      </c>
      <c r="C389" s="151">
        <v>43747</v>
      </c>
      <c r="D389" s="150">
        <v>15</v>
      </c>
      <c r="E389" s="3" t="s">
        <v>61</v>
      </c>
      <c r="F389" s="143" t="s">
        <v>116</v>
      </c>
      <c r="G389" s="142">
        <v>22.589551436050055</v>
      </c>
      <c r="H389" s="11" t="s">
        <v>59</v>
      </c>
      <c r="I389" s="82" t="s">
        <v>60</v>
      </c>
      <c r="J389" s="147">
        <v>57016</v>
      </c>
      <c r="K389" s="146">
        <v>235562</v>
      </c>
      <c r="L389" s="147">
        <v>64164</v>
      </c>
      <c r="M389" s="146">
        <v>178486</v>
      </c>
      <c r="N389" s="147">
        <v>251405</v>
      </c>
      <c r="O389" s="146">
        <v>772445</v>
      </c>
      <c r="P389" s="147">
        <v>90817</v>
      </c>
      <c r="Q389" s="146">
        <v>225336</v>
      </c>
      <c r="R389" s="147">
        <v>281216</v>
      </c>
      <c r="S389" s="146">
        <v>340332</v>
      </c>
      <c r="T389" s="147">
        <v>66088</v>
      </c>
      <c r="U389" s="146">
        <v>103826</v>
      </c>
      <c r="V389" s="147">
        <v>80169</v>
      </c>
      <c r="W389" s="146">
        <v>139036</v>
      </c>
      <c r="X389" s="174" t="s">
        <v>153</v>
      </c>
      <c r="Y389" s="147">
        <v>3175</v>
      </c>
      <c r="Z389" s="146">
        <v>3691</v>
      </c>
      <c r="AA389" s="147">
        <v>1929</v>
      </c>
      <c r="AB389" s="146">
        <v>2722</v>
      </c>
      <c r="AC389" s="147">
        <v>12246</v>
      </c>
      <c r="AD389" s="146">
        <v>14271</v>
      </c>
      <c r="AE389" s="147"/>
      <c r="AF389" s="146"/>
      <c r="AG389" s="147">
        <v>9537</v>
      </c>
      <c r="AH389" s="146">
        <v>13947</v>
      </c>
      <c r="AI389" s="147"/>
      <c r="AJ389" s="146"/>
      <c r="AK389" s="147">
        <v>6153</v>
      </c>
      <c r="AL389" s="146">
        <v>9676</v>
      </c>
      <c r="AM389" s="173" t="s">
        <v>153</v>
      </c>
    </row>
    <row r="390" spans="1:39" ht="24" customHeight="1">
      <c r="A390" s="171" t="s">
        <v>154</v>
      </c>
      <c r="B390" s="151">
        <v>38301</v>
      </c>
      <c r="C390" s="151">
        <v>43792</v>
      </c>
      <c r="D390" s="150">
        <v>15</v>
      </c>
      <c r="E390" s="4" t="s">
        <v>58</v>
      </c>
      <c r="F390" s="143" t="s">
        <v>116</v>
      </c>
      <c r="G390" s="142">
        <v>19.598136947586553</v>
      </c>
      <c r="H390" s="11" t="s">
        <v>59</v>
      </c>
      <c r="I390" s="82" t="s">
        <v>60</v>
      </c>
      <c r="J390" s="147">
        <v>474070</v>
      </c>
      <c r="K390" s="146">
        <v>731254</v>
      </c>
      <c r="L390" s="147">
        <v>365820</v>
      </c>
      <c r="M390" s="146">
        <v>987510</v>
      </c>
      <c r="N390" s="147">
        <v>233464</v>
      </c>
      <c r="O390" s="146">
        <v>460182</v>
      </c>
      <c r="P390" s="147">
        <v>120439</v>
      </c>
      <c r="Q390" s="146">
        <v>193596</v>
      </c>
      <c r="R390" s="147">
        <v>96890</v>
      </c>
      <c r="S390" s="146">
        <v>142428</v>
      </c>
      <c r="T390" s="147">
        <v>50390</v>
      </c>
      <c r="U390" s="146">
        <v>58602</v>
      </c>
      <c r="V390" s="147">
        <v>133784</v>
      </c>
      <c r="W390" s="146">
        <v>214221</v>
      </c>
      <c r="X390" s="174" t="s">
        <v>154</v>
      </c>
      <c r="Y390" s="147">
        <v>6541</v>
      </c>
      <c r="Z390" s="146">
        <v>7157</v>
      </c>
      <c r="AA390" s="147">
        <v>4429</v>
      </c>
      <c r="AB390" s="146">
        <v>5856</v>
      </c>
      <c r="AC390" s="147">
        <v>2899</v>
      </c>
      <c r="AD390" s="146">
        <v>3362</v>
      </c>
      <c r="AE390" s="147">
        <v>399.3</v>
      </c>
      <c r="AF390" s="146">
        <v>473.6</v>
      </c>
      <c r="AG390" s="147">
        <v>2372</v>
      </c>
      <c r="AH390" s="146">
        <v>3419</v>
      </c>
      <c r="AI390" s="147"/>
      <c r="AJ390" s="146"/>
      <c r="AK390" s="147">
        <v>4785</v>
      </c>
      <c r="AL390" s="146">
        <v>9360</v>
      </c>
      <c r="AM390" s="173" t="s">
        <v>154</v>
      </c>
    </row>
    <row r="391" spans="1:39" ht="24" customHeight="1">
      <c r="A391" s="171" t="s">
        <v>155</v>
      </c>
      <c r="B391" s="151">
        <v>37932</v>
      </c>
      <c r="C391" s="151">
        <v>43783</v>
      </c>
      <c r="D391" s="150">
        <v>16</v>
      </c>
      <c r="E391" s="4" t="s">
        <v>58</v>
      </c>
      <c r="F391" s="143" t="s">
        <v>116</v>
      </c>
      <c r="G391" s="142">
        <v>32.226326073950553</v>
      </c>
      <c r="H391" s="11" t="s">
        <v>59</v>
      </c>
      <c r="I391" s="82" t="s">
        <v>60</v>
      </c>
      <c r="J391" s="147" t="s">
        <v>280</v>
      </c>
      <c r="K391" s="146" t="s">
        <v>1161</v>
      </c>
      <c r="L391" s="147">
        <v>133638</v>
      </c>
      <c r="M391" s="146">
        <v>140144</v>
      </c>
      <c r="N391" s="147" t="s">
        <v>280</v>
      </c>
      <c r="O391" s="146" t="s">
        <v>1160</v>
      </c>
      <c r="P391" s="147">
        <v>124579</v>
      </c>
      <c r="Q391" s="146">
        <v>264101</v>
      </c>
      <c r="R391" s="147" t="s">
        <v>280</v>
      </c>
      <c r="S391" s="146" t="s">
        <v>1159</v>
      </c>
      <c r="T391" s="147">
        <v>68911</v>
      </c>
      <c r="U391" s="146">
        <v>102987</v>
      </c>
      <c r="V391" s="147">
        <v>189777</v>
      </c>
      <c r="W391" s="146">
        <v>202160</v>
      </c>
      <c r="X391" s="174" t="s">
        <v>155</v>
      </c>
      <c r="Y391" s="147" t="s">
        <v>280</v>
      </c>
      <c r="Z391" s="146">
        <v>7485</v>
      </c>
      <c r="AA391" s="147">
        <v>6163</v>
      </c>
      <c r="AB391" s="146">
        <v>9386</v>
      </c>
      <c r="AC391" s="147" t="s">
        <v>280</v>
      </c>
      <c r="AD391" s="146">
        <v>19687</v>
      </c>
      <c r="AE391" s="147">
        <v>3629</v>
      </c>
      <c r="AF391" s="146">
        <v>14681</v>
      </c>
      <c r="AG391" s="147" t="s">
        <v>280</v>
      </c>
      <c r="AH391" s="146">
        <v>11342</v>
      </c>
      <c r="AI391" s="147"/>
      <c r="AJ391" s="146"/>
      <c r="AK391" s="147" t="s">
        <v>280</v>
      </c>
      <c r="AL391" s="146">
        <v>9925</v>
      </c>
      <c r="AM391" s="173" t="s">
        <v>155</v>
      </c>
    </row>
    <row r="392" spans="1:39" ht="24" customHeight="1">
      <c r="A392" s="171" t="s">
        <v>156</v>
      </c>
      <c r="B392" s="151">
        <v>37784</v>
      </c>
      <c r="C392" s="151">
        <v>43776</v>
      </c>
      <c r="D392" s="150">
        <v>16</v>
      </c>
      <c r="E392" s="3" t="s">
        <v>61</v>
      </c>
      <c r="F392" s="143" t="s">
        <v>116</v>
      </c>
      <c r="G392" s="142">
        <v>21.814668532014657</v>
      </c>
      <c r="H392" s="11" t="s">
        <v>59</v>
      </c>
      <c r="I392" s="82" t="s">
        <v>60</v>
      </c>
      <c r="J392" s="147">
        <v>525678</v>
      </c>
      <c r="K392" s="146">
        <v>426927</v>
      </c>
      <c r="L392" s="147">
        <v>178856</v>
      </c>
      <c r="M392" s="146">
        <v>205089</v>
      </c>
      <c r="N392" s="147">
        <v>128604</v>
      </c>
      <c r="O392" s="146">
        <v>120915</v>
      </c>
      <c r="P392" s="147">
        <v>31740</v>
      </c>
      <c r="Q392" s="146">
        <v>36050</v>
      </c>
      <c r="R392" s="147">
        <v>495011</v>
      </c>
      <c r="S392" s="146">
        <v>439298</v>
      </c>
      <c r="T392" s="147">
        <v>160021</v>
      </c>
      <c r="U392" s="146">
        <v>197680</v>
      </c>
      <c r="V392" s="147">
        <v>286072</v>
      </c>
      <c r="W392" s="146">
        <v>256166</v>
      </c>
      <c r="X392" s="174" t="s">
        <v>156</v>
      </c>
      <c r="Y392" s="147">
        <v>12741</v>
      </c>
      <c r="Z392" s="146">
        <v>11960</v>
      </c>
      <c r="AA392" s="147">
        <v>33408</v>
      </c>
      <c r="AB392" s="146">
        <v>30076</v>
      </c>
      <c r="AC392" s="147">
        <v>4485</v>
      </c>
      <c r="AD392" s="146">
        <v>4769</v>
      </c>
      <c r="AE392" s="147">
        <v>11780</v>
      </c>
      <c r="AF392" s="146">
        <v>14173</v>
      </c>
      <c r="AG392" s="147">
        <v>5648</v>
      </c>
      <c r="AH392" s="146">
        <v>5304</v>
      </c>
      <c r="AI392" s="147"/>
      <c r="AJ392" s="146"/>
      <c r="AK392" s="147">
        <v>2995</v>
      </c>
      <c r="AL392" s="146">
        <v>3014</v>
      </c>
      <c r="AM392" s="173" t="s">
        <v>156</v>
      </c>
    </row>
    <row r="393" spans="1:39" ht="24" customHeight="1">
      <c r="A393" s="171" t="s">
        <v>157</v>
      </c>
      <c r="B393" s="151">
        <v>37784</v>
      </c>
      <c r="C393" s="151">
        <v>43776</v>
      </c>
      <c r="D393" s="150">
        <v>16</v>
      </c>
      <c r="E393" s="4" t="s">
        <v>58</v>
      </c>
      <c r="F393" s="143" t="s">
        <v>116</v>
      </c>
      <c r="G393" s="142">
        <v>23.410537824958254</v>
      </c>
      <c r="H393" s="11" t="s">
        <v>59</v>
      </c>
      <c r="I393" s="82" t="s">
        <v>60</v>
      </c>
      <c r="J393" s="147">
        <v>282924</v>
      </c>
      <c r="K393" s="146">
        <v>376300</v>
      </c>
      <c r="L393" s="147">
        <v>170169</v>
      </c>
      <c r="M393" s="146">
        <v>213983</v>
      </c>
      <c r="N393" s="147">
        <v>282998</v>
      </c>
      <c r="O393" s="146">
        <v>379520</v>
      </c>
      <c r="P393" s="147">
        <v>116773</v>
      </c>
      <c r="Q393" s="146">
        <v>191191</v>
      </c>
      <c r="R393" s="147">
        <v>319004</v>
      </c>
      <c r="S393" s="146">
        <v>395145</v>
      </c>
      <c r="T393" s="147">
        <v>90488</v>
      </c>
      <c r="U393" s="146">
        <v>132575</v>
      </c>
      <c r="V393" s="147">
        <v>191967</v>
      </c>
      <c r="W393" s="146">
        <v>280364</v>
      </c>
      <c r="X393" s="174" t="s">
        <v>157</v>
      </c>
      <c r="Y393" s="147">
        <v>4846</v>
      </c>
      <c r="Z393" s="146">
        <v>6994</v>
      </c>
      <c r="AA393" s="147">
        <v>3192</v>
      </c>
      <c r="AB393" s="146">
        <v>5480</v>
      </c>
      <c r="AC393" s="147">
        <v>8195</v>
      </c>
      <c r="AD393" s="146">
        <v>11547</v>
      </c>
      <c r="AE393" s="147"/>
      <c r="AF393" s="146"/>
      <c r="AG393" s="147">
        <v>3376</v>
      </c>
      <c r="AH393" s="146">
        <v>3965</v>
      </c>
      <c r="AI393" s="147"/>
      <c r="AJ393" s="146"/>
      <c r="AK393" s="147">
        <v>3269</v>
      </c>
      <c r="AL393" s="146">
        <v>4821</v>
      </c>
      <c r="AM393" s="173" t="s">
        <v>157</v>
      </c>
    </row>
    <row r="394" spans="1:39" ht="24" customHeight="1">
      <c r="A394" s="171" t="s">
        <v>158</v>
      </c>
      <c r="B394" s="151">
        <v>38075</v>
      </c>
      <c r="C394" s="151">
        <v>43746</v>
      </c>
      <c r="D394" s="150">
        <v>15</v>
      </c>
      <c r="E394" s="3" t="s">
        <v>61</v>
      </c>
      <c r="F394" s="143" t="s">
        <v>116</v>
      </c>
      <c r="G394" s="142">
        <v>33.83526322082799</v>
      </c>
      <c r="H394" s="11" t="s">
        <v>59</v>
      </c>
      <c r="I394" s="82" t="s">
        <v>60</v>
      </c>
      <c r="J394" s="147"/>
      <c r="K394" s="146" t="s">
        <v>1158</v>
      </c>
      <c r="L394" s="147"/>
      <c r="M394" s="146">
        <v>490160</v>
      </c>
      <c r="N394" s="147"/>
      <c r="O394" s="146" t="s">
        <v>1157</v>
      </c>
      <c r="P394" s="147"/>
      <c r="Q394" s="146">
        <v>122025</v>
      </c>
      <c r="R394" s="147"/>
      <c r="S394" s="146" t="s">
        <v>1156</v>
      </c>
      <c r="T394" s="147"/>
      <c r="U394" s="146">
        <v>94436</v>
      </c>
      <c r="V394" s="147"/>
      <c r="W394" s="146" t="s">
        <v>1155</v>
      </c>
      <c r="X394" s="174" t="s">
        <v>158</v>
      </c>
      <c r="Y394" s="147"/>
      <c r="Z394" s="146">
        <v>4387</v>
      </c>
      <c r="AA394" s="147"/>
      <c r="AB394" s="146">
        <v>3758</v>
      </c>
      <c r="AC394" s="147"/>
      <c r="AD394" s="146">
        <v>4608</v>
      </c>
      <c r="AE394" s="147"/>
      <c r="AF394" s="146">
        <v>574.9</v>
      </c>
      <c r="AG394" s="147"/>
      <c r="AH394" s="146">
        <v>3087</v>
      </c>
      <c r="AI394" s="147"/>
      <c r="AJ394" s="146"/>
      <c r="AK394" s="147"/>
      <c r="AL394" s="146">
        <v>2126</v>
      </c>
      <c r="AM394" s="173" t="s">
        <v>158</v>
      </c>
    </row>
    <row r="395" spans="1:39" ht="24" customHeight="1">
      <c r="A395" s="171" t="s">
        <v>159</v>
      </c>
      <c r="B395" s="151">
        <v>38056</v>
      </c>
      <c r="C395" s="151">
        <v>43790</v>
      </c>
      <c r="D395" s="150">
        <v>15</v>
      </c>
      <c r="E395" s="4" t="s">
        <v>58</v>
      </c>
      <c r="F395" s="143" t="s">
        <v>117</v>
      </c>
      <c r="G395" s="142">
        <v>27.269723913625462</v>
      </c>
      <c r="H395" s="11" t="s">
        <v>59</v>
      </c>
      <c r="I395" s="82" t="s">
        <v>60</v>
      </c>
      <c r="J395" s="147">
        <v>296255</v>
      </c>
      <c r="K395" s="146">
        <v>449852</v>
      </c>
      <c r="L395" s="147">
        <v>86319</v>
      </c>
      <c r="M395" s="146">
        <v>145704</v>
      </c>
      <c r="N395" s="147">
        <v>136427</v>
      </c>
      <c r="O395" s="146">
        <v>366695</v>
      </c>
      <c r="P395" s="147">
        <v>35363</v>
      </c>
      <c r="Q395" s="146">
        <v>132416</v>
      </c>
      <c r="R395" s="147">
        <v>325316</v>
      </c>
      <c r="S395" s="146">
        <v>493119</v>
      </c>
      <c r="T395" s="147">
        <v>21940</v>
      </c>
      <c r="U395" s="146">
        <v>53329</v>
      </c>
      <c r="V395" s="147">
        <v>108027</v>
      </c>
      <c r="W395" s="146">
        <v>177636</v>
      </c>
      <c r="X395" s="174" t="s">
        <v>159</v>
      </c>
      <c r="Y395" s="147">
        <v>1684</v>
      </c>
      <c r="Z395" s="146">
        <v>2686</v>
      </c>
      <c r="AA395" s="147">
        <v>2523</v>
      </c>
      <c r="AB395" s="146">
        <v>4866</v>
      </c>
      <c r="AC395" s="147">
        <v>1673</v>
      </c>
      <c r="AD395" s="146">
        <v>2460</v>
      </c>
      <c r="AE395" s="147">
        <v>622.5</v>
      </c>
      <c r="AF395" s="146">
        <v>1121</v>
      </c>
      <c r="AG395" s="147">
        <v>3334</v>
      </c>
      <c r="AH395" s="146">
        <v>3698</v>
      </c>
      <c r="AI395" s="147"/>
      <c r="AJ395" s="146"/>
      <c r="AK395" s="147">
        <v>1703</v>
      </c>
      <c r="AL395" s="146">
        <v>2420</v>
      </c>
      <c r="AM395" s="173" t="s">
        <v>159</v>
      </c>
    </row>
    <row r="396" spans="1:39" ht="24" customHeight="1">
      <c r="A396" s="171" t="s">
        <v>160</v>
      </c>
      <c r="B396" s="151">
        <v>38136</v>
      </c>
      <c r="C396" s="151">
        <v>43792</v>
      </c>
      <c r="D396" s="150">
        <v>15</v>
      </c>
      <c r="E396" s="3" t="s">
        <v>61</v>
      </c>
      <c r="F396" s="143" t="s">
        <v>116</v>
      </c>
      <c r="G396" s="142">
        <v>18.425981961861535</v>
      </c>
      <c r="H396" s="11" t="s">
        <v>59</v>
      </c>
      <c r="I396" s="82" t="s">
        <v>60</v>
      </c>
      <c r="J396" s="147">
        <v>335474</v>
      </c>
      <c r="K396" s="146">
        <v>467720</v>
      </c>
      <c r="L396" s="147">
        <v>110880</v>
      </c>
      <c r="M396" s="146">
        <v>231224</v>
      </c>
      <c r="N396" s="147">
        <v>234035</v>
      </c>
      <c r="O396" s="146">
        <v>407227</v>
      </c>
      <c r="P396" s="147">
        <v>66294</v>
      </c>
      <c r="Q396" s="146">
        <v>102583</v>
      </c>
      <c r="R396" s="147">
        <v>231572</v>
      </c>
      <c r="S396" s="146">
        <v>348252</v>
      </c>
      <c r="T396" s="147">
        <v>54976</v>
      </c>
      <c r="U396" s="146">
        <v>99888</v>
      </c>
      <c r="V396" s="147">
        <v>418681</v>
      </c>
      <c r="W396" s="146">
        <v>511976</v>
      </c>
      <c r="X396" s="174" t="s">
        <v>160</v>
      </c>
      <c r="Y396" s="147">
        <v>9522</v>
      </c>
      <c r="Z396" s="146">
        <v>9612</v>
      </c>
      <c r="AA396" s="147">
        <v>14203</v>
      </c>
      <c r="AB396" s="146">
        <v>14500</v>
      </c>
      <c r="AC396" s="147">
        <v>15885</v>
      </c>
      <c r="AD396" s="146">
        <v>17288</v>
      </c>
      <c r="AE396" s="147">
        <v>15967</v>
      </c>
      <c r="AF396" s="146">
        <v>19860</v>
      </c>
      <c r="AG396" s="147">
        <v>10768</v>
      </c>
      <c r="AH396" s="146">
        <v>13736</v>
      </c>
      <c r="AI396" s="147"/>
      <c r="AJ396" s="146"/>
      <c r="AK396" s="147">
        <v>8274</v>
      </c>
      <c r="AL396" s="146">
        <v>8104</v>
      </c>
      <c r="AM396" s="173" t="s">
        <v>160</v>
      </c>
    </row>
    <row r="397" spans="1:39" ht="24" customHeight="1">
      <c r="A397" s="171" t="s">
        <v>161</v>
      </c>
      <c r="B397" s="151">
        <v>37963</v>
      </c>
      <c r="C397" s="151">
        <v>43792</v>
      </c>
      <c r="D397" s="150">
        <v>15</v>
      </c>
      <c r="E397" s="3" t="s">
        <v>61</v>
      </c>
      <c r="F397" s="143" t="s">
        <v>116</v>
      </c>
      <c r="G397" s="142">
        <v>19.681607411013218</v>
      </c>
      <c r="H397" s="11" t="s">
        <v>59</v>
      </c>
      <c r="I397" s="82" t="s">
        <v>60</v>
      </c>
      <c r="J397" s="147">
        <v>262492</v>
      </c>
      <c r="K397" s="146">
        <v>306311</v>
      </c>
      <c r="L397" s="147">
        <v>175492</v>
      </c>
      <c r="M397" s="146">
        <v>222242</v>
      </c>
      <c r="N397" s="147">
        <v>459232</v>
      </c>
      <c r="O397" s="146">
        <v>379123</v>
      </c>
      <c r="P397" s="147">
        <v>187211</v>
      </c>
      <c r="Q397" s="146">
        <v>189152</v>
      </c>
      <c r="R397" s="147">
        <v>271774</v>
      </c>
      <c r="S397" s="146">
        <v>286983</v>
      </c>
      <c r="T397" s="147">
        <v>50912</v>
      </c>
      <c r="U397" s="146">
        <v>76764</v>
      </c>
      <c r="V397" s="147">
        <v>130004</v>
      </c>
      <c r="W397" s="146">
        <v>144693</v>
      </c>
      <c r="X397" s="174" t="s">
        <v>161</v>
      </c>
      <c r="Y397" s="147">
        <v>8352</v>
      </c>
      <c r="Z397" s="146">
        <v>9156</v>
      </c>
      <c r="AA397" s="147">
        <v>7703</v>
      </c>
      <c r="AB397" s="146">
        <v>10808</v>
      </c>
      <c r="AC397" s="147">
        <v>12048</v>
      </c>
      <c r="AD397" s="146">
        <v>11856</v>
      </c>
      <c r="AE397" s="147"/>
      <c r="AF397" s="146"/>
      <c r="AG397" s="147">
        <v>3476</v>
      </c>
      <c r="AH397" s="146">
        <v>3280</v>
      </c>
      <c r="AI397" s="147"/>
      <c r="AJ397" s="146"/>
      <c r="AK397" s="147">
        <v>2023</v>
      </c>
      <c r="AL397" s="146">
        <v>2600</v>
      </c>
      <c r="AM397" s="173" t="s">
        <v>161</v>
      </c>
    </row>
    <row r="398" spans="1:39" ht="24" customHeight="1">
      <c r="A398" s="169" t="s">
        <v>162</v>
      </c>
      <c r="B398" s="145">
        <v>38679</v>
      </c>
      <c r="C398" s="145">
        <v>43774</v>
      </c>
      <c r="D398" s="144">
        <v>13</v>
      </c>
      <c r="E398" s="4" t="s">
        <v>58</v>
      </c>
      <c r="F398" s="143" t="s">
        <v>116</v>
      </c>
      <c r="G398" s="142">
        <v>20.23710832372165</v>
      </c>
      <c r="H398" s="11" t="s">
        <v>59</v>
      </c>
      <c r="I398" s="82" t="s">
        <v>60</v>
      </c>
      <c r="J398" s="147">
        <v>109479</v>
      </c>
      <c r="K398" s="146">
        <v>377357</v>
      </c>
      <c r="L398" s="147">
        <v>77027</v>
      </c>
      <c r="M398" s="146">
        <v>161907</v>
      </c>
      <c r="N398" s="147">
        <v>167483</v>
      </c>
      <c r="O398" s="146">
        <v>383415</v>
      </c>
      <c r="P398" s="147">
        <v>54063</v>
      </c>
      <c r="Q398" s="146">
        <v>103551</v>
      </c>
      <c r="R398" s="147">
        <v>205135</v>
      </c>
      <c r="S398" s="146">
        <v>414453</v>
      </c>
      <c r="T398" s="147">
        <v>41098</v>
      </c>
      <c r="U398" s="146">
        <v>75774</v>
      </c>
      <c r="V398" s="147">
        <v>131941</v>
      </c>
      <c r="W398" s="146">
        <v>301441</v>
      </c>
      <c r="X398" s="176" t="s">
        <v>162</v>
      </c>
      <c r="Y398" s="147">
        <v>5393</v>
      </c>
      <c r="Z398" s="146">
        <v>4621</v>
      </c>
      <c r="AA398" s="147">
        <v>3220</v>
      </c>
      <c r="AB398" s="146">
        <v>4291</v>
      </c>
      <c r="AC398" s="147">
        <v>13690</v>
      </c>
      <c r="AD398" s="146">
        <v>11610</v>
      </c>
      <c r="AE398" s="147">
        <v>4844</v>
      </c>
      <c r="AF398" s="146">
        <v>6589</v>
      </c>
      <c r="AG398" s="147">
        <v>6955</v>
      </c>
      <c r="AH398" s="146">
        <v>6170</v>
      </c>
      <c r="AI398" s="147"/>
      <c r="AJ398" s="146"/>
      <c r="AK398" s="147">
        <v>3296</v>
      </c>
      <c r="AL398" s="146">
        <v>8139</v>
      </c>
      <c r="AM398" s="175" t="s">
        <v>162</v>
      </c>
    </row>
    <row r="399" spans="1:39" ht="24" customHeight="1">
      <c r="A399" s="171" t="s">
        <v>163</v>
      </c>
      <c r="B399" s="151">
        <v>37791</v>
      </c>
      <c r="C399" s="151">
        <v>43806</v>
      </c>
      <c r="D399" s="150">
        <v>16</v>
      </c>
      <c r="E399" s="3" t="s">
        <v>61</v>
      </c>
      <c r="F399" s="143" t="s">
        <v>116</v>
      </c>
      <c r="G399" s="142">
        <v>20.614235634811763</v>
      </c>
      <c r="H399" s="11" t="s">
        <v>59</v>
      </c>
      <c r="I399" s="82" t="s">
        <v>60</v>
      </c>
      <c r="J399" s="147">
        <v>435686</v>
      </c>
      <c r="K399" s="146">
        <v>733983</v>
      </c>
      <c r="L399" s="147">
        <v>123445</v>
      </c>
      <c r="M399" s="146">
        <v>243563</v>
      </c>
      <c r="N399" s="147">
        <v>240966</v>
      </c>
      <c r="O399" s="146">
        <v>265516</v>
      </c>
      <c r="P399" s="147">
        <v>139301</v>
      </c>
      <c r="Q399" s="146">
        <v>171476</v>
      </c>
      <c r="R399" s="147">
        <v>578733</v>
      </c>
      <c r="S399" s="146">
        <v>983209</v>
      </c>
      <c r="T399" s="147">
        <v>47804</v>
      </c>
      <c r="U399" s="146">
        <v>90105</v>
      </c>
      <c r="V399" s="147">
        <v>132995</v>
      </c>
      <c r="W399" s="146">
        <v>293426</v>
      </c>
      <c r="X399" s="174" t="s">
        <v>163</v>
      </c>
      <c r="Y399" s="147">
        <v>2629</v>
      </c>
      <c r="Z399" s="146">
        <v>11153</v>
      </c>
      <c r="AA399" s="147">
        <v>4532</v>
      </c>
      <c r="AB399" s="146">
        <v>17273</v>
      </c>
      <c r="AC399" s="147">
        <v>7517</v>
      </c>
      <c r="AD399" s="146">
        <v>8689</v>
      </c>
      <c r="AE399" s="147">
        <v>6102</v>
      </c>
      <c r="AF399" s="146">
        <v>4962</v>
      </c>
      <c r="AG399" s="147">
        <v>3862</v>
      </c>
      <c r="AH399" s="146">
        <v>3556</v>
      </c>
      <c r="AI399" s="147"/>
      <c r="AJ399" s="146"/>
      <c r="AK399" s="147">
        <v>1949</v>
      </c>
      <c r="AL399" s="146">
        <v>2743</v>
      </c>
      <c r="AM399" s="173" t="s">
        <v>163</v>
      </c>
    </row>
    <row r="400" spans="1:39" ht="24" customHeight="1">
      <c r="A400" s="171" t="s">
        <v>164</v>
      </c>
      <c r="B400" s="151">
        <v>37753</v>
      </c>
      <c r="C400" s="151">
        <v>43763</v>
      </c>
      <c r="D400" s="150">
        <v>16</v>
      </c>
      <c r="E400" s="4" t="s">
        <v>58</v>
      </c>
      <c r="F400" s="143" t="s">
        <v>116</v>
      </c>
      <c r="G400" s="142">
        <v>20.232685232727324</v>
      </c>
      <c r="H400" s="11" t="s">
        <v>59</v>
      </c>
      <c r="I400" s="82" t="s">
        <v>60</v>
      </c>
      <c r="J400" s="147">
        <v>266440</v>
      </c>
      <c r="K400" s="146">
        <v>309476</v>
      </c>
      <c r="L400" s="147">
        <v>104711</v>
      </c>
      <c r="M400" s="146">
        <v>175124</v>
      </c>
      <c r="N400" s="147">
        <v>159035</v>
      </c>
      <c r="O400" s="146">
        <v>282988</v>
      </c>
      <c r="P400" s="147">
        <v>46051</v>
      </c>
      <c r="Q400" s="146">
        <v>100303</v>
      </c>
      <c r="R400" s="147">
        <v>322984</v>
      </c>
      <c r="S400" s="146">
        <v>303205</v>
      </c>
      <c r="T400" s="147">
        <v>80484</v>
      </c>
      <c r="U400" s="146">
        <v>131072</v>
      </c>
      <c r="V400" s="147">
        <v>238655</v>
      </c>
      <c r="W400" s="146">
        <v>221919</v>
      </c>
      <c r="X400" s="174" t="s">
        <v>164</v>
      </c>
      <c r="Y400" s="147">
        <v>7041</v>
      </c>
      <c r="Z400" s="146">
        <v>7902</v>
      </c>
      <c r="AA400" s="147">
        <v>12870</v>
      </c>
      <c r="AB400" s="146">
        <v>21401</v>
      </c>
      <c r="AC400" s="147">
        <v>11287</v>
      </c>
      <c r="AD400" s="146">
        <v>32958</v>
      </c>
      <c r="AE400" s="147">
        <v>7878</v>
      </c>
      <c r="AF400" s="146">
        <v>25903</v>
      </c>
      <c r="AG400" s="147">
        <v>9884</v>
      </c>
      <c r="AH400" s="146">
        <v>13200</v>
      </c>
      <c r="AI400" s="147"/>
      <c r="AJ400" s="146"/>
      <c r="AK400" s="147">
        <v>7577</v>
      </c>
      <c r="AL400" s="146">
        <v>13307</v>
      </c>
      <c r="AM400" s="173" t="s">
        <v>164</v>
      </c>
    </row>
    <row r="401" spans="1:39" ht="24" customHeight="1">
      <c r="A401" s="171" t="s">
        <v>165</v>
      </c>
      <c r="B401" s="151">
        <v>37397</v>
      </c>
      <c r="C401" s="151">
        <v>43736</v>
      </c>
      <c r="D401" s="150">
        <v>17</v>
      </c>
      <c r="E401" s="4" t="s">
        <v>58</v>
      </c>
      <c r="F401" s="143" t="s">
        <v>116</v>
      </c>
      <c r="G401" s="142">
        <v>22.022807292037662</v>
      </c>
      <c r="H401" s="11" t="s">
        <v>59</v>
      </c>
      <c r="I401" s="82" t="s">
        <v>60</v>
      </c>
      <c r="J401" s="147">
        <v>191097</v>
      </c>
      <c r="K401" s="146">
        <v>248287</v>
      </c>
      <c r="L401" s="147">
        <v>120103</v>
      </c>
      <c r="M401" s="146">
        <v>180638</v>
      </c>
      <c r="N401" s="147">
        <v>126204</v>
      </c>
      <c r="O401" s="146">
        <v>186184</v>
      </c>
      <c r="P401" s="147">
        <v>74895</v>
      </c>
      <c r="Q401" s="146">
        <v>139962</v>
      </c>
      <c r="R401" s="147">
        <v>320327</v>
      </c>
      <c r="S401" s="146">
        <v>245301</v>
      </c>
      <c r="T401" s="147">
        <v>77918</v>
      </c>
      <c r="U401" s="146">
        <v>121449</v>
      </c>
      <c r="V401" s="147">
        <v>340502</v>
      </c>
      <c r="W401" s="146">
        <v>283614</v>
      </c>
      <c r="X401" s="174" t="s">
        <v>165</v>
      </c>
      <c r="Y401" s="147">
        <v>2865</v>
      </c>
      <c r="Z401" s="146">
        <v>3638</v>
      </c>
      <c r="AA401" s="147">
        <v>3329</v>
      </c>
      <c r="AB401" s="146">
        <v>3319</v>
      </c>
      <c r="AC401" s="147">
        <v>4222</v>
      </c>
      <c r="AD401" s="146">
        <v>4131</v>
      </c>
      <c r="AE401" s="147"/>
      <c r="AF401" s="146"/>
      <c r="AG401" s="147">
        <v>4977</v>
      </c>
      <c r="AH401" s="146">
        <v>5016</v>
      </c>
      <c r="AI401" s="147"/>
      <c r="AJ401" s="146"/>
      <c r="AK401" s="147">
        <v>4610</v>
      </c>
      <c r="AL401" s="146">
        <v>5338</v>
      </c>
      <c r="AM401" s="173" t="s">
        <v>165</v>
      </c>
    </row>
    <row r="402" spans="1:39" ht="24" customHeight="1">
      <c r="A402" s="171" t="s">
        <v>166</v>
      </c>
      <c r="B402" s="151">
        <v>37371</v>
      </c>
      <c r="C402" s="151">
        <v>43752</v>
      </c>
      <c r="D402" s="150">
        <v>17</v>
      </c>
      <c r="E402" s="3" t="s">
        <v>61</v>
      </c>
      <c r="F402" s="143" t="s">
        <v>116</v>
      </c>
      <c r="G402" s="142">
        <v>22.060077800251126</v>
      </c>
      <c r="H402" s="11" t="s">
        <v>59</v>
      </c>
      <c r="I402" s="82" t="s">
        <v>60</v>
      </c>
      <c r="J402" s="147">
        <v>292599</v>
      </c>
      <c r="K402" s="146">
        <v>668036</v>
      </c>
      <c r="L402" s="147">
        <v>197294</v>
      </c>
      <c r="M402" s="146">
        <v>220162</v>
      </c>
      <c r="N402" s="147">
        <v>211293</v>
      </c>
      <c r="O402" s="146">
        <v>353542</v>
      </c>
      <c r="P402" s="147">
        <v>80284</v>
      </c>
      <c r="Q402" s="146">
        <v>94324</v>
      </c>
      <c r="R402" s="147">
        <v>516990</v>
      </c>
      <c r="S402" s="146">
        <v>496313</v>
      </c>
      <c r="T402" s="147">
        <v>170303</v>
      </c>
      <c r="U402" s="146">
        <v>299780</v>
      </c>
      <c r="V402" s="147">
        <v>296646</v>
      </c>
      <c r="W402" s="146">
        <v>356743</v>
      </c>
      <c r="X402" s="174" t="s">
        <v>166</v>
      </c>
      <c r="Y402" s="147">
        <v>4894</v>
      </c>
      <c r="Z402" s="146">
        <v>6360</v>
      </c>
      <c r="AA402" s="147">
        <v>3205</v>
      </c>
      <c r="AB402" s="146">
        <v>5371</v>
      </c>
      <c r="AC402" s="147">
        <v>18111</v>
      </c>
      <c r="AD402" s="146">
        <v>20557</v>
      </c>
      <c r="AE402" s="147">
        <v>5962</v>
      </c>
      <c r="AF402" s="146">
        <v>8124</v>
      </c>
      <c r="AG402" s="147">
        <v>6163</v>
      </c>
      <c r="AH402" s="146">
        <v>6630</v>
      </c>
      <c r="AI402" s="147"/>
      <c r="AJ402" s="146"/>
      <c r="AK402" s="147">
        <v>11233</v>
      </c>
      <c r="AL402" s="146">
        <v>14001</v>
      </c>
      <c r="AM402" s="173" t="s">
        <v>166</v>
      </c>
    </row>
    <row r="403" spans="1:39" ht="24" customHeight="1">
      <c r="A403" s="169" t="s">
        <v>167</v>
      </c>
      <c r="B403" s="145">
        <v>38489</v>
      </c>
      <c r="C403" s="145">
        <v>43861</v>
      </c>
      <c r="D403" s="144">
        <v>14</v>
      </c>
      <c r="E403" s="4" t="s">
        <v>58</v>
      </c>
      <c r="F403" s="143" t="s">
        <v>116</v>
      </c>
      <c r="G403" s="142">
        <v>33.897999758193109</v>
      </c>
      <c r="H403" s="11" t="s">
        <v>59</v>
      </c>
      <c r="I403" s="82" t="s">
        <v>60</v>
      </c>
      <c r="J403" s="147"/>
      <c r="K403" s="146"/>
      <c r="L403" s="147">
        <v>108943</v>
      </c>
      <c r="M403" s="146">
        <v>200748</v>
      </c>
      <c r="N403" s="147"/>
      <c r="O403" s="146"/>
      <c r="P403" s="147">
        <v>44738</v>
      </c>
      <c r="Q403" s="146">
        <v>334033</v>
      </c>
      <c r="R403" s="147">
        <v>43553</v>
      </c>
      <c r="S403" s="146"/>
      <c r="T403" s="147">
        <v>23169</v>
      </c>
      <c r="U403" s="146">
        <v>81372</v>
      </c>
      <c r="V403" s="147">
        <v>71465</v>
      </c>
      <c r="W403" s="146">
        <v>181812</v>
      </c>
      <c r="X403" s="176" t="s">
        <v>167</v>
      </c>
      <c r="Y403" s="147"/>
      <c r="Z403" s="146"/>
      <c r="AA403" s="147">
        <v>109115</v>
      </c>
      <c r="AB403" s="146">
        <v>214319</v>
      </c>
      <c r="AC403" s="147"/>
      <c r="AD403" s="146"/>
      <c r="AE403" s="147">
        <v>5768</v>
      </c>
      <c r="AF403" s="146">
        <v>10736</v>
      </c>
      <c r="AG403" s="147"/>
      <c r="AH403" s="146"/>
      <c r="AI403" s="147"/>
      <c r="AJ403" s="146"/>
      <c r="AK403" s="147"/>
      <c r="AL403" s="146"/>
      <c r="AM403" s="175" t="s">
        <v>167</v>
      </c>
    </row>
    <row r="404" spans="1:39" ht="24" customHeight="1">
      <c r="A404" s="171" t="s">
        <v>168</v>
      </c>
      <c r="B404" s="151">
        <v>38208</v>
      </c>
      <c r="C404" s="151">
        <v>43795</v>
      </c>
      <c r="D404" s="150">
        <v>15</v>
      </c>
      <c r="E404" s="3" t="s">
        <v>61</v>
      </c>
      <c r="F404" s="143" t="s">
        <v>116</v>
      </c>
      <c r="G404" s="142">
        <v>19.574836060747995</v>
      </c>
      <c r="H404" s="11" t="s">
        <v>59</v>
      </c>
      <c r="I404" s="82" t="s">
        <v>60</v>
      </c>
      <c r="J404" s="147">
        <v>449254</v>
      </c>
      <c r="K404" s="146">
        <v>473263</v>
      </c>
      <c r="L404" s="147">
        <v>239080</v>
      </c>
      <c r="M404" s="146">
        <v>257690</v>
      </c>
      <c r="N404" s="147">
        <v>676624</v>
      </c>
      <c r="O404" s="146">
        <v>919823</v>
      </c>
      <c r="P404" s="147">
        <v>221420</v>
      </c>
      <c r="Q404" s="146">
        <v>250031</v>
      </c>
      <c r="R404" s="147">
        <v>204637</v>
      </c>
      <c r="S404" s="146">
        <v>232276</v>
      </c>
      <c r="T404" s="147">
        <v>84614</v>
      </c>
      <c r="U404" s="146">
        <v>142694</v>
      </c>
      <c r="V404" s="147">
        <v>348343</v>
      </c>
      <c r="W404" s="146">
        <v>372936</v>
      </c>
      <c r="X404" s="174" t="s">
        <v>168</v>
      </c>
      <c r="Y404" s="147">
        <v>43023</v>
      </c>
      <c r="Z404" s="146">
        <v>41233</v>
      </c>
      <c r="AA404" s="147">
        <v>35388</v>
      </c>
      <c r="AB404" s="146">
        <v>57216</v>
      </c>
      <c r="AC404" s="147">
        <v>48797</v>
      </c>
      <c r="AD404" s="146">
        <v>75737</v>
      </c>
      <c r="AE404" s="147">
        <v>21174</v>
      </c>
      <c r="AF404" s="146">
        <v>35516</v>
      </c>
      <c r="AG404" s="147">
        <v>14375</v>
      </c>
      <c r="AH404" s="146">
        <v>16047</v>
      </c>
      <c r="AI404" s="147"/>
      <c r="AJ404" s="146"/>
      <c r="AK404" s="147" t="s">
        <v>1154</v>
      </c>
      <c r="AL404" s="146" t="s">
        <v>1153</v>
      </c>
      <c r="AM404" s="173" t="s">
        <v>168</v>
      </c>
    </row>
    <row r="405" spans="1:39" ht="24" customHeight="1">
      <c r="A405" s="171" t="s">
        <v>169</v>
      </c>
      <c r="B405" s="151">
        <v>37424</v>
      </c>
      <c r="C405" s="151">
        <v>43795</v>
      </c>
      <c r="D405" s="150">
        <v>17</v>
      </c>
      <c r="E405" s="4" t="s">
        <v>58</v>
      </c>
      <c r="F405" s="143" t="s">
        <v>116</v>
      </c>
      <c r="G405" s="142">
        <v>16.787535564516332</v>
      </c>
      <c r="H405" s="11" t="s">
        <v>59</v>
      </c>
      <c r="I405" s="82" t="s">
        <v>60</v>
      </c>
      <c r="J405" s="147">
        <v>208647</v>
      </c>
      <c r="K405" s="146">
        <v>405493</v>
      </c>
      <c r="L405" s="147">
        <v>145844</v>
      </c>
      <c r="M405" s="146">
        <v>383148</v>
      </c>
      <c r="N405" s="147">
        <v>83917</v>
      </c>
      <c r="O405" s="146">
        <v>274337</v>
      </c>
      <c r="P405" s="147">
        <v>34661</v>
      </c>
      <c r="Q405" s="146">
        <v>184580</v>
      </c>
      <c r="R405" s="147">
        <v>275195</v>
      </c>
      <c r="S405" s="146">
        <v>435664</v>
      </c>
      <c r="T405" s="147">
        <v>104356</v>
      </c>
      <c r="U405" s="146">
        <v>197550</v>
      </c>
      <c r="V405" s="147">
        <v>117307</v>
      </c>
      <c r="W405" s="146">
        <v>562499</v>
      </c>
      <c r="X405" s="174" t="s">
        <v>169</v>
      </c>
      <c r="Y405" s="147">
        <v>7916</v>
      </c>
      <c r="Z405" s="146">
        <v>11385</v>
      </c>
      <c r="AA405" s="147">
        <v>7241</v>
      </c>
      <c r="AB405" s="146">
        <v>8596</v>
      </c>
      <c r="AC405" s="147">
        <v>18318</v>
      </c>
      <c r="AD405" s="146">
        <v>41525</v>
      </c>
      <c r="AE405" s="147"/>
      <c r="AF405" s="146"/>
      <c r="AG405" s="147">
        <v>12909</v>
      </c>
      <c r="AH405" s="146">
        <v>14089</v>
      </c>
      <c r="AI405" s="147"/>
      <c r="AJ405" s="146"/>
      <c r="AK405" s="147">
        <v>8910</v>
      </c>
      <c r="AL405" s="146">
        <v>9225</v>
      </c>
      <c r="AM405" s="173" t="s">
        <v>169</v>
      </c>
    </row>
    <row r="406" spans="1:39" ht="24" customHeight="1">
      <c r="A406" s="171" t="s">
        <v>170</v>
      </c>
      <c r="B406" s="151">
        <v>37354</v>
      </c>
      <c r="C406" s="151">
        <v>43747</v>
      </c>
      <c r="D406" s="150">
        <v>17</v>
      </c>
      <c r="E406" s="4" t="s">
        <v>58</v>
      </c>
      <c r="F406" s="143" t="s">
        <v>116</v>
      </c>
      <c r="G406" s="142">
        <v>22.996018266096776</v>
      </c>
      <c r="H406" s="11" t="s">
        <v>59</v>
      </c>
      <c r="I406" s="82" t="s">
        <v>60</v>
      </c>
      <c r="J406" s="147">
        <v>60175</v>
      </c>
      <c r="K406" s="146">
        <v>92630</v>
      </c>
      <c r="L406" s="147">
        <v>49882</v>
      </c>
      <c r="M406" s="146">
        <v>49427</v>
      </c>
      <c r="N406" s="147">
        <v>132555</v>
      </c>
      <c r="O406" s="146">
        <v>201597</v>
      </c>
      <c r="P406" s="147">
        <v>44115</v>
      </c>
      <c r="Q406" s="146">
        <v>53893</v>
      </c>
      <c r="R406" s="147">
        <v>132531</v>
      </c>
      <c r="S406" s="146">
        <v>223922</v>
      </c>
      <c r="T406" s="147">
        <v>32941</v>
      </c>
      <c r="U406" s="146">
        <v>38156</v>
      </c>
      <c r="V406" s="147">
        <v>41293</v>
      </c>
      <c r="W406" s="146">
        <v>69171</v>
      </c>
      <c r="X406" s="174" t="s">
        <v>170</v>
      </c>
      <c r="Y406" s="147">
        <v>3326</v>
      </c>
      <c r="Z406" s="146">
        <v>2799</v>
      </c>
      <c r="AA406" s="147">
        <v>1249</v>
      </c>
      <c r="AB406" s="146">
        <v>1696</v>
      </c>
      <c r="AC406" s="147">
        <v>3290</v>
      </c>
      <c r="AD406" s="146">
        <v>3462</v>
      </c>
      <c r="AE406" s="147">
        <v>511.5</v>
      </c>
      <c r="AF406" s="146">
        <v>311.2</v>
      </c>
      <c r="AG406" s="147">
        <v>5495</v>
      </c>
      <c r="AH406" s="146">
        <v>5276</v>
      </c>
      <c r="AI406" s="147"/>
      <c r="AJ406" s="146"/>
      <c r="AK406" s="147">
        <v>1571</v>
      </c>
      <c r="AL406" s="146">
        <v>1622</v>
      </c>
      <c r="AM406" s="173" t="s">
        <v>170</v>
      </c>
    </row>
    <row r="407" spans="1:39" ht="24" customHeight="1">
      <c r="A407" s="169" t="s">
        <v>171</v>
      </c>
      <c r="B407" s="145">
        <v>38755</v>
      </c>
      <c r="C407" s="145">
        <v>43759</v>
      </c>
      <c r="D407" s="144">
        <v>13</v>
      </c>
      <c r="E407" s="3" t="s">
        <v>61</v>
      </c>
      <c r="F407" s="143" t="s">
        <v>116</v>
      </c>
      <c r="G407" s="142">
        <v>19.201151143711943</v>
      </c>
      <c r="H407" s="11" t="s">
        <v>59</v>
      </c>
      <c r="I407" s="82" t="s">
        <v>60</v>
      </c>
      <c r="J407" s="147">
        <v>1177028</v>
      </c>
      <c r="K407" s="146">
        <v>1158255</v>
      </c>
      <c r="L407" s="147">
        <v>399043</v>
      </c>
      <c r="M407" s="146">
        <v>479980</v>
      </c>
      <c r="N407" s="147">
        <v>190804</v>
      </c>
      <c r="O407" s="146">
        <v>259766</v>
      </c>
      <c r="P407" s="147">
        <v>33131</v>
      </c>
      <c r="Q407" s="146">
        <v>60444</v>
      </c>
      <c r="R407" s="147">
        <v>342008</v>
      </c>
      <c r="S407" s="146">
        <v>704210</v>
      </c>
      <c r="T407" s="147">
        <v>72451</v>
      </c>
      <c r="U407" s="146">
        <v>251593</v>
      </c>
      <c r="V407" s="147">
        <v>277962</v>
      </c>
      <c r="W407" s="146">
        <v>594598</v>
      </c>
      <c r="X407" s="176" t="s">
        <v>171</v>
      </c>
      <c r="Y407" s="147">
        <v>9552</v>
      </c>
      <c r="Z407" s="146">
        <v>10837</v>
      </c>
      <c r="AA407" s="147">
        <v>12854</v>
      </c>
      <c r="AB407" s="146">
        <v>11885</v>
      </c>
      <c r="AC407" s="147">
        <v>5907</v>
      </c>
      <c r="AD407" s="146">
        <v>12423</v>
      </c>
      <c r="AE407" s="147">
        <v>6985</v>
      </c>
      <c r="AF407" s="146">
        <v>11212</v>
      </c>
      <c r="AG407" s="147">
        <v>6624</v>
      </c>
      <c r="AH407" s="146">
        <v>9345</v>
      </c>
      <c r="AI407" s="147"/>
      <c r="AJ407" s="146"/>
      <c r="AK407" s="147">
        <v>5664</v>
      </c>
      <c r="AL407" s="146">
        <v>8513</v>
      </c>
      <c r="AM407" s="175" t="s">
        <v>171</v>
      </c>
    </row>
    <row r="408" spans="1:39" ht="24" customHeight="1">
      <c r="A408" s="169" t="s">
        <v>172</v>
      </c>
      <c r="B408" s="145">
        <v>38835</v>
      </c>
      <c r="C408" s="145">
        <v>43754</v>
      </c>
      <c r="D408" s="144">
        <v>13</v>
      </c>
      <c r="E408" s="4" t="s">
        <v>58</v>
      </c>
      <c r="F408" s="143" t="s">
        <v>116</v>
      </c>
      <c r="G408" s="142">
        <v>18.463088939279416</v>
      </c>
      <c r="H408" s="11" t="s">
        <v>59</v>
      </c>
      <c r="I408" s="82" t="s">
        <v>60</v>
      </c>
      <c r="J408" s="147">
        <v>199798</v>
      </c>
      <c r="K408" s="146">
        <v>290507</v>
      </c>
      <c r="L408" s="147">
        <v>185973</v>
      </c>
      <c r="M408" s="146">
        <v>377213</v>
      </c>
      <c r="N408" s="147">
        <v>80853</v>
      </c>
      <c r="O408" s="146">
        <v>167304</v>
      </c>
      <c r="P408" s="147">
        <v>55924</v>
      </c>
      <c r="Q408" s="146">
        <v>243338</v>
      </c>
      <c r="R408" s="147">
        <v>80853</v>
      </c>
      <c r="S408" s="146">
        <v>167304</v>
      </c>
      <c r="T408" s="147">
        <v>8796</v>
      </c>
      <c r="U408" s="146">
        <v>35323</v>
      </c>
      <c r="V408" s="147">
        <v>46733</v>
      </c>
      <c r="W408" s="146">
        <v>163156</v>
      </c>
      <c r="X408" s="176" t="s">
        <v>172</v>
      </c>
      <c r="Y408" s="147">
        <v>2227</v>
      </c>
      <c r="Z408" s="146">
        <v>1946</v>
      </c>
      <c r="AA408" s="147">
        <v>2876</v>
      </c>
      <c r="AB408" s="146">
        <v>3924</v>
      </c>
      <c r="AC408" s="147">
        <v>1627</v>
      </c>
      <c r="AD408" s="146">
        <v>3452</v>
      </c>
      <c r="AE408" s="147">
        <v>1553</v>
      </c>
      <c r="AF408" s="146">
        <v>5723</v>
      </c>
      <c r="AG408" s="147">
        <v>1027</v>
      </c>
      <c r="AH408" s="146">
        <v>9064</v>
      </c>
      <c r="AI408" s="147"/>
      <c r="AJ408" s="146"/>
      <c r="AK408" s="147">
        <v>2615</v>
      </c>
      <c r="AL408" s="146">
        <v>10365</v>
      </c>
      <c r="AM408" s="175" t="s">
        <v>172</v>
      </c>
    </row>
    <row r="409" spans="1:39" ht="24" customHeight="1">
      <c r="A409" s="171" t="s">
        <v>173</v>
      </c>
      <c r="B409" s="151">
        <v>37911</v>
      </c>
      <c r="C409" s="151">
        <v>43794</v>
      </c>
      <c r="D409" s="150">
        <v>16</v>
      </c>
      <c r="E409" s="4" t="s">
        <v>58</v>
      </c>
      <c r="F409" s="143" t="s">
        <v>116</v>
      </c>
      <c r="G409" s="142">
        <v>23.23859819245838</v>
      </c>
      <c r="H409" s="11" t="s">
        <v>59</v>
      </c>
      <c r="I409" s="82" t="s">
        <v>60</v>
      </c>
      <c r="J409" s="147">
        <v>468139</v>
      </c>
      <c r="K409" s="146">
        <v>474660</v>
      </c>
      <c r="L409" s="147">
        <v>405140</v>
      </c>
      <c r="M409" s="146">
        <v>445115</v>
      </c>
      <c r="N409" s="147">
        <v>270534</v>
      </c>
      <c r="O409" s="146">
        <v>399245</v>
      </c>
      <c r="P409" s="147">
        <v>140167</v>
      </c>
      <c r="Q409" s="146">
        <v>259392</v>
      </c>
      <c r="R409" s="147">
        <v>270534</v>
      </c>
      <c r="S409" s="146">
        <v>399245</v>
      </c>
      <c r="T409" s="147">
        <v>70327</v>
      </c>
      <c r="U409" s="146">
        <v>127839</v>
      </c>
      <c r="V409" s="147">
        <v>189899</v>
      </c>
      <c r="W409" s="146">
        <v>248491</v>
      </c>
      <c r="X409" s="174" t="s">
        <v>173</v>
      </c>
      <c r="Y409" s="147">
        <v>3635</v>
      </c>
      <c r="Z409" s="146">
        <v>3537</v>
      </c>
      <c r="AA409" s="147">
        <v>7503</v>
      </c>
      <c r="AB409" s="146">
        <v>7523</v>
      </c>
      <c r="AC409" s="147">
        <v>4648</v>
      </c>
      <c r="AD409" s="146">
        <v>7095</v>
      </c>
      <c r="AE409" s="147">
        <v>11107</v>
      </c>
      <c r="AF409" s="146">
        <v>20796</v>
      </c>
      <c r="AG409" s="147">
        <v>2289</v>
      </c>
      <c r="AH409" s="146">
        <v>2766</v>
      </c>
      <c r="AI409" s="147"/>
      <c r="AJ409" s="146"/>
      <c r="AK409" s="147">
        <v>2632</v>
      </c>
      <c r="AL409" s="146">
        <v>3154</v>
      </c>
      <c r="AM409" s="173" t="s">
        <v>173</v>
      </c>
    </row>
    <row r="410" spans="1:39" ht="24" customHeight="1">
      <c r="A410" s="171" t="s">
        <v>174</v>
      </c>
      <c r="B410" s="151">
        <v>38184</v>
      </c>
      <c r="C410" s="151">
        <v>43775</v>
      </c>
      <c r="D410" s="150">
        <v>15</v>
      </c>
      <c r="E410" s="4" t="s">
        <v>58</v>
      </c>
      <c r="F410" s="143" t="s">
        <v>116</v>
      </c>
      <c r="G410" s="142">
        <v>27.365694560061382</v>
      </c>
      <c r="H410" s="11" t="s">
        <v>59</v>
      </c>
      <c r="I410" s="82" t="s">
        <v>60</v>
      </c>
      <c r="J410" s="147">
        <v>326642</v>
      </c>
      <c r="K410" s="146">
        <v>375664</v>
      </c>
      <c r="L410" s="147">
        <v>264915</v>
      </c>
      <c r="M410" s="146">
        <v>247810</v>
      </c>
      <c r="N410" s="147">
        <v>201609</v>
      </c>
      <c r="O410" s="146">
        <v>205646</v>
      </c>
      <c r="P410" s="147">
        <v>132569</v>
      </c>
      <c r="Q410" s="146">
        <v>276381</v>
      </c>
      <c r="R410" s="147">
        <v>201609</v>
      </c>
      <c r="S410" s="146">
        <v>205646</v>
      </c>
      <c r="T410" s="147">
        <v>63910</v>
      </c>
      <c r="U410" s="146">
        <v>90190</v>
      </c>
      <c r="V410" s="147">
        <v>106388</v>
      </c>
      <c r="W410" s="146">
        <v>126743</v>
      </c>
      <c r="X410" s="174" t="s">
        <v>174</v>
      </c>
      <c r="Y410" s="147">
        <v>1103</v>
      </c>
      <c r="Z410" s="146">
        <v>1094</v>
      </c>
      <c r="AA410" s="147">
        <v>2340</v>
      </c>
      <c r="AB410" s="146">
        <v>2935</v>
      </c>
      <c r="AC410" s="147">
        <v>1910</v>
      </c>
      <c r="AD410" s="146">
        <v>2548</v>
      </c>
      <c r="AE410" s="147">
        <v>3589</v>
      </c>
      <c r="AF410" s="146">
        <v>8066</v>
      </c>
      <c r="AG410" s="147">
        <v>15519</v>
      </c>
      <c r="AH410" s="146">
        <v>19778</v>
      </c>
      <c r="AI410" s="147"/>
      <c r="AJ410" s="146"/>
      <c r="AK410" s="147">
        <v>889</v>
      </c>
      <c r="AL410" s="146">
        <v>959.7</v>
      </c>
      <c r="AM410" s="173" t="s">
        <v>174</v>
      </c>
    </row>
    <row r="411" spans="1:39" ht="24" customHeight="1">
      <c r="A411" s="171" t="s">
        <v>175</v>
      </c>
      <c r="B411" s="151">
        <v>37325</v>
      </c>
      <c r="C411" s="151">
        <v>43746</v>
      </c>
      <c r="D411" s="150">
        <v>17</v>
      </c>
      <c r="E411" s="3" t="s">
        <v>61</v>
      </c>
      <c r="F411" s="143" t="s">
        <v>116</v>
      </c>
      <c r="G411" s="142">
        <v>27.033730158730162</v>
      </c>
      <c r="H411" s="11" t="s">
        <v>59</v>
      </c>
      <c r="I411" s="82" t="s">
        <v>60</v>
      </c>
      <c r="J411" s="147">
        <v>103022</v>
      </c>
      <c r="K411" s="146">
        <v>190767</v>
      </c>
      <c r="L411" s="147">
        <v>59008</v>
      </c>
      <c r="M411" s="146">
        <v>112153</v>
      </c>
      <c r="N411" s="147">
        <v>155745</v>
      </c>
      <c r="O411" s="146">
        <v>229200</v>
      </c>
      <c r="P411" s="147">
        <v>100295</v>
      </c>
      <c r="Q411" s="146">
        <v>145258</v>
      </c>
      <c r="R411" s="147">
        <v>155745</v>
      </c>
      <c r="S411" s="146">
        <v>229200</v>
      </c>
      <c r="T411" s="147">
        <v>63707</v>
      </c>
      <c r="U411" s="146">
        <v>96958</v>
      </c>
      <c r="V411" s="147">
        <v>404791</v>
      </c>
      <c r="W411" s="146">
        <v>488683</v>
      </c>
      <c r="X411" s="174" t="s">
        <v>175</v>
      </c>
      <c r="Y411" s="147">
        <v>2921</v>
      </c>
      <c r="Z411" s="146">
        <v>3586</v>
      </c>
      <c r="AA411" s="147">
        <v>6205</v>
      </c>
      <c r="AB411" s="146">
        <v>10594</v>
      </c>
      <c r="AC411" s="147">
        <v>8532</v>
      </c>
      <c r="AD411" s="146">
        <v>7791</v>
      </c>
      <c r="AE411" s="147">
        <v>28111</v>
      </c>
      <c r="AF411" s="146">
        <v>26588</v>
      </c>
      <c r="AG411" s="147">
        <v>17190</v>
      </c>
      <c r="AH411" s="146">
        <v>17880</v>
      </c>
      <c r="AI411" s="147"/>
      <c r="AJ411" s="146"/>
      <c r="AK411" s="147">
        <v>19231</v>
      </c>
      <c r="AL411" s="146">
        <v>17751</v>
      </c>
      <c r="AM411" s="173" t="s">
        <v>175</v>
      </c>
    </row>
    <row r="412" spans="1:39" ht="24" customHeight="1">
      <c r="A412" s="169" t="s">
        <v>176</v>
      </c>
      <c r="B412" s="145">
        <v>38611</v>
      </c>
      <c r="C412" s="145">
        <v>43746</v>
      </c>
      <c r="D412" s="144">
        <v>14</v>
      </c>
      <c r="E412" s="4" t="s">
        <v>58</v>
      </c>
      <c r="F412" s="143" t="s">
        <v>116</v>
      </c>
      <c r="G412" s="142">
        <v>21.905036592521089</v>
      </c>
      <c r="H412" s="11" t="s">
        <v>59</v>
      </c>
      <c r="I412" s="82" t="s">
        <v>60</v>
      </c>
      <c r="J412" s="147">
        <v>364188</v>
      </c>
      <c r="K412" s="146">
        <v>433331</v>
      </c>
      <c r="L412" s="147">
        <v>254116</v>
      </c>
      <c r="M412" s="146">
        <v>292461</v>
      </c>
      <c r="N412" s="147">
        <v>249276</v>
      </c>
      <c r="O412" s="146">
        <v>404882</v>
      </c>
      <c r="P412" s="147">
        <v>111146</v>
      </c>
      <c r="Q412" s="146">
        <v>314946</v>
      </c>
      <c r="R412" s="147">
        <v>249276</v>
      </c>
      <c r="S412" s="146">
        <v>404882</v>
      </c>
      <c r="T412" s="147"/>
      <c r="U412" s="146"/>
      <c r="V412" s="147">
        <v>83069</v>
      </c>
      <c r="W412" s="146">
        <v>160338</v>
      </c>
      <c r="X412" s="176" t="s">
        <v>176</v>
      </c>
      <c r="Y412" s="147">
        <v>11202</v>
      </c>
      <c r="Z412" s="146">
        <v>13382</v>
      </c>
      <c r="AA412" s="147">
        <v>26189</v>
      </c>
      <c r="AB412" s="146">
        <v>34394</v>
      </c>
      <c r="AC412" s="147">
        <v>3660</v>
      </c>
      <c r="AD412" s="146">
        <v>5481</v>
      </c>
      <c r="AE412" s="147">
        <v>7582</v>
      </c>
      <c r="AF412" s="146">
        <v>12742</v>
      </c>
      <c r="AG412" s="147">
        <v>3162</v>
      </c>
      <c r="AH412" s="146">
        <v>4495</v>
      </c>
      <c r="AI412" s="147"/>
      <c r="AJ412" s="146"/>
      <c r="AK412" s="147">
        <v>1019</v>
      </c>
      <c r="AL412" s="146">
        <v>1595</v>
      </c>
      <c r="AM412" s="175" t="s">
        <v>176</v>
      </c>
    </row>
    <row r="413" spans="1:39" ht="24" customHeight="1">
      <c r="A413" s="171" t="s">
        <v>177</v>
      </c>
      <c r="B413" s="151">
        <v>37604</v>
      </c>
      <c r="C413" s="151">
        <v>43748</v>
      </c>
      <c r="D413" s="150">
        <v>16</v>
      </c>
      <c r="E413" s="3" t="s">
        <v>61</v>
      </c>
      <c r="F413" s="143" t="s">
        <v>116</v>
      </c>
      <c r="G413" s="142">
        <v>21.50600246503819</v>
      </c>
      <c r="H413" s="11" t="s">
        <v>59</v>
      </c>
      <c r="I413" s="82" t="s">
        <v>60</v>
      </c>
      <c r="J413" s="147">
        <v>139214</v>
      </c>
      <c r="K413" s="146">
        <v>157194</v>
      </c>
      <c r="L413" s="147">
        <v>115881</v>
      </c>
      <c r="M413" s="146">
        <v>199988</v>
      </c>
      <c r="N413" s="147">
        <v>253904</v>
      </c>
      <c r="O413" s="146">
        <v>317166</v>
      </c>
      <c r="P413" s="147">
        <v>70591</v>
      </c>
      <c r="Q413" s="146">
        <v>212114</v>
      </c>
      <c r="R413" s="147">
        <v>253904</v>
      </c>
      <c r="S413" s="146">
        <v>317166</v>
      </c>
      <c r="T413" s="147"/>
      <c r="U413" s="146"/>
      <c r="V413" s="147">
        <v>322121</v>
      </c>
      <c r="W413" s="146">
        <v>426000</v>
      </c>
      <c r="X413" s="174" t="s">
        <v>177</v>
      </c>
      <c r="Y413" s="147">
        <v>3932</v>
      </c>
      <c r="Z413" s="146">
        <v>4864</v>
      </c>
      <c r="AA413" s="147">
        <v>5144</v>
      </c>
      <c r="AB413" s="146">
        <v>6488</v>
      </c>
      <c r="AC413" s="147">
        <v>4526</v>
      </c>
      <c r="AD413" s="146">
        <v>7482</v>
      </c>
      <c r="AE413" s="147"/>
      <c r="AF413" s="146"/>
      <c r="AG413" s="147">
        <v>2715</v>
      </c>
      <c r="AH413" s="146">
        <v>3745</v>
      </c>
      <c r="AI413" s="147"/>
      <c r="AJ413" s="146"/>
      <c r="AK413" s="147">
        <v>3346</v>
      </c>
      <c r="AL413" s="146">
        <v>4478</v>
      </c>
      <c r="AM413" s="173" t="s">
        <v>177</v>
      </c>
    </row>
    <row r="414" spans="1:39" ht="24" customHeight="1">
      <c r="A414" s="171" t="s">
        <v>178</v>
      </c>
      <c r="B414" s="151">
        <v>38224</v>
      </c>
      <c r="C414" s="151">
        <v>43809</v>
      </c>
      <c r="D414" s="150">
        <v>15</v>
      </c>
      <c r="E414" s="3" t="s">
        <v>61</v>
      </c>
      <c r="F414" s="143" t="s">
        <v>116</v>
      </c>
      <c r="G414" s="142">
        <v>21.578339197855321</v>
      </c>
      <c r="H414" s="11" t="s">
        <v>59</v>
      </c>
      <c r="I414" s="82" t="s">
        <v>60</v>
      </c>
      <c r="J414" s="147">
        <v>160661</v>
      </c>
      <c r="K414" s="146">
        <v>220960</v>
      </c>
      <c r="L414" s="147">
        <v>151936</v>
      </c>
      <c r="M414" s="146">
        <v>236344</v>
      </c>
      <c r="N414" s="147">
        <v>211465</v>
      </c>
      <c r="O414" s="146">
        <v>271113</v>
      </c>
      <c r="P414" s="147">
        <v>75771</v>
      </c>
      <c r="Q414" s="146">
        <v>91225</v>
      </c>
      <c r="R414" s="147">
        <v>211465</v>
      </c>
      <c r="S414" s="146">
        <v>271113</v>
      </c>
      <c r="T414" s="147"/>
      <c r="U414" s="146"/>
      <c r="V414" s="147">
        <v>163463</v>
      </c>
      <c r="W414" s="146">
        <v>218237</v>
      </c>
      <c r="X414" s="174" t="s">
        <v>178</v>
      </c>
      <c r="Y414" s="147">
        <v>27383</v>
      </c>
      <c r="Z414" s="146">
        <v>32321</v>
      </c>
      <c r="AA414" s="147">
        <v>34056</v>
      </c>
      <c r="AB414" s="146">
        <v>41702</v>
      </c>
      <c r="AC414" s="147">
        <v>10528</v>
      </c>
      <c r="AD414" s="146">
        <v>11285</v>
      </c>
      <c r="AE414" s="147"/>
      <c r="AF414" s="146"/>
      <c r="AG414" s="147">
        <v>3360</v>
      </c>
      <c r="AH414" s="146">
        <v>3867</v>
      </c>
      <c r="AI414" s="147"/>
      <c r="AJ414" s="146"/>
      <c r="AK414" s="147">
        <v>2292</v>
      </c>
      <c r="AL414" s="146">
        <v>2925</v>
      </c>
      <c r="AM414" s="173" t="s">
        <v>178</v>
      </c>
    </row>
    <row r="415" spans="1:39" ht="24" customHeight="1">
      <c r="A415" s="171" t="s">
        <v>179</v>
      </c>
      <c r="B415" s="151">
        <v>37688</v>
      </c>
      <c r="C415" s="151">
        <v>43792</v>
      </c>
      <c r="D415" s="150">
        <v>16</v>
      </c>
      <c r="E415" s="4" t="s">
        <v>58</v>
      </c>
      <c r="F415" s="143" t="s">
        <v>116</v>
      </c>
      <c r="G415" s="142">
        <v>34.700186787176591</v>
      </c>
      <c r="H415" s="11" t="s">
        <v>59</v>
      </c>
      <c r="I415" s="82" t="s">
        <v>60</v>
      </c>
      <c r="J415" s="147">
        <v>294221</v>
      </c>
      <c r="K415" s="146">
        <v>283623</v>
      </c>
      <c r="L415" s="147">
        <v>300565</v>
      </c>
      <c r="M415" s="146">
        <v>352982</v>
      </c>
      <c r="N415" s="147">
        <v>98335</v>
      </c>
      <c r="O415" s="146">
        <v>171981</v>
      </c>
      <c r="P415" s="147">
        <v>39703</v>
      </c>
      <c r="Q415" s="146">
        <v>113012</v>
      </c>
      <c r="R415" s="147">
        <v>98335</v>
      </c>
      <c r="S415" s="146">
        <v>171981</v>
      </c>
      <c r="T415" s="147"/>
      <c r="U415" s="146"/>
      <c r="V415" s="147">
        <v>162504</v>
      </c>
      <c r="W415" s="146">
        <v>215777</v>
      </c>
      <c r="X415" s="174" t="s">
        <v>179</v>
      </c>
      <c r="Y415" s="147">
        <v>12759</v>
      </c>
      <c r="Z415" s="146">
        <v>12279</v>
      </c>
      <c r="AA415" s="147">
        <v>15197</v>
      </c>
      <c r="AB415" s="146">
        <v>18009</v>
      </c>
      <c r="AC415" s="147">
        <v>13309</v>
      </c>
      <c r="AD415" s="146">
        <v>19737</v>
      </c>
      <c r="AE415" s="147"/>
      <c r="AF415" s="146"/>
      <c r="AG415" s="147">
        <v>2050</v>
      </c>
      <c r="AH415" s="146">
        <v>2353</v>
      </c>
      <c r="AI415" s="147"/>
      <c r="AJ415" s="146"/>
      <c r="AK415" s="147">
        <v>4941</v>
      </c>
      <c r="AL415" s="146">
        <v>6402</v>
      </c>
      <c r="AM415" s="173" t="s">
        <v>179</v>
      </c>
    </row>
    <row r="416" spans="1:39" ht="24" customHeight="1">
      <c r="A416" s="171" t="s">
        <v>180</v>
      </c>
      <c r="B416" s="151">
        <v>37650</v>
      </c>
      <c r="C416" s="151">
        <v>43808</v>
      </c>
      <c r="D416" s="150">
        <v>16</v>
      </c>
      <c r="E416" s="3" t="s">
        <v>61</v>
      </c>
      <c r="F416" s="143" t="s">
        <v>181</v>
      </c>
      <c r="G416" s="142">
        <v>22.221758882795974</v>
      </c>
      <c r="H416" s="11" t="s">
        <v>59</v>
      </c>
      <c r="I416" s="82" t="s">
        <v>60</v>
      </c>
      <c r="J416" s="147">
        <v>105071</v>
      </c>
      <c r="K416" s="146">
        <v>159073</v>
      </c>
      <c r="L416" s="147">
        <v>70008</v>
      </c>
      <c r="M416" s="146">
        <v>119572</v>
      </c>
      <c r="N416" s="147">
        <v>233325</v>
      </c>
      <c r="O416" s="146">
        <v>487013</v>
      </c>
      <c r="P416" s="147">
        <v>30304</v>
      </c>
      <c r="Q416" s="146">
        <v>73419</v>
      </c>
      <c r="R416" s="147">
        <v>233325</v>
      </c>
      <c r="S416" s="146">
        <v>487013</v>
      </c>
      <c r="T416" s="147"/>
      <c r="U416" s="146"/>
      <c r="V416" s="147">
        <v>64562</v>
      </c>
      <c r="W416" s="146">
        <v>118517</v>
      </c>
      <c r="X416" s="174" t="s">
        <v>180</v>
      </c>
      <c r="Y416" s="147">
        <v>11977</v>
      </c>
      <c r="Z416" s="146">
        <v>17137</v>
      </c>
      <c r="AA416" s="147">
        <v>16848</v>
      </c>
      <c r="AB416" s="146">
        <v>26130</v>
      </c>
      <c r="AC416" s="147">
        <v>3357</v>
      </c>
      <c r="AD416" s="146">
        <v>8288</v>
      </c>
      <c r="AE416" s="147"/>
      <c r="AF416" s="146"/>
      <c r="AG416" s="147">
        <v>3805</v>
      </c>
      <c r="AH416" s="146">
        <v>6875</v>
      </c>
      <c r="AI416" s="147"/>
      <c r="AJ416" s="146"/>
      <c r="AK416" s="147">
        <v>3079</v>
      </c>
      <c r="AL416" s="146">
        <v>5334</v>
      </c>
      <c r="AM416" s="173" t="s">
        <v>180</v>
      </c>
    </row>
    <row r="417" spans="1:39" ht="24" customHeight="1">
      <c r="A417" s="169" t="s">
        <v>182</v>
      </c>
      <c r="B417" s="145">
        <v>38358</v>
      </c>
      <c r="C417" s="145">
        <v>43768</v>
      </c>
      <c r="D417" s="144">
        <v>14</v>
      </c>
      <c r="E417" s="3" t="s">
        <v>61</v>
      </c>
      <c r="F417" s="143" t="s">
        <v>116</v>
      </c>
      <c r="G417" s="142">
        <v>22.567770863675818</v>
      </c>
      <c r="H417" s="11" t="s">
        <v>59</v>
      </c>
      <c r="I417" s="82" t="s">
        <v>60</v>
      </c>
      <c r="J417" s="147">
        <v>623739</v>
      </c>
      <c r="K417" s="146">
        <v>469289</v>
      </c>
      <c r="L417" s="147">
        <v>586321</v>
      </c>
      <c r="M417" s="146">
        <v>674873</v>
      </c>
      <c r="N417" s="147">
        <v>170146</v>
      </c>
      <c r="O417" s="146">
        <v>179098</v>
      </c>
      <c r="P417" s="147">
        <v>105021</v>
      </c>
      <c r="Q417" s="146">
        <v>107832</v>
      </c>
      <c r="R417" s="147">
        <v>170146</v>
      </c>
      <c r="S417" s="146">
        <v>179098</v>
      </c>
      <c r="T417" s="147"/>
      <c r="U417" s="146"/>
      <c r="V417" s="147">
        <v>110875</v>
      </c>
      <c r="W417" s="146">
        <v>123241</v>
      </c>
      <c r="X417" s="176" t="s">
        <v>182</v>
      </c>
      <c r="Y417" s="147">
        <v>16375</v>
      </c>
      <c r="Z417" s="146">
        <v>14942</v>
      </c>
      <c r="AA417" s="147">
        <v>17944</v>
      </c>
      <c r="AB417" s="146">
        <v>25578</v>
      </c>
      <c r="AC417" s="147">
        <v>2456</v>
      </c>
      <c r="AD417" s="146">
        <v>2412</v>
      </c>
      <c r="AE417" s="147"/>
      <c r="AF417" s="146"/>
      <c r="AG417" s="147">
        <v>5069</v>
      </c>
      <c r="AH417" s="146">
        <v>5116</v>
      </c>
      <c r="AI417" s="147"/>
      <c r="AJ417" s="146"/>
      <c r="AK417" s="147">
        <v>6324</v>
      </c>
      <c r="AL417" s="146">
        <v>6919</v>
      </c>
      <c r="AM417" s="175" t="s">
        <v>182</v>
      </c>
    </row>
    <row r="418" spans="1:39" ht="24" customHeight="1">
      <c r="A418" s="171" t="s">
        <v>183</v>
      </c>
      <c r="B418" s="151">
        <v>37707</v>
      </c>
      <c r="C418" s="151">
        <v>43746</v>
      </c>
      <c r="D418" s="150">
        <v>16</v>
      </c>
      <c r="E418" s="4" t="s">
        <v>58</v>
      </c>
      <c r="F418" s="143" t="s">
        <v>116</v>
      </c>
      <c r="G418" s="142">
        <v>27.501363882715335</v>
      </c>
      <c r="H418" s="11" t="s">
        <v>59</v>
      </c>
      <c r="I418" s="82" t="s">
        <v>60</v>
      </c>
      <c r="J418" s="147">
        <v>243217</v>
      </c>
      <c r="K418" s="146">
        <v>489228</v>
      </c>
      <c r="L418" s="147">
        <v>371685</v>
      </c>
      <c r="M418" s="146">
        <v>693918</v>
      </c>
      <c r="N418" s="147">
        <v>268243</v>
      </c>
      <c r="O418" s="146">
        <v>385775</v>
      </c>
      <c r="P418" s="147">
        <v>154822</v>
      </c>
      <c r="Q418" s="146">
        <v>225377</v>
      </c>
      <c r="R418" s="147">
        <v>268243</v>
      </c>
      <c r="S418" s="146">
        <v>385775</v>
      </c>
      <c r="T418" s="147"/>
      <c r="U418" s="146"/>
      <c r="V418" s="147">
        <v>169875</v>
      </c>
      <c r="W418" s="146">
        <v>280584</v>
      </c>
      <c r="X418" s="174" t="s">
        <v>183</v>
      </c>
      <c r="Y418" s="147">
        <v>1787</v>
      </c>
      <c r="Z418" s="146">
        <v>2274</v>
      </c>
      <c r="AA418" s="147">
        <v>1064</v>
      </c>
      <c r="AB418" s="146">
        <v>2345</v>
      </c>
      <c r="AC418" s="147">
        <v>1397</v>
      </c>
      <c r="AD418" s="146">
        <v>2575</v>
      </c>
      <c r="AE418" s="147">
        <v>472.2</v>
      </c>
      <c r="AF418" s="146">
        <v>1550</v>
      </c>
      <c r="AG418" s="147">
        <v>1145</v>
      </c>
      <c r="AH418" s="146">
        <v>1226</v>
      </c>
      <c r="AI418" s="147"/>
      <c r="AJ418" s="146"/>
      <c r="AK418" s="147">
        <v>769.7</v>
      </c>
      <c r="AL418" s="146">
        <v>949.8</v>
      </c>
      <c r="AM418" s="173" t="s">
        <v>183</v>
      </c>
    </row>
    <row r="419" spans="1:39" ht="24" customHeight="1">
      <c r="A419" s="169" t="s">
        <v>184</v>
      </c>
      <c r="B419" s="145">
        <v>38752</v>
      </c>
      <c r="C419" s="145">
        <v>43781</v>
      </c>
      <c r="D419" s="144">
        <v>13</v>
      </c>
      <c r="E419" s="4" t="s">
        <v>58</v>
      </c>
      <c r="F419" s="143" t="s">
        <v>116</v>
      </c>
      <c r="G419" s="142">
        <v>21.288386678200698</v>
      </c>
      <c r="H419" s="11" t="s">
        <v>59</v>
      </c>
      <c r="I419" s="82" t="s">
        <v>60</v>
      </c>
      <c r="J419" s="147">
        <v>394235</v>
      </c>
      <c r="K419" s="146">
        <v>622642</v>
      </c>
      <c r="L419" s="147">
        <v>560117</v>
      </c>
      <c r="M419" s="146">
        <v>827259</v>
      </c>
      <c r="N419" s="147">
        <v>292786</v>
      </c>
      <c r="O419" s="146">
        <v>358166</v>
      </c>
      <c r="P419" s="147">
        <v>81312</v>
      </c>
      <c r="Q419" s="146">
        <v>490833</v>
      </c>
      <c r="R419" s="147">
        <v>292786</v>
      </c>
      <c r="S419" s="146">
        <v>358166</v>
      </c>
      <c r="T419" s="147"/>
      <c r="U419" s="146"/>
      <c r="V419" s="147">
        <v>167692</v>
      </c>
      <c r="W419" s="146">
        <v>206715</v>
      </c>
      <c r="X419" s="176" t="s">
        <v>184</v>
      </c>
      <c r="Y419" s="147">
        <v>2821</v>
      </c>
      <c r="Z419" s="146">
        <v>4279</v>
      </c>
      <c r="AA419" s="147">
        <v>1765</v>
      </c>
      <c r="AB419" s="146">
        <v>5558</v>
      </c>
      <c r="AC419" s="147">
        <v>442.6</v>
      </c>
      <c r="AD419" s="146">
        <v>989.1</v>
      </c>
      <c r="AE419" s="147">
        <v>454.4</v>
      </c>
      <c r="AF419" s="146">
        <v>1043</v>
      </c>
      <c r="AG419" s="147">
        <v>854.4</v>
      </c>
      <c r="AH419" s="146">
        <v>1018</v>
      </c>
      <c r="AI419" s="147"/>
      <c r="AJ419" s="146"/>
      <c r="AK419" s="147">
        <v>311.8</v>
      </c>
      <c r="AL419" s="146">
        <v>923.6</v>
      </c>
      <c r="AM419" s="175" t="s">
        <v>184</v>
      </c>
    </row>
    <row r="420" spans="1:39" ht="24" customHeight="1">
      <c r="A420" s="169" t="s">
        <v>185</v>
      </c>
      <c r="B420" s="145">
        <v>38405</v>
      </c>
      <c r="C420" s="145">
        <v>43806</v>
      </c>
      <c r="D420" s="144">
        <v>14</v>
      </c>
      <c r="E420" s="3" t="s">
        <v>61</v>
      </c>
      <c r="F420" s="143" t="s">
        <v>116</v>
      </c>
      <c r="G420" s="142">
        <v>22.93946710669999</v>
      </c>
      <c r="H420" s="11" t="s">
        <v>59</v>
      </c>
      <c r="I420" s="82" t="s">
        <v>60</v>
      </c>
      <c r="J420" s="147">
        <v>186238</v>
      </c>
      <c r="K420" s="146">
        <v>257409</v>
      </c>
      <c r="L420" s="147">
        <v>236536</v>
      </c>
      <c r="M420" s="146">
        <v>315559</v>
      </c>
      <c r="N420" s="147">
        <v>257198</v>
      </c>
      <c r="O420" s="146">
        <v>241592</v>
      </c>
      <c r="P420" s="147">
        <v>57920</v>
      </c>
      <c r="Q420" s="146">
        <v>146449</v>
      </c>
      <c r="R420" s="147">
        <v>257198</v>
      </c>
      <c r="S420" s="146">
        <v>241592</v>
      </c>
      <c r="T420" s="147"/>
      <c r="U420" s="146"/>
      <c r="V420" s="147">
        <v>261694</v>
      </c>
      <c r="W420" s="146">
        <v>228086</v>
      </c>
      <c r="X420" s="176" t="s">
        <v>185</v>
      </c>
      <c r="Y420" s="147">
        <v>1846</v>
      </c>
      <c r="Z420" s="146">
        <v>2024</v>
      </c>
      <c r="AA420" s="147">
        <v>1304</v>
      </c>
      <c r="AB420" s="146">
        <v>1443</v>
      </c>
      <c r="AC420" s="147">
        <v>2862</v>
      </c>
      <c r="AD420" s="146">
        <v>3161</v>
      </c>
      <c r="AE420" s="147">
        <v>1303</v>
      </c>
      <c r="AF420" s="146">
        <v>1817</v>
      </c>
      <c r="AG420" s="147">
        <v>11747</v>
      </c>
      <c r="AH420" s="146">
        <v>10754</v>
      </c>
      <c r="AI420" s="147"/>
      <c r="AJ420" s="146"/>
      <c r="AK420" s="147">
        <v>5323</v>
      </c>
      <c r="AL420" s="146">
        <v>5380</v>
      </c>
      <c r="AM420" s="175" t="s">
        <v>185</v>
      </c>
    </row>
    <row r="421" spans="1:39" ht="24" customHeight="1">
      <c r="A421" s="169" t="s">
        <v>186</v>
      </c>
      <c r="B421" s="145">
        <v>38405</v>
      </c>
      <c r="C421" s="145">
        <v>43806</v>
      </c>
      <c r="D421" s="144">
        <v>14</v>
      </c>
      <c r="E421" s="3" t="s">
        <v>61</v>
      </c>
      <c r="F421" s="143" t="s">
        <v>116</v>
      </c>
      <c r="G421" s="142">
        <v>19.351531462258105</v>
      </c>
      <c r="H421" s="11" t="s">
        <v>59</v>
      </c>
      <c r="I421" s="82" t="s">
        <v>60</v>
      </c>
      <c r="J421" s="147">
        <v>161048</v>
      </c>
      <c r="K421" s="146">
        <v>276354</v>
      </c>
      <c r="L421" s="147">
        <v>284785</v>
      </c>
      <c r="M421" s="146">
        <v>368236</v>
      </c>
      <c r="N421" s="147">
        <v>240447</v>
      </c>
      <c r="O421" s="146">
        <v>332726</v>
      </c>
      <c r="P421" s="147">
        <v>57700</v>
      </c>
      <c r="Q421" s="146">
        <v>170295</v>
      </c>
      <c r="R421" s="147">
        <v>240447</v>
      </c>
      <c r="S421" s="146">
        <v>332726</v>
      </c>
      <c r="T421" s="147"/>
      <c r="U421" s="146"/>
      <c r="V421" s="147">
        <v>93718</v>
      </c>
      <c r="W421" s="146">
        <v>140801</v>
      </c>
      <c r="X421" s="176" t="s">
        <v>186</v>
      </c>
      <c r="Y421" s="147">
        <v>1937</v>
      </c>
      <c r="Z421" s="146">
        <v>3061</v>
      </c>
      <c r="AA421" s="147">
        <v>1721</v>
      </c>
      <c r="AB421" s="146">
        <v>3020</v>
      </c>
      <c r="AC421" s="147">
        <v>1609</v>
      </c>
      <c r="AD421" s="146">
        <v>6472</v>
      </c>
      <c r="AE421" s="147">
        <v>2255</v>
      </c>
      <c r="AF421" s="146">
        <v>15118</v>
      </c>
      <c r="AG421" s="147">
        <v>6053</v>
      </c>
      <c r="AH421" s="146">
        <v>6607</v>
      </c>
      <c r="AI421" s="147"/>
      <c r="AJ421" s="146"/>
      <c r="AK421" s="147">
        <v>2883</v>
      </c>
      <c r="AL421" s="146">
        <v>4280</v>
      </c>
      <c r="AM421" s="175" t="s">
        <v>186</v>
      </c>
    </row>
    <row r="422" spans="1:39" ht="24" customHeight="1">
      <c r="A422" s="171" t="s">
        <v>187</v>
      </c>
      <c r="B422" s="151">
        <v>37245</v>
      </c>
      <c r="C422" s="151">
        <v>43773</v>
      </c>
      <c r="D422" s="150">
        <v>17</v>
      </c>
      <c r="E422" s="3" t="s">
        <v>61</v>
      </c>
      <c r="F422" s="143" t="s">
        <v>116</v>
      </c>
      <c r="G422" s="142">
        <v>17.361527422489591</v>
      </c>
      <c r="H422" s="11" t="s">
        <v>59</v>
      </c>
      <c r="I422" s="82" t="s">
        <v>60</v>
      </c>
      <c r="J422" s="147">
        <v>177749</v>
      </c>
      <c r="K422" s="146">
        <v>229131</v>
      </c>
      <c r="L422" s="147">
        <v>216808</v>
      </c>
      <c r="M422" s="146">
        <v>205462</v>
      </c>
      <c r="N422" s="147">
        <v>316836</v>
      </c>
      <c r="O422" s="146">
        <v>375890</v>
      </c>
      <c r="P422" s="147">
        <v>73880</v>
      </c>
      <c r="Q422" s="146">
        <v>104137</v>
      </c>
      <c r="R422" s="147">
        <v>316836</v>
      </c>
      <c r="S422" s="146">
        <v>375890</v>
      </c>
      <c r="T422" s="147"/>
      <c r="U422" s="146"/>
      <c r="V422" s="147">
        <v>676640</v>
      </c>
      <c r="W422" s="146">
        <v>621271</v>
      </c>
      <c r="X422" s="174" t="s">
        <v>187</v>
      </c>
      <c r="Y422" s="147">
        <v>2014</v>
      </c>
      <c r="Z422" s="146">
        <v>3380</v>
      </c>
      <c r="AA422" s="147">
        <v>1817</v>
      </c>
      <c r="AB422" s="146">
        <v>3816</v>
      </c>
      <c r="AC422" s="147">
        <v>5862</v>
      </c>
      <c r="AD422" s="146">
        <v>9634</v>
      </c>
      <c r="AE422" s="147">
        <v>8443</v>
      </c>
      <c r="AF422" s="146">
        <v>15874</v>
      </c>
      <c r="AG422" s="147">
        <v>3588</v>
      </c>
      <c r="AH422" s="146">
        <v>3767</v>
      </c>
      <c r="AI422" s="147"/>
      <c r="AJ422" s="146"/>
      <c r="AK422" s="147">
        <v>5109</v>
      </c>
      <c r="AL422" s="146">
        <v>6695</v>
      </c>
      <c r="AM422" s="173" t="s">
        <v>187</v>
      </c>
    </row>
    <row r="423" spans="1:39" ht="24" customHeight="1">
      <c r="A423" s="169" t="s">
        <v>188</v>
      </c>
      <c r="B423" s="145">
        <v>38863</v>
      </c>
      <c r="C423" s="145">
        <v>43774</v>
      </c>
      <c r="D423" s="144">
        <v>13</v>
      </c>
      <c r="E423" s="4" t="s">
        <v>58</v>
      </c>
      <c r="F423" s="143" t="s">
        <v>116</v>
      </c>
      <c r="G423" s="142">
        <v>19.806392513183631</v>
      </c>
      <c r="H423" s="11" t="s">
        <v>59</v>
      </c>
      <c r="I423" s="82" t="s">
        <v>60</v>
      </c>
      <c r="J423" s="147">
        <v>58572</v>
      </c>
      <c r="K423" s="146">
        <v>127677</v>
      </c>
      <c r="L423" s="147">
        <v>40982</v>
      </c>
      <c r="M423" s="146">
        <v>108738</v>
      </c>
      <c r="N423" s="147">
        <v>114050</v>
      </c>
      <c r="O423" s="146">
        <v>215674</v>
      </c>
      <c r="P423" s="147">
        <v>66939</v>
      </c>
      <c r="Q423" s="146">
        <v>286734</v>
      </c>
      <c r="R423" s="147">
        <v>114050</v>
      </c>
      <c r="S423" s="146">
        <v>215674</v>
      </c>
      <c r="T423" s="147"/>
      <c r="U423" s="146"/>
      <c r="V423" s="147">
        <v>83183</v>
      </c>
      <c r="W423" s="146">
        <v>169655</v>
      </c>
      <c r="X423" s="176" t="s">
        <v>188</v>
      </c>
      <c r="Y423" s="147">
        <v>911.7</v>
      </c>
      <c r="Z423" s="146">
        <v>1094</v>
      </c>
      <c r="AA423" s="147">
        <v>955.3</v>
      </c>
      <c r="AB423" s="146">
        <v>3984</v>
      </c>
      <c r="AC423" s="147">
        <v>472.8</v>
      </c>
      <c r="AD423" s="146">
        <v>782.8</v>
      </c>
      <c r="AE423" s="147">
        <v>404.2</v>
      </c>
      <c r="AF423" s="146">
        <v>300.10000000000002</v>
      </c>
      <c r="AG423" s="147">
        <v>1424</v>
      </c>
      <c r="AH423" s="146">
        <v>2477</v>
      </c>
      <c r="AI423" s="147"/>
      <c r="AJ423" s="146"/>
      <c r="AK423" s="147">
        <v>1181</v>
      </c>
      <c r="AL423" s="146">
        <v>1949</v>
      </c>
      <c r="AM423" s="175" t="s">
        <v>188</v>
      </c>
    </row>
    <row r="424" spans="1:39" ht="24" customHeight="1">
      <c r="A424" s="171" t="s">
        <v>189</v>
      </c>
      <c r="B424" s="151">
        <v>37247</v>
      </c>
      <c r="C424" s="151">
        <v>43755</v>
      </c>
      <c r="D424" s="150">
        <v>17</v>
      </c>
      <c r="E424" s="3" t="s">
        <v>61</v>
      </c>
      <c r="F424" s="143" t="s">
        <v>116</v>
      </c>
      <c r="G424" s="142">
        <v>23.938936766762421</v>
      </c>
      <c r="H424" s="11" t="s">
        <v>59</v>
      </c>
      <c r="I424" s="82" t="s">
        <v>60</v>
      </c>
      <c r="J424" s="147">
        <v>143829</v>
      </c>
      <c r="K424" s="146">
        <v>174832</v>
      </c>
      <c r="L424" s="147">
        <v>110460</v>
      </c>
      <c r="M424" s="146">
        <v>164937</v>
      </c>
      <c r="N424" s="147">
        <v>138052</v>
      </c>
      <c r="O424" s="146">
        <v>194124</v>
      </c>
      <c r="P424" s="147">
        <v>311794</v>
      </c>
      <c r="Q424" s="146">
        <v>429682</v>
      </c>
      <c r="R424" s="147">
        <v>138052</v>
      </c>
      <c r="S424" s="146">
        <v>194124</v>
      </c>
      <c r="T424" s="147"/>
      <c r="U424" s="146"/>
      <c r="V424" s="147">
        <v>62349</v>
      </c>
      <c r="W424" s="146">
        <v>97612</v>
      </c>
      <c r="X424" s="174" t="s">
        <v>189</v>
      </c>
      <c r="Y424" s="147">
        <v>917.3</v>
      </c>
      <c r="Z424" s="146">
        <v>1069</v>
      </c>
      <c r="AA424" s="147">
        <v>935.5</v>
      </c>
      <c r="AB424" s="146">
        <v>1345</v>
      </c>
      <c r="AC424" s="147">
        <v>3174</v>
      </c>
      <c r="AD424" s="146">
        <v>3381</v>
      </c>
      <c r="AE424" s="147">
        <v>3546</v>
      </c>
      <c r="AF424" s="146">
        <v>3467</v>
      </c>
      <c r="AG424" s="147">
        <v>582.6</v>
      </c>
      <c r="AH424" s="146">
        <v>1246</v>
      </c>
      <c r="AI424" s="147"/>
      <c r="AJ424" s="146"/>
      <c r="AK424" s="147">
        <v>1201</v>
      </c>
      <c r="AL424" s="146">
        <v>1564</v>
      </c>
      <c r="AM424" s="173" t="s">
        <v>189</v>
      </c>
    </row>
    <row r="425" spans="1:39" ht="24" customHeight="1">
      <c r="A425" s="171" t="s">
        <v>190</v>
      </c>
      <c r="B425" s="151">
        <v>37795</v>
      </c>
      <c r="C425" s="151">
        <v>43755</v>
      </c>
      <c r="D425" s="150">
        <v>16</v>
      </c>
      <c r="E425" s="3" t="s">
        <v>61</v>
      </c>
      <c r="F425" s="143" t="s">
        <v>116</v>
      </c>
      <c r="G425" s="142">
        <v>20.285990902065638</v>
      </c>
      <c r="H425" s="11" t="s">
        <v>59</v>
      </c>
      <c r="I425" s="82" t="s">
        <v>60</v>
      </c>
      <c r="J425" s="147">
        <v>269540</v>
      </c>
      <c r="K425" s="146">
        <v>284709</v>
      </c>
      <c r="L425" s="147">
        <v>216379</v>
      </c>
      <c r="M425" s="146">
        <v>325967</v>
      </c>
      <c r="N425" s="147">
        <v>90367</v>
      </c>
      <c r="O425" s="146">
        <v>130662</v>
      </c>
      <c r="P425" s="147">
        <v>92587</v>
      </c>
      <c r="Q425" s="146">
        <v>115515</v>
      </c>
      <c r="R425" s="147">
        <v>90367</v>
      </c>
      <c r="S425" s="146">
        <v>130662</v>
      </c>
      <c r="T425" s="147"/>
      <c r="U425" s="146"/>
      <c r="V425" s="147">
        <v>205821</v>
      </c>
      <c r="W425" s="146">
        <v>210504</v>
      </c>
      <c r="X425" s="172" t="s">
        <v>190</v>
      </c>
      <c r="Y425" s="147">
        <v>1425</v>
      </c>
      <c r="Z425" s="146">
        <v>1459</v>
      </c>
      <c r="AA425" s="147">
        <v>1546</v>
      </c>
      <c r="AB425" s="146">
        <v>1371</v>
      </c>
      <c r="AC425" s="147">
        <v>789.2</v>
      </c>
      <c r="AD425" s="146">
        <v>1147</v>
      </c>
      <c r="AE425" s="147">
        <v>1965</v>
      </c>
      <c r="AF425" s="146">
        <v>2076</v>
      </c>
      <c r="AG425" s="147">
        <v>720.1</v>
      </c>
      <c r="AH425" s="146">
        <v>783.8</v>
      </c>
      <c r="AI425" s="147"/>
      <c r="AJ425" s="146"/>
      <c r="AK425" s="147">
        <v>7590</v>
      </c>
      <c r="AL425" s="146">
        <v>8537</v>
      </c>
      <c r="AM425" s="171" t="s">
        <v>190</v>
      </c>
    </row>
    <row r="426" spans="1:39" ht="24" customHeight="1">
      <c r="A426" s="171" t="s">
        <v>191</v>
      </c>
      <c r="B426" s="151">
        <v>37453</v>
      </c>
      <c r="C426" s="151">
        <v>43783</v>
      </c>
      <c r="D426" s="150">
        <v>17</v>
      </c>
      <c r="E426" s="4" t="s">
        <v>58</v>
      </c>
      <c r="F426" s="143" t="s">
        <v>116</v>
      </c>
      <c r="G426" s="142">
        <v>24.612043613989051</v>
      </c>
      <c r="H426" s="11" t="s">
        <v>59</v>
      </c>
      <c r="I426" s="82" t="s">
        <v>60</v>
      </c>
      <c r="J426" s="147">
        <v>220971</v>
      </c>
      <c r="K426" s="146">
        <v>418776</v>
      </c>
      <c r="L426" s="147">
        <v>170655</v>
      </c>
      <c r="M426" s="146">
        <v>330794</v>
      </c>
      <c r="N426" s="147">
        <v>363866</v>
      </c>
      <c r="O426" s="146">
        <v>829332</v>
      </c>
      <c r="P426" s="147">
        <v>151328</v>
      </c>
      <c r="Q426" s="146">
        <v>483965</v>
      </c>
      <c r="R426" s="147">
        <v>363866</v>
      </c>
      <c r="S426" s="146">
        <v>829332</v>
      </c>
      <c r="T426" s="147"/>
      <c r="U426" s="146"/>
      <c r="V426" s="147">
        <v>151909</v>
      </c>
      <c r="W426" s="146">
        <v>264297</v>
      </c>
      <c r="X426" s="172" t="s">
        <v>191</v>
      </c>
      <c r="Y426" s="147">
        <v>1623</v>
      </c>
      <c r="Z426" s="146">
        <v>1652</v>
      </c>
      <c r="AA426" s="147">
        <v>1906</v>
      </c>
      <c r="AB426" s="146">
        <v>1769</v>
      </c>
      <c r="AC426" s="147">
        <v>2163</v>
      </c>
      <c r="AD426" s="146">
        <v>3350</v>
      </c>
      <c r="AE426" s="147">
        <v>14076</v>
      </c>
      <c r="AF426" s="146">
        <v>14044</v>
      </c>
      <c r="AG426" s="147">
        <v>1422</v>
      </c>
      <c r="AH426" s="146">
        <v>1703</v>
      </c>
      <c r="AI426" s="147"/>
      <c r="AJ426" s="146"/>
      <c r="AK426" s="147">
        <v>1321</v>
      </c>
      <c r="AL426" s="146">
        <v>1453</v>
      </c>
      <c r="AM426" s="171" t="s">
        <v>191</v>
      </c>
    </row>
    <row r="427" spans="1:39" ht="24" customHeight="1">
      <c r="A427" s="169" t="s">
        <v>192</v>
      </c>
      <c r="B427" s="145">
        <v>38496</v>
      </c>
      <c r="C427" s="145">
        <v>43783</v>
      </c>
      <c r="D427" s="144">
        <v>14</v>
      </c>
      <c r="E427" s="3" t="s">
        <v>61</v>
      </c>
      <c r="F427" s="143" t="s">
        <v>116</v>
      </c>
      <c r="G427" s="142">
        <v>20.140143110322239</v>
      </c>
      <c r="H427" s="11" t="s">
        <v>59</v>
      </c>
      <c r="I427" s="82" t="s">
        <v>60</v>
      </c>
      <c r="J427" s="147">
        <v>209250</v>
      </c>
      <c r="K427" s="146">
        <v>278379</v>
      </c>
      <c r="L427" s="147">
        <v>176800</v>
      </c>
      <c r="M427" s="146">
        <v>328143</v>
      </c>
      <c r="N427" s="147">
        <v>183818</v>
      </c>
      <c r="O427" s="146">
        <v>275156</v>
      </c>
      <c r="P427" s="147">
        <v>63965</v>
      </c>
      <c r="Q427" s="146">
        <v>186896</v>
      </c>
      <c r="R427" s="147">
        <v>183818</v>
      </c>
      <c r="S427" s="146">
        <v>275156</v>
      </c>
      <c r="T427" s="147"/>
      <c r="U427" s="146"/>
      <c r="V427" s="147">
        <v>52733</v>
      </c>
      <c r="W427" s="146">
        <v>95166</v>
      </c>
      <c r="X427" s="170" t="s">
        <v>192</v>
      </c>
      <c r="Y427" s="147">
        <v>2840</v>
      </c>
      <c r="Z427" s="146">
        <v>3317</v>
      </c>
      <c r="AA427" s="147">
        <v>3872</v>
      </c>
      <c r="AB427" s="146">
        <v>3998</v>
      </c>
      <c r="AC427" s="147">
        <v>1486</v>
      </c>
      <c r="AD427" s="146">
        <v>7138</v>
      </c>
      <c r="AE427" s="147">
        <v>1384</v>
      </c>
      <c r="AF427" s="146">
        <v>9842</v>
      </c>
      <c r="AG427" s="147">
        <v>5984</v>
      </c>
      <c r="AH427" s="146">
        <v>7897</v>
      </c>
      <c r="AI427" s="147"/>
      <c r="AJ427" s="146"/>
      <c r="AK427" s="147">
        <v>2077</v>
      </c>
      <c r="AL427" s="146">
        <v>3236</v>
      </c>
      <c r="AM427" s="169" t="s">
        <v>192</v>
      </c>
    </row>
    <row r="428" spans="1:39" ht="24" customHeight="1">
      <c r="A428" s="169" t="s">
        <v>193</v>
      </c>
      <c r="B428" s="145">
        <v>38874</v>
      </c>
      <c r="C428" s="145">
        <v>43753</v>
      </c>
      <c r="D428" s="144">
        <v>13</v>
      </c>
      <c r="E428" s="3" t="s">
        <v>61</v>
      </c>
      <c r="F428" s="143" t="s">
        <v>116</v>
      </c>
      <c r="G428" s="142">
        <v>23.417617117541706</v>
      </c>
      <c r="H428" s="11" t="s">
        <v>59</v>
      </c>
      <c r="I428" s="82" t="s">
        <v>60</v>
      </c>
      <c r="J428" s="147">
        <v>805194</v>
      </c>
      <c r="K428" s="146">
        <v>835780</v>
      </c>
      <c r="L428" s="147">
        <v>291172</v>
      </c>
      <c r="M428" s="146">
        <v>326162</v>
      </c>
      <c r="N428" s="147">
        <v>110728</v>
      </c>
      <c r="O428" s="146">
        <v>146421</v>
      </c>
      <c r="P428" s="147">
        <v>79866</v>
      </c>
      <c r="Q428" s="146">
        <v>541997</v>
      </c>
      <c r="R428" s="147">
        <v>110728</v>
      </c>
      <c r="S428" s="146">
        <v>146421</v>
      </c>
      <c r="T428" s="147"/>
      <c r="U428" s="146"/>
      <c r="V428" s="147">
        <v>122297</v>
      </c>
      <c r="W428" s="146">
        <v>154851</v>
      </c>
      <c r="X428" s="170" t="s">
        <v>193</v>
      </c>
      <c r="Y428" s="147">
        <v>5637</v>
      </c>
      <c r="Z428" s="146">
        <v>8108</v>
      </c>
      <c r="AA428" s="147">
        <v>6703</v>
      </c>
      <c r="AB428" s="146">
        <v>7108</v>
      </c>
      <c r="AC428" s="147">
        <v>1238</v>
      </c>
      <c r="AD428" s="146">
        <v>9800</v>
      </c>
      <c r="AE428" s="147">
        <v>3511</v>
      </c>
      <c r="AF428" s="146">
        <v>26137</v>
      </c>
      <c r="AG428" s="147">
        <v>147.19999999999999</v>
      </c>
      <c r="AH428" s="146">
        <v>214.2</v>
      </c>
      <c r="AI428" s="147"/>
      <c r="AJ428" s="146"/>
      <c r="AK428" s="147">
        <v>101.6</v>
      </c>
      <c r="AL428" s="146">
        <v>137.80000000000001</v>
      </c>
      <c r="AM428" s="169" t="s">
        <v>193</v>
      </c>
    </row>
    <row r="429" spans="1:39" ht="24" customHeight="1">
      <c r="A429" s="169" t="s">
        <v>194</v>
      </c>
      <c r="B429" s="145">
        <v>38414</v>
      </c>
      <c r="C429" s="145">
        <v>43753</v>
      </c>
      <c r="D429" s="144">
        <v>14</v>
      </c>
      <c r="E429" s="3" t="s">
        <v>61</v>
      </c>
      <c r="F429" s="143" t="s">
        <v>116</v>
      </c>
      <c r="G429" s="142">
        <v>19.577765186587616</v>
      </c>
      <c r="H429" s="11" t="s">
        <v>59</v>
      </c>
      <c r="I429" s="82" t="s">
        <v>60</v>
      </c>
      <c r="J429" s="147">
        <v>308097</v>
      </c>
      <c r="K429" s="146">
        <v>234646</v>
      </c>
      <c r="L429" s="147">
        <v>165268</v>
      </c>
      <c r="M429" s="146">
        <v>156817</v>
      </c>
      <c r="N429" s="147">
        <v>204443</v>
      </c>
      <c r="O429" s="146">
        <v>179024</v>
      </c>
      <c r="P429" s="147">
        <v>100318</v>
      </c>
      <c r="Q429" s="146">
        <v>115728</v>
      </c>
      <c r="R429" s="147">
        <v>204443</v>
      </c>
      <c r="S429" s="146">
        <v>179024</v>
      </c>
      <c r="T429" s="147"/>
      <c r="U429" s="146"/>
      <c r="V429" s="147">
        <v>141783</v>
      </c>
      <c r="W429" s="146">
        <v>124393</v>
      </c>
      <c r="X429" s="170" t="s">
        <v>194</v>
      </c>
      <c r="Y429" s="147">
        <v>37821</v>
      </c>
      <c r="Z429" s="146">
        <v>31394</v>
      </c>
      <c r="AA429" s="147">
        <v>98623</v>
      </c>
      <c r="AB429" s="146">
        <v>110172</v>
      </c>
      <c r="AC429" s="147">
        <v>983.2</v>
      </c>
      <c r="AD429" s="146">
        <v>998.8</v>
      </c>
      <c r="AE429" s="147">
        <v>2610</v>
      </c>
      <c r="AF429" s="146">
        <v>2059</v>
      </c>
      <c r="AG429" s="147">
        <v>986.2</v>
      </c>
      <c r="AH429" s="146">
        <v>1007</v>
      </c>
      <c r="AI429" s="147"/>
      <c r="AJ429" s="146"/>
      <c r="AK429" s="147">
        <v>3886</v>
      </c>
      <c r="AL429" s="146">
        <v>4280</v>
      </c>
      <c r="AM429" s="169" t="s">
        <v>194</v>
      </c>
    </row>
    <row r="430" spans="1:39" ht="24" customHeight="1">
      <c r="A430" s="169" t="s">
        <v>195</v>
      </c>
      <c r="B430" s="145">
        <v>38323</v>
      </c>
      <c r="C430" s="145">
        <v>43788</v>
      </c>
      <c r="D430" s="144">
        <v>14</v>
      </c>
      <c r="E430" s="3" t="s">
        <v>61</v>
      </c>
      <c r="F430" s="143" t="s">
        <v>116</v>
      </c>
      <c r="G430" s="142">
        <v>18.470082226190836</v>
      </c>
      <c r="H430" s="11" t="s">
        <v>59</v>
      </c>
      <c r="I430" s="82" t="s">
        <v>60</v>
      </c>
      <c r="J430" s="147">
        <v>411348</v>
      </c>
      <c r="K430" s="146">
        <v>876496</v>
      </c>
      <c r="L430" s="147">
        <v>213856</v>
      </c>
      <c r="M430" s="146">
        <v>375577</v>
      </c>
      <c r="N430" s="147">
        <v>88631</v>
      </c>
      <c r="O430" s="146">
        <v>312730</v>
      </c>
      <c r="P430" s="147">
        <v>59042</v>
      </c>
      <c r="Q430" s="146">
        <v>1232897</v>
      </c>
      <c r="R430" s="147">
        <v>88631</v>
      </c>
      <c r="S430" s="146">
        <v>312730</v>
      </c>
      <c r="T430" s="147"/>
      <c r="U430" s="146"/>
      <c r="V430" s="147">
        <v>108217</v>
      </c>
      <c r="W430" s="146">
        <v>259354</v>
      </c>
      <c r="X430" s="170" t="s">
        <v>195</v>
      </c>
      <c r="Y430" s="147">
        <v>3990</v>
      </c>
      <c r="Z430" s="146">
        <v>5145</v>
      </c>
      <c r="AA430" s="147">
        <v>4677</v>
      </c>
      <c r="AB430" s="146">
        <v>8157</v>
      </c>
      <c r="AC430" s="147">
        <v>1200</v>
      </c>
      <c r="AD430" s="146">
        <v>2506</v>
      </c>
      <c r="AE430" s="147">
        <v>1644</v>
      </c>
      <c r="AF430" s="146">
        <v>2302</v>
      </c>
      <c r="AG430" s="147">
        <v>669.9</v>
      </c>
      <c r="AH430" s="146">
        <v>1196</v>
      </c>
      <c r="AI430" s="147"/>
      <c r="AJ430" s="146"/>
      <c r="AK430" s="147">
        <v>705.1</v>
      </c>
      <c r="AL430" s="146">
        <v>1291</v>
      </c>
      <c r="AM430" s="169" t="s">
        <v>195</v>
      </c>
    </row>
    <row r="431" spans="1:39" ht="24" customHeight="1">
      <c r="A431" s="169" t="s">
        <v>196</v>
      </c>
      <c r="B431" s="145">
        <v>38474</v>
      </c>
      <c r="C431" s="145">
        <v>43813</v>
      </c>
      <c r="D431" s="144">
        <v>14</v>
      </c>
      <c r="E431" s="3" t="s">
        <v>61</v>
      </c>
      <c r="F431" s="143" t="s">
        <v>116</v>
      </c>
      <c r="G431" s="142">
        <v>18.121855366055907</v>
      </c>
      <c r="H431" s="11" t="s">
        <v>59</v>
      </c>
      <c r="I431" s="82" t="s">
        <v>60</v>
      </c>
      <c r="J431" s="147">
        <v>744230</v>
      </c>
      <c r="K431" s="146">
        <v>888810</v>
      </c>
      <c r="L431" s="147">
        <v>426909</v>
      </c>
      <c r="M431" s="146">
        <v>345673</v>
      </c>
      <c r="N431" s="147">
        <v>197982</v>
      </c>
      <c r="O431" s="146">
        <v>382293</v>
      </c>
      <c r="P431" s="147">
        <v>104150</v>
      </c>
      <c r="Q431" s="146">
        <v>134387</v>
      </c>
      <c r="R431" s="147">
        <v>197982</v>
      </c>
      <c r="S431" s="146">
        <v>382293</v>
      </c>
      <c r="T431" s="147"/>
      <c r="U431" s="146"/>
      <c r="V431" s="147">
        <v>146098</v>
      </c>
      <c r="W431" s="146">
        <v>211901</v>
      </c>
      <c r="X431" s="170" t="s">
        <v>196</v>
      </c>
      <c r="Y431" s="147">
        <v>9751</v>
      </c>
      <c r="Z431" s="146">
        <v>3560</v>
      </c>
      <c r="AA431" s="147">
        <v>13628</v>
      </c>
      <c r="AB431" s="146">
        <v>15518</v>
      </c>
      <c r="AC431" s="147">
        <v>9356</v>
      </c>
      <c r="AD431" s="146">
        <v>4891</v>
      </c>
      <c r="AE431" s="147">
        <v>60472</v>
      </c>
      <c r="AF431" s="146">
        <v>86772</v>
      </c>
      <c r="AG431" s="147">
        <v>6756</v>
      </c>
      <c r="AH431" s="146">
        <v>3245</v>
      </c>
      <c r="AI431" s="147"/>
      <c r="AJ431" s="146"/>
      <c r="AK431" s="147">
        <v>4725</v>
      </c>
      <c r="AL431" s="146">
        <v>2658</v>
      </c>
      <c r="AM431" s="169" t="s">
        <v>196</v>
      </c>
    </row>
    <row r="432" spans="1:39" ht="24" customHeight="1">
      <c r="A432" s="169" t="s">
        <v>197</v>
      </c>
      <c r="B432" s="145">
        <v>38474</v>
      </c>
      <c r="C432" s="145">
        <v>43813</v>
      </c>
      <c r="D432" s="144">
        <v>14</v>
      </c>
      <c r="E432" s="3" t="s">
        <v>61</v>
      </c>
      <c r="F432" s="143" t="s">
        <v>116</v>
      </c>
      <c r="G432" s="142">
        <v>17.52291055170641</v>
      </c>
      <c r="H432" s="11" t="s">
        <v>59</v>
      </c>
      <c r="I432" s="82" t="s">
        <v>60</v>
      </c>
      <c r="J432" s="147">
        <v>931697</v>
      </c>
      <c r="K432" s="146">
        <v>769350</v>
      </c>
      <c r="L432" s="147">
        <v>594496</v>
      </c>
      <c r="M432" s="146">
        <v>705520</v>
      </c>
      <c r="N432" s="147">
        <v>228500</v>
      </c>
      <c r="O432" s="146">
        <v>343501</v>
      </c>
      <c r="P432" s="147">
        <v>103114</v>
      </c>
      <c r="Q432" s="146">
        <v>200844</v>
      </c>
      <c r="R432" s="147">
        <v>228500</v>
      </c>
      <c r="S432" s="146">
        <v>343501</v>
      </c>
      <c r="T432" s="147"/>
      <c r="U432" s="146"/>
      <c r="V432" s="147">
        <v>112391</v>
      </c>
      <c r="W432" s="146">
        <v>121132</v>
      </c>
      <c r="X432" s="170" t="s">
        <v>197</v>
      </c>
      <c r="Y432" s="147">
        <v>10445</v>
      </c>
      <c r="Z432" s="146">
        <v>9345</v>
      </c>
      <c r="AA432" s="147">
        <v>12503</v>
      </c>
      <c r="AB432" s="146">
        <v>22468</v>
      </c>
      <c r="AC432" s="147">
        <v>9180</v>
      </c>
      <c r="AD432" s="146">
        <v>8130</v>
      </c>
      <c r="AE432" s="147">
        <v>30710</v>
      </c>
      <c r="AF432" s="146">
        <v>28310</v>
      </c>
      <c r="AG432" s="147">
        <v>3478</v>
      </c>
      <c r="AH432" s="146">
        <v>3484</v>
      </c>
      <c r="AI432" s="147"/>
      <c r="AJ432" s="146"/>
      <c r="AK432" s="147">
        <v>1363</v>
      </c>
      <c r="AL432" s="146">
        <v>948.2</v>
      </c>
      <c r="AM432" s="169" t="s">
        <v>197</v>
      </c>
    </row>
    <row r="433" spans="1:39" ht="24" customHeight="1">
      <c r="A433" s="171" t="s">
        <v>198</v>
      </c>
      <c r="B433" s="151">
        <v>37726</v>
      </c>
      <c r="C433" s="151">
        <v>43790</v>
      </c>
      <c r="D433" s="150">
        <v>16</v>
      </c>
      <c r="E433" s="3" t="s">
        <v>61</v>
      </c>
      <c r="F433" s="143" t="s">
        <v>116</v>
      </c>
      <c r="G433" s="142">
        <v>21.451596760535622</v>
      </c>
      <c r="H433" s="11" t="s">
        <v>59</v>
      </c>
      <c r="I433" s="82" t="s">
        <v>60</v>
      </c>
      <c r="J433" s="147">
        <v>68408</v>
      </c>
      <c r="K433" s="146">
        <v>94000</v>
      </c>
      <c r="L433" s="147">
        <v>40645</v>
      </c>
      <c r="M433" s="146">
        <v>56608</v>
      </c>
      <c r="N433" s="147">
        <v>248807</v>
      </c>
      <c r="O433" s="146">
        <v>238173</v>
      </c>
      <c r="P433" s="147">
        <v>141502</v>
      </c>
      <c r="Q433" s="146">
        <v>152576</v>
      </c>
      <c r="R433" s="147">
        <v>248807</v>
      </c>
      <c r="S433" s="146">
        <v>238173</v>
      </c>
      <c r="T433" s="147"/>
      <c r="U433" s="146"/>
      <c r="V433" s="147">
        <v>194190</v>
      </c>
      <c r="W433" s="146">
        <v>222798</v>
      </c>
      <c r="X433" s="172" t="s">
        <v>198</v>
      </c>
      <c r="Y433" s="147">
        <v>468.5</v>
      </c>
      <c r="Z433" s="146">
        <v>453.3</v>
      </c>
      <c r="AA433" s="147">
        <v>568.79999999999995</v>
      </c>
      <c r="AB433" s="146">
        <v>701.1</v>
      </c>
      <c r="AC433" s="147">
        <v>5585</v>
      </c>
      <c r="AD433" s="146">
        <v>5144</v>
      </c>
      <c r="AE433" s="147">
        <v>2383</v>
      </c>
      <c r="AF433" s="146">
        <v>2493</v>
      </c>
      <c r="AG433" s="147">
        <v>3245</v>
      </c>
      <c r="AH433" s="146">
        <v>3107</v>
      </c>
      <c r="AI433" s="147"/>
      <c r="AJ433" s="146"/>
      <c r="AK433" s="147">
        <v>1736</v>
      </c>
      <c r="AL433" s="146">
        <v>1638</v>
      </c>
      <c r="AM433" s="171" t="s">
        <v>198</v>
      </c>
    </row>
    <row r="434" spans="1:39" ht="24" customHeight="1">
      <c r="A434" s="171" t="s">
        <v>199</v>
      </c>
      <c r="B434" s="151">
        <v>37371</v>
      </c>
      <c r="C434" s="151">
        <v>43757</v>
      </c>
      <c r="D434" s="150">
        <v>17</v>
      </c>
      <c r="E434" s="4" t="s">
        <v>58</v>
      </c>
      <c r="F434" s="143" t="s">
        <v>116</v>
      </c>
      <c r="G434" s="142">
        <v>33.404231901519331</v>
      </c>
      <c r="H434" s="11" t="s">
        <v>59</v>
      </c>
      <c r="I434" s="82" t="s">
        <v>60</v>
      </c>
      <c r="J434" s="147">
        <v>245737</v>
      </c>
      <c r="K434" s="146"/>
      <c r="L434" s="147">
        <v>171105</v>
      </c>
      <c r="M434" s="146"/>
      <c r="N434" s="147">
        <v>276273</v>
      </c>
      <c r="O434" s="146"/>
      <c r="P434" s="147">
        <v>188555</v>
      </c>
      <c r="Q434" s="146"/>
      <c r="R434" s="147">
        <v>276273</v>
      </c>
      <c r="S434" s="146"/>
      <c r="T434" s="147"/>
      <c r="U434" s="146"/>
      <c r="V434" s="147">
        <v>256120</v>
      </c>
      <c r="W434" s="146"/>
      <c r="X434" s="172" t="s">
        <v>199</v>
      </c>
      <c r="Y434" s="147">
        <v>36344</v>
      </c>
      <c r="Z434" s="146"/>
      <c r="AA434" s="147">
        <v>32411</v>
      </c>
      <c r="AB434" s="146"/>
      <c r="AC434" s="147">
        <v>28759</v>
      </c>
      <c r="AD434" s="146"/>
      <c r="AE434" s="147">
        <v>128576</v>
      </c>
      <c r="AF434" s="146"/>
      <c r="AG434" s="147">
        <v>7109</v>
      </c>
      <c r="AH434" s="146"/>
      <c r="AI434" s="147"/>
      <c r="AJ434" s="146"/>
      <c r="AK434" s="147">
        <v>7970</v>
      </c>
      <c r="AL434" s="146"/>
      <c r="AM434" s="171" t="s">
        <v>199</v>
      </c>
    </row>
    <row r="435" spans="1:39" ht="24" customHeight="1">
      <c r="A435" s="171" t="s">
        <v>200</v>
      </c>
      <c r="B435" s="151">
        <v>37900</v>
      </c>
      <c r="C435" s="151">
        <v>43757</v>
      </c>
      <c r="D435" s="150">
        <v>16</v>
      </c>
      <c r="E435" s="3" t="s">
        <v>61</v>
      </c>
      <c r="F435" s="143" t="s">
        <v>116</v>
      </c>
      <c r="G435" s="142">
        <v>27.988980716253447</v>
      </c>
      <c r="H435" s="11" t="s">
        <v>59</v>
      </c>
      <c r="I435" s="82" t="s">
        <v>60</v>
      </c>
      <c r="J435" s="147">
        <v>49913</v>
      </c>
      <c r="K435" s="146"/>
      <c r="L435" s="147">
        <v>21873</v>
      </c>
      <c r="M435" s="146"/>
      <c r="N435" s="147">
        <v>355094</v>
      </c>
      <c r="O435" s="146"/>
      <c r="P435" s="147">
        <v>90911</v>
      </c>
      <c r="Q435" s="146"/>
      <c r="R435" s="147">
        <v>355094</v>
      </c>
      <c r="S435" s="146"/>
      <c r="T435" s="147"/>
      <c r="U435" s="146"/>
      <c r="V435" s="147">
        <v>377997</v>
      </c>
      <c r="W435" s="146"/>
      <c r="X435" s="172" t="s">
        <v>200</v>
      </c>
      <c r="Y435" s="147">
        <v>152.4</v>
      </c>
      <c r="Z435" s="146"/>
      <c r="AA435" s="147">
        <v>405.7</v>
      </c>
      <c r="AB435" s="146"/>
      <c r="AC435" s="147">
        <v>4516</v>
      </c>
      <c r="AD435" s="146"/>
      <c r="AE435" s="147">
        <v>5515</v>
      </c>
      <c r="AF435" s="146"/>
      <c r="AG435" s="147">
        <v>5185</v>
      </c>
      <c r="AH435" s="146"/>
      <c r="AI435" s="147"/>
      <c r="AJ435" s="146"/>
      <c r="AK435" s="147">
        <v>4903</v>
      </c>
      <c r="AL435" s="146"/>
      <c r="AM435" s="171" t="s">
        <v>200</v>
      </c>
    </row>
    <row r="436" spans="1:39" ht="24" customHeight="1">
      <c r="A436" s="169" t="s">
        <v>201</v>
      </c>
      <c r="B436" s="145">
        <v>38982</v>
      </c>
      <c r="C436" s="145">
        <v>43757</v>
      </c>
      <c r="D436" s="144">
        <v>13</v>
      </c>
      <c r="E436" s="3" t="s">
        <v>61</v>
      </c>
      <c r="F436" s="143" t="s">
        <v>116</v>
      </c>
      <c r="G436" s="142">
        <v>28.183154648786257</v>
      </c>
      <c r="H436" s="11" t="s">
        <v>59</v>
      </c>
      <c r="I436" s="82" t="s">
        <v>60</v>
      </c>
      <c r="J436" s="147">
        <v>238324</v>
      </c>
      <c r="K436" s="146"/>
      <c r="L436" s="147">
        <v>157690</v>
      </c>
      <c r="M436" s="146"/>
      <c r="N436" s="147">
        <v>99952</v>
      </c>
      <c r="O436" s="146"/>
      <c r="P436" s="147">
        <v>68165</v>
      </c>
      <c r="Q436" s="146"/>
      <c r="R436" s="147">
        <v>99952</v>
      </c>
      <c r="S436" s="146"/>
      <c r="T436" s="147"/>
      <c r="U436" s="146"/>
      <c r="V436" s="147">
        <v>241692</v>
      </c>
      <c r="W436" s="146"/>
      <c r="X436" s="170" t="s">
        <v>201</v>
      </c>
      <c r="Y436" s="147">
        <v>10182</v>
      </c>
      <c r="Z436" s="146"/>
      <c r="AA436" s="147">
        <v>10443</v>
      </c>
      <c r="AB436" s="146"/>
      <c r="AC436" s="147">
        <v>19801</v>
      </c>
      <c r="AD436" s="146"/>
      <c r="AE436" s="147">
        <v>62113</v>
      </c>
      <c r="AF436" s="146"/>
      <c r="AG436" s="147">
        <v>2707</v>
      </c>
      <c r="AH436" s="146"/>
      <c r="AI436" s="147"/>
      <c r="AJ436" s="146"/>
      <c r="AK436" s="147">
        <v>4374</v>
      </c>
      <c r="AL436" s="146"/>
      <c r="AM436" s="169" t="s">
        <v>201</v>
      </c>
    </row>
    <row r="437" spans="1:39" ht="24" customHeight="1">
      <c r="A437" s="162" t="s">
        <v>202</v>
      </c>
      <c r="B437" s="168">
        <v>37504</v>
      </c>
      <c r="C437" s="168">
        <v>43790</v>
      </c>
      <c r="D437" s="167">
        <v>17</v>
      </c>
      <c r="E437" s="24" t="s">
        <v>58</v>
      </c>
      <c r="F437" s="166" t="s">
        <v>116</v>
      </c>
      <c r="G437" s="165">
        <v>27.068263531383991</v>
      </c>
      <c r="H437" s="44" t="s">
        <v>59</v>
      </c>
      <c r="I437" s="164" t="s">
        <v>60</v>
      </c>
      <c r="J437" s="147">
        <v>477192</v>
      </c>
      <c r="K437" s="146">
        <v>579385</v>
      </c>
      <c r="L437" s="147">
        <v>289018</v>
      </c>
      <c r="M437" s="146">
        <v>425295</v>
      </c>
      <c r="N437" s="147">
        <v>491561</v>
      </c>
      <c r="O437" s="146">
        <v>612095</v>
      </c>
      <c r="P437" s="147">
        <v>188351</v>
      </c>
      <c r="Q437" s="146">
        <v>493248</v>
      </c>
      <c r="R437" s="147">
        <v>491561</v>
      </c>
      <c r="S437" s="146">
        <v>612095</v>
      </c>
      <c r="T437" s="147"/>
      <c r="U437" s="146"/>
      <c r="V437" s="147">
        <v>448819</v>
      </c>
      <c r="W437" s="146">
        <v>509250</v>
      </c>
      <c r="X437" s="163" t="s">
        <v>202</v>
      </c>
      <c r="Y437" s="147">
        <v>7854</v>
      </c>
      <c r="Z437" s="146">
        <v>10521</v>
      </c>
      <c r="AA437" s="147">
        <v>8476</v>
      </c>
      <c r="AB437" s="146">
        <v>9121</v>
      </c>
      <c r="AC437" s="147">
        <v>15454</v>
      </c>
      <c r="AD437" s="146">
        <v>19731</v>
      </c>
      <c r="AE437" s="147">
        <v>12992</v>
      </c>
      <c r="AF437" s="146">
        <v>17117</v>
      </c>
      <c r="AG437" s="147">
        <v>5448</v>
      </c>
      <c r="AH437" s="146">
        <v>6058</v>
      </c>
      <c r="AI437" s="147"/>
      <c r="AJ437" s="146"/>
      <c r="AK437" s="147">
        <v>2084</v>
      </c>
      <c r="AL437" s="146">
        <v>2930</v>
      </c>
      <c r="AM437" s="162" t="s">
        <v>202</v>
      </c>
    </row>
    <row r="438" spans="1:39" ht="24" customHeight="1">
      <c r="A438" s="154" t="s">
        <v>203</v>
      </c>
      <c r="B438" s="161">
        <v>38304</v>
      </c>
      <c r="C438" s="161">
        <v>43774</v>
      </c>
      <c r="D438" s="160">
        <v>14</v>
      </c>
      <c r="E438" s="153" t="s">
        <v>61</v>
      </c>
      <c r="F438" s="159" t="s">
        <v>204</v>
      </c>
      <c r="G438" s="158">
        <v>23.619428964663719</v>
      </c>
      <c r="H438" s="157" t="s">
        <v>59</v>
      </c>
      <c r="I438" s="156" t="s">
        <v>60</v>
      </c>
      <c r="J438" s="147">
        <v>372507</v>
      </c>
      <c r="K438" s="146">
        <v>303556</v>
      </c>
      <c r="L438" s="147">
        <v>237023</v>
      </c>
      <c r="M438" s="146">
        <v>317450</v>
      </c>
      <c r="N438" s="147">
        <v>372507</v>
      </c>
      <c r="O438" s="146">
        <v>473396</v>
      </c>
      <c r="P438" s="147">
        <v>169559</v>
      </c>
      <c r="Q438" s="146">
        <v>321097</v>
      </c>
      <c r="R438" s="147">
        <v>473396</v>
      </c>
      <c r="S438" s="146">
        <v>653184</v>
      </c>
      <c r="T438" s="147"/>
      <c r="U438" s="146"/>
      <c r="V438" s="147">
        <v>171455</v>
      </c>
      <c r="W438" s="146">
        <v>240194</v>
      </c>
      <c r="X438" s="155" t="s">
        <v>203</v>
      </c>
      <c r="Y438" s="147">
        <v>3879</v>
      </c>
      <c r="Z438" s="146">
        <v>4300</v>
      </c>
      <c r="AA438" s="147">
        <v>4651</v>
      </c>
      <c r="AB438" s="146">
        <v>4921</v>
      </c>
      <c r="AC438" s="147">
        <v>4115</v>
      </c>
      <c r="AD438" s="146">
        <v>4843</v>
      </c>
      <c r="AE438" s="147">
        <v>6900</v>
      </c>
      <c r="AF438" s="146">
        <v>7454</v>
      </c>
      <c r="AG438" s="147">
        <v>3446</v>
      </c>
      <c r="AH438" s="146">
        <v>3871</v>
      </c>
      <c r="AI438" s="147"/>
      <c r="AJ438" s="146"/>
      <c r="AK438" s="147">
        <v>2340</v>
      </c>
      <c r="AL438" s="146">
        <v>3154</v>
      </c>
      <c r="AM438" s="154" t="s">
        <v>203</v>
      </c>
    </row>
    <row r="439" spans="1:39" ht="24" customHeight="1">
      <c r="A439" s="137" t="s">
        <v>205</v>
      </c>
      <c r="B439" s="145">
        <v>38680</v>
      </c>
      <c r="C439" s="145">
        <v>43794</v>
      </c>
      <c r="D439" s="144">
        <v>14</v>
      </c>
      <c r="E439" s="3" t="s">
        <v>61</v>
      </c>
      <c r="F439" s="143" t="s">
        <v>116</v>
      </c>
      <c r="G439" s="142">
        <v>20.584723376832496</v>
      </c>
      <c r="H439" s="11" t="s">
        <v>59</v>
      </c>
      <c r="I439" s="82" t="s">
        <v>60</v>
      </c>
      <c r="J439" s="147">
        <v>179603</v>
      </c>
      <c r="K439" s="146">
        <v>272830</v>
      </c>
      <c r="L439" s="147">
        <v>90341</v>
      </c>
      <c r="M439" s="146">
        <v>143366</v>
      </c>
      <c r="N439" s="147">
        <v>179603</v>
      </c>
      <c r="O439" s="146">
        <v>697723</v>
      </c>
      <c r="P439" s="147">
        <v>221602</v>
      </c>
      <c r="Q439" s="146">
        <v>304661</v>
      </c>
      <c r="R439" s="147">
        <v>697723</v>
      </c>
      <c r="S439" s="146">
        <v>970849</v>
      </c>
      <c r="T439" s="147"/>
      <c r="U439" s="146"/>
      <c r="V439" s="147">
        <v>160780</v>
      </c>
      <c r="W439" s="146">
        <v>201159</v>
      </c>
      <c r="X439" s="140" t="s">
        <v>205</v>
      </c>
      <c r="Y439" s="147">
        <v>1798</v>
      </c>
      <c r="Z439" s="146">
        <v>1900</v>
      </c>
      <c r="AA439" s="147">
        <v>2150</v>
      </c>
      <c r="AB439" s="146">
        <v>1750</v>
      </c>
      <c r="AC439" s="147">
        <v>11828</v>
      </c>
      <c r="AD439" s="146">
        <v>13239</v>
      </c>
      <c r="AE439" s="147">
        <v>15144</v>
      </c>
      <c r="AF439" s="146">
        <v>12821</v>
      </c>
      <c r="AG439" s="147">
        <v>4703</v>
      </c>
      <c r="AH439" s="146">
        <v>6011</v>
      </c>
      <c r="AI439" s="147"/>
      <c r="AJ439" s="146"/>
      <c r="AK439" s="147">
        <v>658.7</v>
      </c>
      <c r="AL439" s="146">
        <v>719.2</v>
      </c>
      <c r="AM439" s="137" t="s">
        <v>205</v>
      </c>
    </row>
    <row r="440" spans="1:39" ht="24" customHeight="1">
      <c r="A440" s="137" t="s">
        <v>206</v>
      </c>
      <c r="B440" s="145">
        <v>38570</v>
      </c>
      <c r="C440" s="145">
        <v>43789</v>
      </c>
      <c r="D440" s="144">
        <v>14</v>
      </c>
      <c r="E440" s="152" t="s">
        <v>58</v>
      </c>
      <c r="F440" s="143" t="s">
        <v>116</v>
      </c>
      <c r="G440" s="142">
        <v>18.375544347170869</v>
      </c>
      <c r="H440" s="11" t="s">
        <v>59</v>
      </c>
      <c r="I440" s="82" t="s">
        <v>60</v>
      </c>
      <c r="J440" s="147">
        <v>194903</v>
      </c>
      <c r="K440" s="146">
        <v>378079</v>
      </c>
      <c r="L440" s="147">
        <v>121543</v>
      </c>
      <c r="M440" s="146">
        <v>238179</v>
      </c>
      <c r="N440" s="147">
        <v>194903</v>
      </c>
      <c r="O440" s="146">
        <v>267379</v>
      </c>
      <c r="P440" s="147">
        <v>53935</v>
      </c>
      <c r="Q440" s="146">
        <v>352495</v>
      </c>
      <c r="R440" s="147">
        <v>267379</v>
      </c>
      <c r="S440" s="146">
        <v>1006320</v>
      </c>
      <c r="T440" s="147"/>
      <c r="U440" s="146"/>
      <c r="V440" s="147">
        <v>38239</v>
      </c>
      <c r="W440" s="146">
        <v>239842</v>
      </c>
      <c r="X440" s="140" t="s">
        <v>206</v>
      </c>
      <c r="Y440" s="147">
        <v>2517</v>
      </c>
      <c r="Z440" s="146">
        <v>4218</v>
      </c>
      <c r="AA440" s="147">
        <v>2905</v>
      </c>
      <c r="AB440" s="146">
        <v>4542</v>
      </c>
      <c r="AC440" s="147">
        <v>2573</v>
      </c>
      <c r="AD440" s="146">
        <v>3568</v>
      </c>
      <c r="AE440" s="147">
        <v>1789</v>
      </c>
      <c r="AF440" s="146">
        <v>3994</v>
      </c>
      <c r="AG440" s="147">
        <v>4558</v>
      </c>
      <c r="AH440" s="146">
        <v>5348</v>
      </c>
      <c r="AI440" s="147"/>
      <c r="AJ440" s="146"/>
      <c r="AK440" s="147">
        <v>712.3</v>
      </c>
      <c r="AL440" s="146">
        <v>1639</v>
      </c>
      <c r="AM440" s="137" t="s">
        <v>206</v>
      </c>
    </row>
    <row r="441" spans="1:39" ht="24" customHeight="1">
      <c r="A441" s="148" t="s">
        <v>207</v>
      </c>
      <c r="B441" s="151">
        <v>37347</v>
      </c>
      <c r="C441" s="151">
        <v>43762</v>
      </c>
      <c r="D441" s="150">
        <v>17</v>
      </c>
      <c r="E441" s="153" t="s">
        <v>61</v>
      </c>
      <c r="F441" s="143" t="s">
        <v>116</v>
      </c>
      <c r="G441" s="142">
        <v>19.7690672116053</v>
      </c>
      <c r="H441" s="11" t="s">
        <v>59</v>
      </c>
      <c r="I441" s="82" t="s">
        <v>60</v>
      </c>
      <c r="J441" s="147">
        <v>234206</v>
      </c>
      <c r="K441" s="146">
        <v>319489</v>
      </c>
      <c r="L441" s="147">
        <v>137317</v>
      </c>
      <c r="M441" s="146">
        <v>197057</v>
      </c>
      <c r="N441" s="147">
        <v>234206</v>
      </c>
      <c r="O441" s="146">
        <v>374695</v>
      </c>
      <c r="P441" s="147">
        <v>53669</v>
      </c>
      <c r="Q441" s="146">
        <v>270289</v>
      </c>
      <c r="R441" s="147">
        <v>374695</v>
      </c>
      <c r="S441" s="146">
        <v>473219</v>
      </c>
      <c r="T441" s="147"/>
      <c r="U441" s="146"/>
      <c r="V441" s="147">
        <v>90984</v>
      </c>
      <c r="W441" s="146">
        <v>107507</v>
      </c>
      <c r="X441" s="149" t="s">
        <v>207</v>
      </c>
      <c r="Y441" s="147">
        <v>3135</v>
      </c>
      <c r="Z441" s="146">
        <v>3817</v>
      </c>
      <c r="AA441" s="147">
        <v>2733</v>
      </c>
      <c r="AB441" s="146">
        <v>3608</v>
      </c>
      <c r="AC441" s="147">
        <v>944.8</v>
      </c>
      <c r="AD441" s="146">
        <v>1087</v>
      </c>
      <c r="AE441" s="147">
        <v>783.7</v>
      </c>
      <c r="AF441" s="146">
        <v>1258</v>
      </c>
      <c r="AG441" s="147">
        <v>692.4</v>
      </c>
      <c r="AH441" s="146">
        <v>771.7</v>
      </c>
      <c r="AI441" s="147"/>
      <c r="AJ441" s="146"/>
      <c r="AK441" s="147">
        <v>482.3</v>
      </c>
      <c r="AL441" s="146">
        <v>461.3</v>
      </c>
      <c r="AM441" s="148" t="s">
        <v>207</v>
      </c>
    </row>
    <row r="442" spans="1:39" ht="24" customHeight="1">
      <c r="A442" s="148" t="s">
        <v>208</v>
      </c>
      <c r="B442" s="151">
        <v>37347</v>
      </c>
      <c r="C442" s="151">
        <v>43762</v>
      </c>
      <c r="D442" s="150">
        <v>17</v>
      </c>
      <c r="E442" s="152" t="s">
        <v>58</v>
      </c>
      <c r="F442" s="143" t="s">
        <v>116</v>
      </c>
      <c r="G442" s="142">
        <v>21.068865308969876</v>
      </c>
      <c r="H442" s="11" t="s">
        <v>59</v>
      </c>
      <c r="I442" s="82" t="s">
        <v>60</v>
      </c>
      <c r="J442" s="147">
        <v>113293</v>
      </c>
      <c r="K442" s="146">
        <v>149258</v>
      </c>
      <c r="L442" s="147">
        <v>61278</v>
      </c>
      <c r="M442" s="146">
        <v>107176</v>
      </c>
      <c r="N442" s="147">
        <v>113293</v>
      </c>
      <c r="O442" s="146">
        <v>611352</v>
      </c>
      <c r="P442" s="147">
        <v>50639</v>
      </c>
      <c r="Q442" s="146">
        <v>80591</v>
      </c>
      <c r="R442" s="147">
        <v>611352</v>
      </c>
      <c r="S442" s="146">
        <v>803718</v>
      </c>
      <c r="T442" s="147"/>
      <c r="U442" s="146"/>
      <c r="V442" s="147">
        <v>139376</v>
      </c>
      <c r="W442" s="146">
        <v>159359</v>
      </c>
      <c r="X442" s="149" t="s">
        <v>208</v>
      </c>
      <c r="Y442" s="147">
        <v>2575</v>
      </c>
      <c r="Z442" s="146">
        <v>2811</v>
      </c>
      <c r="AA442" s="147">
        <v>2777</v>
      </c>
      <c r="AB442" s="146">
        <v>2991</v>
      </c>
      <c r="AC442" s="147">
        <v>2864</v>
      </c>
      <c r="AD442" s="146">
        <v>3096</v>
      </c>
      <c r="AE442" s="147">
        <v>3705</v>
      </c>
      <c r="AF442" s="146">
        <v>3831</v>
      </c>
      <c r="AG442" s="147">
        <v>1334</v>
      </c>
      <c r="AH442" s="146">
        <v>1627</v>
      </c>
      <c r="AI442" s="147"/>
      <c r="AJ442" s="146"/>
      <c r="AK442" s="147">
        <v>1207</v>
      </c>
      <c r="AL442" s="146">
        <v>1375</v>
      </c>
      <c r="AM442" s="148" t="s">
        <v>208</v>
      </c>
    </row>
    <row r="443" spans="1:39" ht="24" customHeight="1">
      <c r="A443" s="148" t="s">
        <v>209</v>
      </c>
      <c r="B443" s="151">
        <v>37813</v>
      </c>
      <c r="C443" s="151">
        <v>43774</v>
      </c>
      <c r="D443" s="150">
        <v>16</v>
      </c>
      <c r="E443" s="3" t="s">
        <v>61</v>
      </c>
      <c r="F443" s="143" t="s">
        <v>116</v>
      </c>
      <c r="G443" s="142">
        <v>21.911552635795545</v>
      </c>
      <c r="H443" s="11" t="s">
        <v>59</v>
      </c>
      <c r="I443" s="82" t="s">
        <v>60</v>
      </c>
      <c r="J443" s="147">
        <v>438903</v>
      </c>
      <c r="K443" s="146">
        <v>468196</v>
      </c>
      <c r="L443" s="147">
        <v>122141</v>
      </c>
      <c r="M443" s="146">
        <v>146158</v>
      </c>
      <c r="N443" s="147">
        <v>93926</v>
      </c>
      <c r="O443" s="146">
        <v>113907</v>
      </c>
      <c r="P443" s="147">
        <v>129738</v>
      </c>
      <c r="Q443" s="146">
        <v>120958</v>
      </c>
      <c r="R443" s="147">
        <v>93926</v>
      </c>
      <c r="S443" s="146">
        <v>113907</v>
      </c>
      <c r="T443" s="147"/>
      <c r="U443" s="146"/>
      <c r="V443" s="147">
        <v>102727</v>
      </c>
      <c r="W443" s="146">
        <v>111089</v>
      </c>
      <c r="X443" s="149" t="s">
        <v>209</v>
      </c>
      <c r="Y443" s="147">
        <v>10645</v>
      </c>
      <c r="Z443" s="146">
        <v>5117</v>
      </c>
      <c r="AA443" s="147">
        <v>4072</v>
      </c>
      <c r="AB443" s="146">
        <v>7855</v>
      </c>
      <c r="AC443" s="147">
        <v>1438</v>
      </c>
      <c r="AD443" s="146">
        <v>1903</v>
      </c>
      <c r="AE443" s="147">
        <v>957.1</v>
      </c>
      <c r="AF443" s="146">
        <v>1833</v>
      </c>
      <c r="AG443" s="147">
        <v>1763</v>
      </c>
      <c r="AH443" s="146">
        <v>1952</v>
      </c>
      <c r="AI443" s="147"/>
      <c r="AJ443" s="146"/>
      <c r="AK443" s="147">
        <v>1239</v>
      </c>
      <c r="AL443" s="146">
        <v>1574</v>
      </c>
      <c r="AM443" s="148" t="s">
        <v>209</v>
      </c>
    </row>
    <row r="444" spans="1:39" ht="24" customHeight="1">
      <c r="A444" s="148" t="s">
        <v>210</v>
      </c>
      <c r="B444" s="151">
        <v>37538</v>
      </c>
      <c r="C444" s="151">
        <v>43773</v>
      </c>
      <c r="D444" s="150">
        <v>17</v>
      </c>
      <c r="E444" s="3" t="s">
        <v>61</v>
      </c>
      <c r="F444" s="143" t="s">
        <v>116</v>
      </c>
      <c r="G444" s="142">
        <v>21.162363710723017</v>
      </c>
      <c r="H444" s="11" t="s">
        <v>59</v>
      </c>
      <c r="I444" s="82" t="s">
        <v>60</v>
      </c>
      <c r="J444" s="147">
        <v>323797</v>
      </c>
      <c r="K444" s="146">
        <v>512710</v>
      </c>
      <c r="L444" s="147">
        <v>96105</v>
      </c>
      <c r="M444" s="146">
        <v>154398</v>
      </c>
      <c r="N444" s="147">
        <v>159682</v>
      </c>
      <c r="O444" s="146">
        <v>252094</v>
      </c>
      <c r="P444" s="147">
        <v>81002</v>
      </c>
      <c r="Q444" s="146">
        <v>164698</v>
      </c>
      <c r="R444" s="147">
        <v>159682</v>
      </c>
      <c r="S444" s="146">
        <v>252094</v>
      </c>
      <c r="T444" s="147"/>
      <c r="U444" s="146"/>
      <c r="V444" s="147">
        <v>144558</v>
      </c>
      <c r="W444" s="146">
        <v>235874</v>
      </c>
      <c r="X444" s="149" t="s">
        <v>210</v>
      </c>
      <c r="Y444" s="147">
        <v>2673</v>
      </c>
      <c r="Z444" s="146">
        <v>2988</v>
      </c>
      <c r="AA444" s="147">
        <v>1825</v>
      </c>
      <c r="AB444" s="146">
        <v>2290</v>
      </c>
      <c r="AC444" s="147">
        <v>2006</v>
      </c>
      <c r="AD444" s="146">
        <v>2650</v>
      </c>
      <c r="AE444" s="147">
        <v>1402</v>
      </c>
      <c r="AF444" s="146">
        <v>5960</v>
      </c>
      <c r="AG444" s="147">
        <v>1782</v>
      </c>
      <c r="AH444" s="146">
        <v>2068</v>
      </c>
      <c r="AI444" s="147"/>
      <c r="AJ444" s="146"/>
      <c r="AK444" s="147">
        <v>2910</v>
      </c>
      <c r="AL444" s="146">
        <v>5535</v>
      </c>
      <c r="AM444" s="148" t="s">
        <v>210</v>
      </c>
    </row>
    <row r="445" spans="1:39" ht="24" customHeight="1">
      <c r="A445" s="137" t="s">
        <v>211</v>
      </c>
      <c r="B445" s="145">
        <v>39013</v>
      </c>
      <c r="C445" s="145">
        <v>43752</v>
      </c>
      <c r="D445" s="144">
        <v>12</v>
      </c>
      <c r="E445" s="3" t="s">
        <v>61</v>
      </c>
      <c r="F445" s="143" t="s">
        <v>116</v>
      </c>
      <c r="G445" s="142">
        <v>18.616986500581689</v>
      </c>
      <c r="H445" s="11" t="s">
        <v>59</v>
      </c>
      <c r="I445" s="82" t="s">
        <v>60</v>
      </c>
      <c r="J445" s="147">
        <v>540758</v>
      </c>
      <c r="K445" s="146">
        <v>1136514</v>
      </c>
      <c r="L445" s="147">
        <v>144402</v>
      </c>
      <c r="M445" s="146">
        <v>331358</v>
      </c>
      <c r="N445" s="147">
        <v>86963</v>
      </c>
      <c r="O445" s="146">
        <v>241673</v>
      </c>
      <c r="P445" s="147">
        <v>162057</v>
      </c>
      <c r="Q445" s="146">
        <v>312761</v>
      </c>
      <c r="R445" s="147">
        <v>86963</v>
      </c>
      <c r="S445" s="146">
        <v>241673</v>
      </c>
      <c r="T445" s="147"/>
      <c r="U445" s="146"/>
      <c r="V445" s="147">
        <v>790530</v>
      </c>
      <c r="W445" s="146">
        <v>998830</v>
      </c>
      <c r="X445" s="140" t="s">
        <v>211</v>
      </c>
      <c r="Y445" s="147">
        <v>1541</v>
      </c>
      <c r="Z445" s="146">
        <v>2101</v>
      </c>
      <c r="AA445" s="147">
        <v>930.7</v>
      </c>
      <c r="AB445" s="146">
        <v>1329</v>
      </c>
      <c r="AC445" s="147">
        <v>3314</v>
      </c>
      <c r="AD445" s="146">
        <v>3250</v>
      </c>
      <c r="AE445" s="147">
        <v>4906</v>
      </c>
      <c r="AF445" s="146">
        <v>7435</v>
      </c>
      <c r="AG445" s="147">
        <v>1840</v>
      </c>
      <c r="AH445" s="146">
        <v>2015</v>
      </c>
      <c r="AI445" s="147"/>
      <c r="AJ445" s="146"/>
      <c r="AK445" s="147">
        <v>4012</v>
      </c>
      <c r="AL445" s="146">
        <v>4602</v>
      </c>
      <c r="AM445" s="137" t="s">
        <v>211</v>
      </c>
    </row>
    <row r="446" spans="1:39" ht="24" customHeight="1">
      <c r="A446" s="148" t="s">
        <v>212</v>
      </c>
      <c r="B446" s="151">
        <v>37701</v>
      </c>
      <c r="C446" s="151">
        <v>43771</v>
      </c>
      <c r="D446" s="150">
        <v>16</v>
      </c>
      <c r="E446" s="3" t="s">
        <v>61</v>
      </c>
      <c r="F446" s="143" t="s">
        <v>117</v>
      </c>
      <c r="G446" s="142">
        <v>27.785467128027683</v>
      </c>
      <c r="H446" s="11" t="s">
        <v>59</v>
      </c>
      <c r="I446" s="82" t="s">
        <v>60</v>
      </c>
      <c r="J446" s="147">
        <v>463283</v>
      </c>
      <c r="K446" s="146">
        <v>479789</v>
      </c>
      <c r="L446" s="147">
        <v>155560</v>
      </c>
      <c r="M446" s="146">
        <v>216164</v>
      </c>
      <c r="N446" s="147">
        <v>479432</v>
      </c>
      <c r="O446" s="146">
        <v>824840</v>
      </c>
      <c r="P446" s="147">
        <v>363619</v>
      </c>
      <c r="Q446" s="146">
        <v>540914</v>
      </c>
      <c r="R446" s="147">
        <v>479432</v>
      </c>
      <c r="S446" s="146">
        <v>824840</v>
      </c>
      <c r="T446" s="147"/>
      <c r="U446" s="146"/>
      <c r="V446" s="147">
        <v>536090</v>
      </c>
      <c r="W446" s="146">
        <v>742363</v>
      </c>
      <c r="X446" s="149" t="s">
        <v>212</v>
      </c>
      <c r="Y446" s="147">
        <v>2064</v>
      </c>
      <c r="Z446" s="146">
        <v>1899</v>
      </c>
      <c r="AA446" s="147">
        <v>1618</v>
      </c>
      <c r="AB446" s="146">
        <v>1738</v>
      </c>
      <c r="AC446" s="147">
        <v>10364</v>
      </c>
      <c r="AD446" s="146">
        <v>11169</v>
      </c>
      <c r="AE446" s="147">
        <v>2886</v>
      </c>
      <c r="AF446" s="146">
        <v>3665</v>
      </c>
      <c r="AG446" s="147">
        <v>4610</v>
      </c>
      <c r="AH446" s="146">
        <v>4921</v>
      </c>
      <c r="AI446" s="147"/>
      <c r="AJ446" s="146"/>
      <c r="AK446" s="147">
        <v>4018</v>
      </c>
      <c r="AL446" s="146">
        <v>4457</v>
      </c>
      <c r="AM446" s="148" t="s">
        <v>212</v>
      </c>
    </row>
    <row r="447" spans="1:39" ht="24" customHeight="1">
      <c r="A447" s="137" t="s">
        <v>213</v>
      </c>
      <c r="B447" s="145">
        <v>38832</v>
      </c>
      <c r="C447" s="145">
        <v>43771</v>
      </c>
      <c r="D447" s="144">
        <v>13</v>
      </c>
      <c r="E447" s="4" t="s">
        <v>58</v>
      </c>
      <c r="F447" s="143" t="s">
        <v>116</v>
      </c>
      <c r="G447" s="142">
        <v>20.514000730189981</v>
      </c>
      <c r="H447" s="11" t="s">
        <v>59</v>
      </c>
      <c r="I447" s="82" t="s">
        <v>60</v>
      </c>
      <c r="J447" s="147">
        <v>52726</v>
      </c>
      <c r="K447" s="146">
        <v>81562</v>
      </c>
      <c r="L447" s="147">
        <v>14349</v>
      </c>
      <c r="M447" s="146">
        <v>25628</v>
      </c>
      <c r="N447" s="147">
        <v>67767</v>
      </c>
      <c r="O447" s="146">
        <v>116113</v>
      </c>
      <c r="P447" s="147">
        <v>2464</v>
      </c>
      <c r="Q447" s="146">
        <v>15188</v>
      </c>
      <c r="R447" s="147">
        <v>67767</v>
      </c>
      <c r="S447" s="146">
        <v>116113</v>
      </c>
      <c r="T447" s="147"/>
      <c r="U447" s="146"/>
      <c r="V447" s="147">
        <v>106648</v>
      </c>
      <c r="W447" s="146">
        <v>137063</v>
      </c>
      <c r="X447" s="140" t="s">
        <v>213</v>
      </c>
      <c r="Y447" s="147">
        <v>822.5</v>
      </c>
      <c r="Z447" s="146">
        <v>725.9</v>
      </c>
      <c r="AA447" s="147">
        <v>87.04</v>
      </c>
      <c r="AB447" s="146">
        <v>316.89999999999998</v>
      </c>
      <c r="AC447" s="147">
        <v>118.6</v>
      </c>
      <c r="AD447" s="146">
        <v>180.8</v>
      </c>
      <c r="AE447" s="147">
        <v>155.30000000000001</v>
      </c>
      <c r="AF447" s="146">
        <v>364.5</v>
      </c>
      <c r="AG447" s="147">
        <v>2131</v>
      </c>
      <c r="AH447" s="146">
        <v>2283</v>
      </c>
      <c r="AI447" s="147"/>
      <c r="AJ447" s="146"/>
      <c r="AK447" s="147">
        <v>2273</v>
      </c>
      <c r="AL447" s="146">
        <v>2835</v>
      </c>
      <c r="AM447" s="137" t="s">
        <v>213</v>
      </c>
    </row>
    <row r="448" spans="1:39" ht="24" customHeight="1">
      <c r="A448" s="148" t="s">
        <v>214</v>
      </c>
      <c r="B448" s="151">
        <v>38011</v>
      </c>
      <c r="C448" s="151">
        <v>43803</v>
      </c>
      <c r="D448" s="150">
        <v>15</v>
      </c>
      <c r="E448" s="4" t="s">
        <v>58</v>
      </c>
      <c r="F448" s="143" t="s">
        <v>116</v>
      </c>
      <c r="G448" s="142">
        <v>25.087702156736228</v>
      </c>
      <c r="H448" s="11" t="s">
        <v>59</v>
      </c>
      <c r="I448" s="82" t="s">
        <v>60</v>
      </c>
      <c r="J448" s="147"/>
      <c r="K448" s="146"/>
      <c r="L448" s="147">
        <v>83633</v>
      </c>
      <c r="M448" s="146">
        <v>206992</v>
      </c>
      <c r="N448" s="147"/>
      <c r="O448" s="146"/>
      <c r="P448" s="147">
        <v>51009</v>
      </c>
      <c r="Q448" s="146">
        <v>265102</v>
      </c>
      <c r="R448" s="147"/>
      <c r="S448" s="146"/>
      <c r="T448" s="147"/>
      <c r="U448" s="146"/>
      <c r="V448" s="147">
        <v>76559</v>
      </c>
      <c r="W448" s="146">
        <v>200859</v>
      </c>
      <c r="X448" s="149" t="s">
        <v>214</v>
      </c>
      <c r="Y448" s="147"/>
      <c r="Z448" s="146"/>
      <c r="AA448" s="147"/>
      <c r="AB448" s="146"/>
      <c r="AC448" s="147"/>
      <c r="AD448" s="146"/>
      <c r="AE448" s="147"/>
      <c r="AF448" s="146"/>
      <c r="AG448" s="147"/>
      <c r="AH448" s="146"/>
      <c r="AI448" s="147"/>
      <c r="AJ448" s="146"/>
      <c r="AK448" s="147"/>
      <c r="AL448" s="146"/>
      <c r="AM448" s="148" t="s">
        <v>214</v>
      </c>
    </row>
    <row r="449" spans="1:39" ht="24" customHeight="1">
      <c r="A449" s="137" t="s">
        <v>215</v>
      </c>
      <c r="B449" s="145">
        <v>38729</v>
      </c>
      <c r="C449" s="145">
        <v>43759</v>
      </c>
      <c r="D449" s="144">
        <v>13</v>
      </c>
      <c r="E449" s="4" t="s">
        <v>58</v>
      </c>
      <c r="F449" s="143" t="s">
        <v>116</v>
      </c>
      <c r="G449" s="142">
        <v>20.256045985665008</v>
      </c>
      <c r="H449" s="11" t="s">
        <v>59</v>
      </c>
      <c r="I449" s="82" t="s">
        <v>60</v>
      </c>
      <c r="J449" s="147"/>
      <c r="K449" s="146"/>
      <c r="L449" s="147">
        <v>171494</v>
      </c>
      <c r="M449" s="146">
        <v>201145</v>
      </c>
      <c r="N449" s="147"/>
      <c r="O449" s="146"/>
      <c r="P449" s="147">
        <v>193132</v>
      </c>
      <c r="Q449" s="146">
        <v>720522</v>
      </c>
      <c r="R449" s="147"/>
      <c r="S449" s="146"/>
      <c r="T449" s="147"/>
      <c r="U449" s="146"/>
      <c r="V449" s="147">
        <v>31686</v>
      </c>
      <c r="W449" s="146">
        <v>59298</v>
      </c>
      <c r="X449" s="140" t="s">
        <v>215</v>
      </c>
      <c r="Y449" s="147"/>
      <c r="Z449" s="146"/>
      <c r="AA449" s="147"/>
      <c r="AB449" s="146"/>
      <c r="AC449" s="147"/>
      <c r="AD449" s="146"/>
      <c r="AE449" s="147"/>
      <c r="AF449" s="146"/>
      <c r="AG449" s="147"/>
      <c r="AH449" s="146"/>
      <c r="AI449" s="147"/>
      <c r="AJ449" s="146"/>
      <c r="AK449" s="147"/>
      <c r="AL449" s="146"/>
      <c r="AM449" s="137" t="s">
        <v>215</v>
      </c>
    </row>
    <row r="450" spans="1:39" ht="24" customHeight="1">
      <c r="A450" s="148" t="s">
        <v>216</v>
      </c>
      <c r="B450" s="151">
        <v>38091</v>
      </c>
      <c r="C450" s="151">
        <v>43759</v>
      </c>
      <c r="D450" s="150">
        <v>15</v>
      </c>
      <c r="E450" s="4" t="s">
        <v>58</v>
      </c>
      <c r="F450" s="143" t="s">
        <v>116</v>
      </c>
      <c r="G450" s="142">
        <v>29.286681792166345</v>
      </c>
      <c r="H450" s="11" t="s">
        <v>59</v>
      </c>
      <c r="I450" s="82" t="s">
        <v>60</v>
      </c>
      <c r="J450" s="147"/>
      <c r="K450" s="146"/>
      <c r="L450" s="147">
        <v>167486</v>
      </c>
      <c r="M450" s="146">
        <v>154220</v>
      </c>
      <c r="N450" s="147"/>
      <c r="O450" s="146"/>
      <c r="P450" s="147">
        <v>100790</v>
      </c>
      <c r="Q450" s="146">
        <v>146196</v>
      </c>
      <c r="R450" s="147"/>
      <c r="S450" s="146"/>
      <c r="T450" s="147"/>
      <c r="U450" s="146"/>
      <c r="V450" s="147">
        <v>41936</v>
      </c>
      <c r="W450" s="146">
        <v>55033</v>
      </c>
      <c r="X450" s="149" t="s">
        <v>216</v>
      </c>
      <c r="Y450" s="147"/>
      <c r="Z450" s="146"/>
      <c r="AA450" s="147"/>
      <c r="AB450" s="146"/>
      <c r="AC450" s="147"/>
      <c r="AD450" s="146"/>
      <c r="AE450" s="147"/>
      <c r="AF450" s="146"/>
      <c r="AG450" s="147"/>
      <c r="AH450" s="146"/>
      <c r="AI450" s="147"/>
      <c r="AJ450" s="146"/>
      <c r="AK450" s="147"/>
      <c r="AL450" s="146"/>
      <c r="AM450" s="148" t="s">
        <v>216</v>
      </c>
    </row>
    <row r="451" spans="1:39" ht="24" customHeight="1">
      <c r="A451" s="137" t="s">
        <v>217</v>
      </c>
      <c r="B451" s="145">
        <v>38861</v>
      </c>
      <c r="C451" s="145">
        <v>43792</v>
      </c>
      <c r="D451" s="144">
        <v>13</v>
      </c>
      <c r="E451" s="4" t="s">
        <v>58</v>
      </c>
      <c r="F451" s="143" t="s">
        <v>116</v>
      </c>
      <c r="G451" s="142">
        <v>17.437598858068746</v>
      </c>
      <c r="H451" s="11" t="s">
        <v>59</v>
      </c>
      <c r="I451" s="82" t="s">
        <v>60</v>
      </c>
      <c r="J451" s="147"/>
      <c r="K451" s="146"/>
      <c r="L451" s="147">
        <v>226802</v>
      </c>
      <c r="M451" s="146">
        <v>379043</v>
      </c>
      <c r="N451" s="147"/>
      <c r="O451" s="146"/>
      <c r="P451" s="147">
        <v>130346</v>
      </c>
      <c r="Q451" s="146">
        <v>196371</v>
      </c>
      <c r="R451" s="147"/>
      <c r="S451" s="146"/>
      <c r="T451" s="147"/>
      <c r="U451" s="146"/>
      <c r="V451" s="147">
        <v>199845</v>
      </c>
      <c r="W451" s="146">
        <v>196121</v>
      </c>
      <c r="X451" s="140" t="s">
        <v>217</v>
      </c>
      <c r="Y451" s="147"/>
      <c r="Z451" s="146"/>
      <c r="AA451" s="147"/>
      <c r="AB451" s="146"/>
      <c r="AC451" s="147"/>
      <c r="AD451" s="146"/>
      <c r="AE451" s="147"/>
      <c r="AF451" s="146"/>
      <c r="AG451" s="147"/>
      <c r="AH451" s="146"/>
      <c r="AI451" s="147"/>
      <c r="AJ451" s="146"/>
      <c r="AK451" s="147"/>
      <c r="AL451" s="146"/>
      <c r="AM451" s="137" t="s">
        <v>217</v>
      </c>
    </row>
    <row r="452" spans="1:39" ht="24" customHeight="1">
      <c r="A452" s="148" t="s">
        <v>218</v>
      </c>
      <c r="B452" s="151">
        <v>37951</v>
      </c>
      <c r="C452" s="151">
        <v>43787</v>
      </c>
      <c r="D452" s="150">
        <v>15</v>
      </c>
      <c r="E452" s="4" t="s">
        <v>58</v>
      </c>
      <c r="F452" s="143" t="s">
        <v>116</v>
      </c>
      <c r="G452" s="142">
        <v>25.072407678715205</v>
      </c>
      <c r="H452" s="11" t="s">
        <v>59</v>
      </c>
      <c r="I452" s="82" t="s">
        <v>60</v>
      </c>
      <c r="J452" s="147"/>
      <c r="K452" s="146"/>
      <c r="L452" s="147">
        <v>297101</v>
      </c>
      <c r="M452" s="146">
        <v>290407</v>
      </c>
      <c r="N452" s="147"/>
      <c r="O452" s="146"/>
      <c r="P452" s="147">
        <v>87652</v>
      </c>
      <c r="Q452" s="146">
        <v>256145</v>
      </c>
      <c r="R452" s="147"/>
      <c r="S452" s="146"/>
      <c r="T452" s="147"/>
      <c r="U452" s="146"/>
      <c r="V452" s="147">
        <v>199895</v>
      </c>
      <c r="W452" s="146">
        <v>312364</v>
      </c>
      <c r="X452" s="149" t="s">
        <v>218</v>
      </c>
      <c r="Y452" s="147"/>
      <c r="Z452" s="146"/>
      <c r="AA452" s="147"/>
      <c r="AB452" s="146"/>
      <c r="AC452" s="147"/>
      <c r="AD452" s="146"/>
      <c r="AE452" s="147"/>
      <c r="AF452" s="146"/>
      <c r="AG452" s="147"/>
      <c r="AH452" s="146"/>
      <c r="AI452" s="147"/>
      <c r="AJ452" s="146"/>
      <c r="AK452" s="147"/>
      <c r="AL452" s="146"/>
      <c r="AM452" s="148" t="s">
        <v>218</v>
      </c>
    </row>
    <row r="453" spans="1:39" ht="24" customHeight="1">
      <c r="A453" s="137" t="s">
        <v>219</v>
      </c>
      <c r="B453" s="145">
        <v>39056</v>
      </c>
      <c r="C453" s="145">
        <v>43788</v>
      </c>
      <c r="D453" s="144">
        <v>12</v>
      </c>
      <c r="E453" s="3" t="s">
        <v>61</v>
      </c>
      <c r="F453" s="143" t="s">
        <v>116</v>
      </c>
      <c r="G453" s="142">
        <v>19.024431356599333</v>
      </c>
      <c r="H453" s="11" t="s">
        <v>59</v>
      </c>
      <c r="I453" s="82" t="s">
        <v>60</v>
      </c>
      <c r="J453" s="147"/>
      <c r="K453" s="146"/>
      <c r="L453" s="147">
        <v>348314</v>
      </c>
      <c r="M453" s="146">
        <v>175046</v>
      </c>
      <c r="N453" s="147"/>
      <c r="O453" s="146"/>
      <c r="P453" s="147">
        <v>67390</v>
      </c>
      <c r="Q453" s="146">
        <v>197338</v>
      </c>
      <c r="R453" s="147"/>
      <c r="S453" s="146"/>
      <c r="T453" s="147"/>
      <c r="U453" s="146"/>
      <c r="V453" s="147">
        <v>8957</v>
      </c>
      <c r="W453" s="146">
        <v>106824</v>
      </c>
      <c r="X453" s="140" t="s">
        <v>219</v>
      </c>
      <c r="Y453" s="147"/>
      <c r="Z453" s="146"/>
      <c r="AA453" s="147"/>
      <c r="AB453" s="146"/>
      <c r="AC453" s="147"/>
      <c r="AD453" s="146"/>
      <c r="AE453" s="147"/>
      <c r="AF453" s="146"/>
      <c r="AG453" s="147"/>
      <c r="AH453" s="146"/>
      <c r="AI453" s="147"/>
      <c r="AJ453" s="146"/>
      <c r="AK453" s="147"/>
      <c r="AL453" s="146"/>
      <c r="AM453" s="137" t="s">
        <v>219</v>
      </c>
    </row>
    <row r="454" spans="1:39" ht="24" customHeight="1">
      <c r="A454" s="148" t="s">
        <v>220</v>
      </c>
      <c r="B454" s="151">
        <v>37850</v>
      </c>
      <c r="C454" s="151">
        <v>43794</v>
      </c>
      <c r="D454" s="150">
        <v>16</v>
      </c>
      <c r="E454" s="3" t="s">
        <v>61</v>
      </c>
      <c r="F454" s="143" t="s">
        <v>116</v>
      </c>
      <c r="G454" s="142">
        <v>24.911123783639496</v>
      </c>
      <c r="H454" s="11" t="s">
        <v>59</v>
      </c>
      <c r="I454" s="82" t="s">
        <v>60</v>
      </c>
      <c r="J454" s="147"/>
      <c r="K454" s="146"/>
      <c r="L454" s="147">
        <v>684076</v>
      </c>
      <c r="M454" s="146">
        <v>729559</v>
      </c>
      <c r="N454" s="147"/>
      <c r="O454" s="146"/>
      <c r="P454" s="147">
        <v>139782</v>
      </c>
      <c r="Q454" s="146">
        <v>1059959</v>
      </c>
      <c r="R454" s="147"/>
      <c r="S454" s="146"/>
      <c r="T454" s="147"/>
      <c r="U454" s="146"/>
      <c r="V454" s="147">
        <v>332635</v>
      </c>
      <c r="W454" s="146">
        <v>496657</v>
      </c>
      <c r="X454" s="149" t="s">
        <v>220</v>
      </c>
      <c r="Y454" s="147"/>
      <c r="Z454" s="146"/>
      <c r="AA454" s="147"/>
      <c r="AB454" s="146"/>
      <c r="AC454" s="147"/>
      <c r="AD454" s="146"/>
      <c r="AE454" s="147"/>
      <c r="AF454" s="146"/>
      <c r="AG454" s="147"/>
      <c r="AH454" s="146"/>
      <c r="AI454" s="147"/>
      <c r="AJ454" s="146"/>
      <c r="AK454" s="147"/>
      <c r="AL454" s="146"/>
      <c r="AM454" s="148" t="s">
        <v>220</v>
      </c>
    </row>
    <row r="455" spans="1:39" ht="24" customHeight="1">
      <c r="A455" s="137" t="s">
        <v>221</v>
      </c>
      <c r="B455" s="145">
        <v>38718</v>
      </c>
      <c r="C455" s="145">
        <v>43810</v>
      </c>
      <c r="D455" s="144">
        <v>13</v>
      </c>
      <c r="E455" s="4" t="s">
        <v>58</v>
      </c>
      <c r="F455" s="143" t="s">
        <v>116</v>
      </c>
      <c r="G455" s="142">
        <v>19.064249893257632</v>
      </c>
      <c r="H455" s="11" t="s">
        <v>59</v>
      </c>
      <c r="I455" s="82" t="s">
        <v>60</v>
      </c>
      <c r="J455" s="147"/>
      <c r="K455" s="146"/>
      <c r="L455" s="147">
        <v>305339</v>
      </c>
      <c r="M455" s="146">
        <v>1661018</v>
      </c>
      <c r="N455" s="147"/>
      <c r="O455" s="146"/>
      <c r="P455" s="147">
        <v>13108</v>
      </c>
      <c r="Q455" s="146">
        <v>330289</v>
      </c>
      <c r="R455" s="147"/>
      <c r="S455" s="146"/>
      <c r="T455" s="147"/>
      <c r="U455" s="146"/>
      <c r="V455" s="147">
        <v>8543</v>
      </c>
      <c r="W455" s="146">
        <v>79553</v>
      </c>
      <c r="X455" s="140" t="s">
        <v>221</v>
      </c>
      <c r="Y455" s="147"/>
      <c r="Z455" s="146"/>
      <c r="AA455" s="147"/>
      <c r="AB455" s="146"/>
      <c r="AC455" s="147"/>
      <c r="AD455" s="146"/>
      <c r="AE455" s="147"/>
      <c r="AF455" s="146"/>
      <c r="AG455" s="147"/>
      <c r="AH455" s="146"/>
      <c r="AI455" s="147"/>
      <c r="AJ455" s="146"/>
      <c r="AK455" s="147"/>
      <c r="AL455" s="146"/>
      <c r="AM455" s="137" t="s">
        <v>221</v>
      </c>
    </row>
    <row r="456" spans="1:39" ht="24" customHeight="1">
      <c r="A456" s="148" t="s">
        <v>222</v>
      </c>
      <c r="B456" s="151">
        <v>37694</v>
      </c>
      <c r="C456" s="151">
        <v>43806</v>
      </c>
      <c r="D456" s="150">
        <v>16</v>
      </c>
      <c r="E456" s="4" t="s">
        <v>58</v>
      </c>
      <c r="F456" s="143" t="s">
        <v>223</v>
      </c>
      <c r="G456" s="142">
        <v>25.983379501385041</v>
      </c>
      <c r="H456" s="11" t="s">
        <v>59</v>
      </c>
      <c r="I456" s="82" t="s">
        <v>60</v>
      </c>
      <c r="J456" s="147"/>
      <c r="K456" s="146"/>
      <c r="L456" s="147">
        <v>240799</v>
      </c>
      <c r="M456" s="146">
        <v>345039</v>
      </c>
      <c r="N456" s="147"/>
      <c r="O456" s="146"/>
      <c r="P456" s="147">
        <v>96404</v>
      </c>
      <c r="Q456" s="146">
        <v>268369</v>
      </c>
      <c r="R456" s="147"/>
      <c r="S456" s="146"/>
      <c r="T456" s="147"/>
      <c r="U456" s="146"/>
      <c r="V456" s="147">
        <v>82499</v>
      </c>
      <c r="W456" s="146">
        <v>185907</v>
      </c>
      <c r="X456" s="149" t="s">
        <v>222</v>
      </c>
      <c r="Y456" s="147"/>
      <c r="Z456" s="146"/>
      <c r="AA456" s="147"/>
      <c r="AB456" s="146"/>
      <c r="AC456" s="147"/>
      <c r="AD456" s="146"/>
      <c r="AE456" s="147"/>
      <c r="AF456" s="146"/>
      <c r="AG456" s="147"/>
      <c r="AH456" s="146"/>
      <c r="AI456" s="147"/>
      <c r="AJ456" s="146"/>
      <c r="AK456" s="147"/>
      <c r="AL456" s="146"/>
      <c r="AM456" s="148" t="s">
        <v>222</v>
      </c>
    </row>
    <row r="457" spans="1:39" ht="24" customHeight="1">
      <c r="A457" s="148" t="s">
        <v>224</v>
      </c>
      <c r="B457" s="151">
        <v>37892</v>
      </c>
      <c r="C457" s="151">
        <v>43794</v>
      </c>
      <c r="D457" s="150">
        <v>16</v>
      </c>
      <c r="E457" s="3" t="s">
        <v>61</v>
      </c>
      <c r="F457" s="143" t="s">
        <v>117</v>
      </c>
      <c r="G457" s="142">
        <v>34.77130012248535</v>
      </c>
      <c r="H457" s="11" t="s">
        <v>59</v>
      </c>
      <c r="I457" s="82" t="s">
        <v>60</v>
      </c>
      <c r="J457" s="147"/>
      <c r="K457" s="146"/>
      <c r="L457" s="147">
        <v>715192</v>
      </c>
      <c r="M457" s="146">
        <v>2182377</v>
      </c>
      <c r="N457" s="147"/>
      <c r="O457" s="146"/>
      <c r="P457" s="147">
        <v>64488</v>
      </c>
      <c r="Q457" s="146">
        <v>695020</v>
      </c>
      <c r="R457" s="147"/>
      <c r="S457" s="146"/>
      <c r="T457" s="147"/>
      <c r="U457" s="146"/>
      <c r="V457" s="147">
        <v>355580</v>
      </c>
      <c r="W457" s="146">
        <v>2217221</v>
      </c>
      <c r="X457" s="149" t="s">
        <v>224</v>
      </c>
      <c r="Y457" s="147"/>
      <c r="Z457" s="146"/>
      <c r="AA457" s="147"/>
      <c r="AB457" s="146"/>
      <c r="AC457" s="147"/>
      <c r="AD457" s="146"/>
      <c r="AE457" s="147"/>
      <c r="AF457" s="146"/>
      <c r="AG457" s="147"/>
      <c r="AH457" s="146"/>
      <c r="AI457" s="147"/>
      <c r="AJ457" s="146"/>
      <c r="AK457" s="147"/>
      <c r="AL457" s="146"/>
      <c r="AM457" s="148" t="s">
        <v>224</v>
      </c>
    </row>
    <row r="458" spans="1:39" ht="24" customHeight="1">
      <c r="A458" s="148" t="s">
        <v>225</v>
      </c>
      <c r="B458" s="151">
        <v>37491</v>
      </c>
      <c r="C458" s="151">
        <v>43795</v>
      </c>
      <c r="D458" s="150">
        <v>17</v>
      </c>
      <c r="E458" s="4" t="s">
        <v>58</v>
      </c>
      <c r="F458" s="143" t="s">
        <v>116</v>
      </c>
      <c r="G458" s="142">
        <v>23.283169789555966</v>
      </c>
      <c r="H458" s="11" t="s">
        <v>59</v>
      </c>
      <c r="I458" s="82" t="s">
        <v>60</v>
      </c>
      <c r="J458" s="147"/>
      <c r="K458" s="146"/>
      <c r="L458" s="147">
        <v>95574</v>
      </c>
      <c r="M458" s="146">
        <v>93807</v>
      </c>
      <c r="N458" s="147"/>
      <c r="O458" s="146"/>
      <c r="P458" s="147">
        <v>45530</v>
      </c>
      <c r="Q458" s="146">
        <v>87206</v>
      </c>
      <c r="R458" s="147"/>
      <c r="S458" s="146"/>
      <c r="T458" s="147"/>
      <c r="U458" s="146"/>
      <c r="V458" s="147">
        <v>259071</v>
      </c>
      <c r="W458" s="146">
        <v>176612</v>
      </c>
      <c r="X458" s="149" t="s">
        <v>225</v>
      </c>
      <c r="Y458" s="147"/>
      <c r="Z458" s="146"/>
      <c r="AA458" s="147"/>
      <c r="AB458" s="146"/>
      <c r="AC458" s="147"/>
      <c r="AD458" s="146"/>
      <c r="AE458" s="147"/>
      <c r="AF458" s="146"/>
      <c r="AG458" s="147"/>
      <c r="AH458" s="146"/>
      <c r="AI458" s="147"/>
      <c r="AJ458" s="146"/>
      <c r="AK458" s="147"/>
      <c r="AL458" s="146"/>
      <c r="AM458" s="148" t="s">
        <v>225</v>
      </c>
    </row>
    <row r="459" spans="1:39" ht="24" customHeight="1">
      <c r="A459" s="137" t="s">
        <v>226</v>
      </c>
      <c r="B459" s="145">
        <v>39160</v>
      </c>
      <c r="C459" s="145">
        <v>43794</v>
      </c>
      <c r="D459" s="144">
        <v>12</v>
      </c>
      <c r="E459" s="4" t="s">
        <v>58</v>
      </c>
      <c r="F459" s="143" t="s">
        <v>116</v>
      </c>
      <c r="G459" s="142">
        <v>23.137996219281657</v>
      </c>
      <c r="H459" s="11" t="s">
        <v>59</v>
      </c>
      <c r="I459" s="141" t="s">
        <v>62</v>
      </c>
      <c r="J459" s="147"/>
      <c r="K459" s="146"/>
      <c r="L459" s="147"/>
      <c r="M459" s="146"/>
      <c r="N459" s="147"/>
      <c r="O459" s="146"/>
      <c r="P459" s="147"/>
      <c r="Q459" s="146"/>
      <c r="R459" s="147"/>
      <c r="S459" s="146"/>
      <c r="T459" s="147"/>
      <c r="U459" s="146"/>
      <c r="V459" s="147"/>
      <c r="W459" s="146"/>
      <c r="X459" s="140" t="s">
        <v>226</v>
      </c>
      <c r="Y459" s="147"/>
      <c r="Z459" s="146"/>
      <c r="AA459" s="147"/>
      <c r="AB459" s="146"/>
      <c r="AC459" s="147"/>
      <c r="AD459" s="146"/>
      <c r="AE459" s="147"/>
      <c r="AF459" s="146"/>
      <c r="AG459" s="147"/>
      <c r="AH459" s="146"/>
      <c r="AI459" s="147"/>
      <c r="AJ459" s="146"/>
      <c r="AK459" s="147"/>
      <c r="AL459" s="146"/>
      <c r="AM459" s="137" t="s">
        <v>226</v>
      </c>
    </row>
    <row r="460" spans="1:39" ht="24" customHeight="1">
      <c r="A460" s="137" t="s">
        <v>227</v>
      </c>
      <c r="B460" s="145">
        <v>39019</v>
      </c>
      <c r="C460" s="145">
        <v>43773</v>
      </c>
      <c r="D460" s="144">
        <v>13</v>
      </c>
      <c r="E460" s="3" t="s">
        <v>61</v>
      </c>
      <c r="F460" s="143" t="s">
        <v>116</v>
      </c>
      <c r="G460" s="142">
        <v>19.183531953416743</v>
      </c>
      <c r="H460" s="11" t="s">
        <v>59</v>
      </c>
      <c r="I460" s="141" t="s">
        <v>62</v>
      </c>
      <c r="J460" s="147"/>
      <c r="K460" s="146"/>
      <c r="L460" s="147">
        <v>329806</v>
      </c>
      <c r="M460" s="146">
        <v>266197</v>
      </c>
      <c r="N460" s="147"/>
      <c r="O460" s="146"/>
      <c r="P460" s="147">
        <v>84520</v>
      </c>
      <c r="Q460" s="146">
        <v>290948</v>
      </c>
      <c r="R460" s="147"/>
      <c r="S460" s="146"/>
      <c r="T460" s="147"/>
      <c r="U460" s="146"/>
      <c r="V460" s="147">
        <v>85923</v>
      </c>
      <c r="W460" s="146">
        <v>122305</v>
      </c>
      <c r="X460" s="140" t="s">
        <v>227</v>
      </c>
      <c r="Y460" s="147"/>
      <c r="Z460" s="146"/>
      <c r="AA460" s="147"/>
      <c r="AB460" s="146"/>
      <c r="AC460" s="147"/>
      <c r="AD460" s="146"/>
      <c r="AE460" s="147"/>
      <c r="AF460" s="146"/>
      <c r="AG460" s="147"/>
      <c r="AH460" s="146"/>
      <c r="AI460" s="147"/>
      <c r="AJ460" s="146"/>
      <c r="AK460" s="147"/>
      <c r="AL460" s="146"/>
      <c r="AM460" s="137" t="s">
        <v>227</v>
      </c>
    </row>
    <row r="461" spans="1:39" ht="24" customHeight="1">
      <c r="A461" s="137" t="s">
        <v>228</v>
      </c>
      <c r="B461" s="145">
        <v>39135</v>
      </c>
      <c r="C461" s="145">
        <v>43794</v>
      </c>
      <c r="D461" s="144">
        <v>12</v>
      </c>
      <c r="E461" s="3" t="s">
        <v>61</v>
      </c>
      <c r="F461" s="143" t="s">
        <v>116</v>
      </c>
      <c r="G461" s="142">
        <v>21.282253867794218</v>
      </c>
      <c r="H461" s="11" t="s">
        <v>59</v>
      </c>
      <c r="I461" s="141" t="s">
        <v>62</v>
      </c>
      <c r="J461" s="147"/>
      <c r="K461" s="146"/>
      <c r="L461" s="147">
        <v>136712</v>
      </c>
      <c r="M461" s="146">
        <v>194078</v>
      </c>
      <c r="N461" s="147"/>
      <c r="O461" s="146"/>
      <c r="P461" s="147">
        <v>4891</v>
      </c>
      <c r="Q461" s="146">
        <v>18258</v>
      </c>
      <c r="R461" s="147"/>
      <c r="S461" s="146"/>
      <c r="T461" s="147"/>
      <c r="U461" s="146"/>
      <c r="V461" s="147">
        <v>76080</v>
      </c>
      <c r="W461" s="146">
        <v>118102</v>
      </c>
      <c r="X461" s="140" t="s">
        <v>228</v>
      </c>
      <c r="Y461" s="147"/>
      <c r="Z461" s="146"/>
      <c r="AA461" s="147"/>
      <c r="AB461" s="146"/>
      <c r="AC461" s="147"/>
      <c r="AD461" s="146"/>
      <c r="AE461" s="147"/>
      <c r="AF461" s="146"/>
      <c r="AG461" s="147"/>
      <c r="AH461" s="146"/>
      <c r="AI461" s="147"/>
      <c r="AJ461" s="146"/>
      <c r="AK461" s="147"/>
      <c r="AL461" s="146"/>
      <c r="AM461" s="137" t="s">
        <v>228</v>
      </c>
    </row>
    <row r="462" spans="1:39" ht="24" customHeight="1">
      <c r="A462" s="137" t="s">
        <v>229</v>
      </c>
      <c r="B462" s="145">
        <v>39022</v>
      </c>
      <c r="C462" s="145">
        <v>43771</v>
      </c>
      <c r="D462" s="144">
        <v>13</v>
      </c>
      <c r="E462" s="3" t="s">
        <v>61</v>
      </c>
      <c r="F462" s="143" t="s">
        <v>117</v>
      </c>
      <c r="G462" s="142">
        <v>31.863474122546108</v>
      </c>
      <c r="H462" s="11" t="s">
        <v>59</v>
      </c>
      <c r="I462" s="141" t="s">
        <v>62</v>
      </c>
      <c r="J462" s="147"/>
      <c r="K462" s="146"/>
      <c r="L462" s="147">
        <v>236836</v>
      </c>
      <c r="M462" s="146">
        <v>374529</v>
      </c>
      <c r="N462" s="147"/>
      <c r="O462" s="146"/>
      <c r="P462" s="147">
        <v>322191</v>
      </c>
      <c r="Q462" s="146">
        <v>440467</v>
      </c>
      <c r="R462" s="147"/>
      <c r="S462" s="146"/>
      <c r="T462" s="147"/>
      <c r="U462" s="146"/>
      <c r="V462" s="147">
        <v>135108</v>
      </c>
      <c r="W462" s="146">
        <v>217715</v>
      </c>
      <c r="X462" s="140" t="s">
        <v>229</v>
      </c>
      <c r="Y462" s="147"/>
      <c r="Z462" s="146"/>
      <c r="AA462" s="147"/>
      <c r="AB462" s="146"/>
      <c r="AC462" s="147"/>
      <c r="AD462" s="146"/>
      <c r="AE462" s="147"/>
      <c r="AF462" s="146"/>
      <c r="AG462" s="147"/>
      <c r="AH462" s="146"/>
      <c r="AI462" s="147"/>
      <c r="AJ462" s="146"/>
      <c r="AK462" s="147"/>
      <c r="AL462" s="146"/>
      <c r="AM462" s="137" t="s">
        <v>229</v>
      </c>
    </row>
    <row r="463" spans="1:39" ht="24" customHeight="1">
      <c r="A463" s="137" t="s">
        <v>230</v>
      </c>
      <c r="B463" s="145">
        <v>39416</v>
      </c>
      <c r="C463" s="145">
        <v>43809</v>
      </c>
      <c r="D463" s="144">
        <v>12</v>
      </c>
      <c r="E463" s="4" t="s">
        <v>58</v>
      </c>
      <c r="F463" s="143" t="s">
        <v>116</v>
      </c>
      <c r="G463" s="142">
        <v>25.838909598014961</v>
      </c>
      <c r="H463" s="11" t="s">
        <v>59</v>
      </c>
      <c r="I463" s="141" t="s">
        <v>62</v>
      </c>
      <c r="J463" s="147"/>
      <c r="K463" s="146"/>
      <c r="L463" s="147"/>
      <c r="M463" s="146"/>
      <c r="N463" s="147"/>
      <c r="O463" s="146"/>
      <c r="P463" s="147"/>
      <c r="Q463" s="146"/>
      <c r="R463" s="147"/>
      <c r="S463" s="146"/>
      <c r="T463" s="147"/>
      <c r="U463" s="146"/>
      <c r="V463" s="147"/>
      <c r="W463" s="146"/>
      <c r="X463" s="140" t="s">
        <v>230</v>
      </c>
      <c r="Y463" s="147"/>
      <c r="Z463" s="146"/>
      <c r="AA463" s="147"/>
      <c r="AB463" s="146"/>
      <c r="AC463" s="147"/>
      <c r="AD463" s="146"/>
      <c r="AE463" s="147"/>
      <c r="AF463" s="146"/>
      <c r="AG463" s="147"/>
      <c r="AH463" s="146"/>
      <c r="AI463" s="147"/>
      <c r="AJ463" s="146"/>
      <c r="AK463" s="147"/>
      <c r="AL463" s="146"/>
      <c r="AM463" s="137" t="s">
        <v>230</v>
      </c>
    </row>
    <row r="464" spans="1:39" ht="24" customHeight="1">
      <c r="A464" s="137" t="s">
        <v>231</v>
      </c>
      <c r="B464" s="145">
        <v>39143</v>
      </c>
      <c r="C464" s="145">
        <v>43790</v>
      </c>
      <c r="D464" s="144">
        <v>12</v>
      </c>
      <c r="E464" s="4" t="s">
        <v>58</v>
      </c>
      <c r="F464" s="143" t="s">
        <v>116</v>
      </c>
      <c r="G464" s="142">
        <v>17.927615987940523</v>
      </c>
      <c r="H464" s="11" t="s">
        <v>59</v>
      </c>
      <c r="I464" s="141" t="s">
        <v>62</v>
      </c>
      <c r="J464" s="147"/>
      <c r="K464" s="146"/>
      <c r="L464" s="147">
        <v>953145</v>
      </c>
      <c r="M464" s="146">
        <v>1592550</v>
      </c>
      <c r="N464" s="147"/>
      <c r="O464" s="146"/>
      <c r="P464" s="147">
        <v>99198</v>
      </c>
      <c r="Q464" s="146">
        <v>240391</v>
      </c>
      <c r="R464" s="147"/>
      <c r="S464" s="146"/>
      <c r="T464" s="147"/>
      <c r="U464" s="146"/>
      <c r="V464" s="147">
        <v>320619</v>
      </c>
      <c r="W464" s="146">
        <v>479552</v>
      </c>
      <c r="X464" s="140" t="s">
        <v>231</v>
      </c>
      <c r="Y464" s="147"/>
      <c r="Z464" s="146"/>
      <c r="AA464" s="147"/>
      <c r="AB464" s="146"/>
      <c r="AC464" s="147"/>
      <c r="AD464" s="146"/>
      <c r="AE464" s="147"/>
      <c r="AF464" s="146"/>
      <c r="AG464" s="147"/>
      <c r="AH464" s="146"/>
      <c r="AI464" s="147"/>
      <c r="AJ464" s="146"/>
      <c r="AK464" s="147"/>
      <c r="AL464" s="146"/>
      <c r="AM464" s="137" t="s">
        <v>231</v>
      </c>
    </row>
    <row r="465" spans="1:39" ht="24" customHeight="1">
      <c r="A465" s="137" t="s">
        <v>232</v>
      </c>
      <c r="B465" s="145">
        <v>39331</v>
      </c>
      <c r="C465" s="145">
        <v>43810</v>
      </c>
      <c r="D465" s="144">
        <v>12</v>
      </c>
      <c r="E465" s="4" t="s">
        <v>58</v>
      </c>
      <c r="F465" s="143" t="s">
        <v>116</v>
      </c>
      <c r="G465" s="142">
        <v>14.858670673657739</v>
      </c>
      <c r="H465" s="11" t="s">
        <v>59</v>
      </c>
      <c r="I465" s="141" t="s">
        <v>62</v>
      </c>
      <c r="J465" s="147"/>
      <c r="K465" s="146"/>
      <c r="L465" s="147"/>
      <c r="M465" s="146"/>
      <c r="N465" s="147"/>
      <c r="O465" s="146"/>
      <c r="P465" s="147"/>
      <c r="Q465" s="146"/>
      <c r="R465" s="147"/>
      <c r="S465" s="146"/>
      <c r="T465" s="147"/>
      <c r="U465" s="146"/>
      <c r="V465" s="147"/>
      <c r="W465" s="146"/>
      <c r="X465" s="140" t="s">
        <v>232</v>
      </c>
      <c r="Y465" s="147"/>
      <c r="Z465" s="146"/>
      <c r="AA465" s="147"/>
      <c r="AB465" s="146"/>
      <c r="AC465" s="147"/>
      <c r="AD465" s="146"/>
      <c r="AE465" s="147"/>
      <c r="AF465" s="146"/>
      <c r="AG465" s="147"/>
      <c r="AH465" s="146"/>
      <c r="AI465" s="147"/>
      <c r="AJ465" s="146"/>
      <c r="AK465" s="147"/>
      <c r="AL465" s="146"/>
      <c r="AM465" s="137" t="s">
        <v>232</v>
      </c>
    </row>
    <row r="466" spans="1:39" ht="24" customHeight="1" thickBot="1">
      <c r="A466" s="137" t="s">
        <v>233</v>
      </c>
      <c r="B466" s="145">
        <v>39626</v>
      </c>
      <c r="C466" s="145">
        <v>43855</v>
      </c>
      <c r="D466" s="144">
        <v>11</v>
      </c>
      <c r="E466" s="3" t="s">
        <v>61</v>
      </c>
      <c r="F466" s="143" t="s">
        <v>116</v>
      </c>
      <c r="G466" s="142">
        <v>30.615425960763243</v>
      </c>
      <c r="H466" s="11" t="s">
        <v>59</v>
      </c>
      <c r="I466" s="141" t="s">
        <v>62</v>
      </c>
      <c r="J466" s="139"/>
      <c r="K466" s="138"/>
      <c r="L466" s="139"/>
      <c r="M466" s="138"/>
      <c r="N466" s="139"/>
      <c r="O466" s="138"/>
      <c r="P466" s="139"/>
      <c r="Q466" s="138"/>
      <c r="R466" s="139"/>
      <c r="S466" s="138"/>
      <c r="T466" s="139"/>
      <c r="U466" s="138"/>
      <c r="V466" s="139"/>
      <c r="W466" s="138"/>
      <c r="X466" s="140" t="s">
        <v>233</v>
      </c>
      <c r="Y466" s="139"/>
      <c r="Z466" s="138"/>
      <c r="AA466" s="139"/>
      <c r="AB466" s="138"/>
      <c r="AC466" s="139"/>
      <c r="AD466" s="138"/>
      <c r="AE466" s="139"/>
      <c r="AF466" s="138"/>
      <c r="AG466" s="139"/>
      <c r="AH466" s="138"/>
      <c r="AI466" s="139"/>
      <c r="AJ466" s="138"/>
      <c r="AK466" s="139"/>
      <c r="AL466" s="138"/>
      <c r="AM466" s="137" t="s">
        <v>233</v>
      </c>
    </row>
    <row r="468" spans="1:39" ht="24" customHeight="1">
      <c r="I468" s="1" t="s">
        <v>1152</v>
      </c>
      <c r="J468" s="7">
        <f>COUNTIF(J6:J466,"&gt;0")</f>
        <v>276</v>
      </c>
      <c r="K468" s="7">
        <f>COUNTIF(K6:K466,"&gt;0")</f>
        <v>272</v>
      </c>
      <c r="N468" s="7">
        <f>COUNTIF(N6:N466,"&gt;0")</f>
        <v>276</v>
      </c>
      <c r="O468" s="7">
        <f>COUNTIF(O6:O466,"&gt;0")</f>
        <v>272</v>
      </c>
      <c r="R468" s="7">
        <f>COUNTIF(R6:R466,"&gt;0")</f>
        <v>300</v>
      </c>
      <c r="S468" s="7">
        <f>COUNTIF(S6:S466,"&gt;0")</f>
        <v>294</v>
      </c>
      <c r="V468" s="7">
        <f>COUNTIF(V6:V466,"&gt;0")</f>
        <v>419</v>
      </c>
      <c r="W468" s="7">
        <f>COUNTIF(W6:W466,"&gt;0")</f>
        <v>414</v>
      </c>
      <c r="Y468" s="7">
        <f>COUNTIF(Y6:Y466,"&gt;0")</f>
        <v>274</v>
      </c>
      <c r="Z468" s="7">
        <f>COUNTIF(Z6:Z466,"&gt;0")</f>
        <v>274</v>
      </c>
      <c r="AC468" s="7">
        <f>COUNTIF(AC6:AC466,"&gt;0")</f>
        <v>258</v>
      </c>
      <c r="AD468" s="7">
        <f>COUNTIF(AD6:AD466,"&gt;0")</f>
        <v>259</v>
      </c>
      <c r="AG468" s="7">
        <f>COUNTIF(AG6:AG466,"&gt;0")</f>
        <v>275</v>
      </c>
      <c r="AH468" s="7">
        <f>COUNTIF(AH6:AH466,"&gt;0")</f>
        <v>274</v>
      </c>
      <c r="AK468" s="7">
        <f>COUNTIF(AK6:AK466,"&gt;0")</f>
        <v>371</v>
      </c>
      <c r="AL468" s="7">
        <f>COUNTIF(AL6:AL466,"&gt;0")</f>
        <v>371</v>
      </c>
    </row>
    <row r="469" spans="1:39" ht="24" customHeight="1">
      <c r="I469" s="1" t="s">
        <v>1151</v>
      </c>
      <c r="J469" s="7">
        <f>COUNTIF(J6:J466,"-")</f>
        <v>2</v>
      </c>
      <c r="K469" s="7">
        <f>COUNTIF(K6:K466,"-")</f>
        <v>2</v>
      </c>
      <c r="N469" s="7">
        <f>COUNTIF(N6:N466,"-")</f>
        <v>2</v>
      </c>
      <c r="O469" s="7">
        <f>COUNTIF(O6:O466,"-")</f>
        <v>2</v>
      </c>
      <c r="R469" s="7">
        <f>COUNTIF(R6:R466,"-")</f>
        <v>2</v>
      </c>
      <c r="S469" s="7">
        <f>COUNTIF(S6:S466,"-")</f>
        <v>2</v>
      </c>
      <c r="V469" s="7">
        <f>COUNTIF(V6:V466,"-")</f>
        <v>0</v>
      </c>
      <c r="W469" s="7">
        <f>COUNTIF(W6:W466,"-")</f>
        <v>0</v>
      </c>
      <c r="Y469" s="7">
        <f>COUNTIF(Y6:Y466,"-")</f>
        <v>3</v>
      </c>
      <c r="Z469" s="7">
        <f>COUNTIF(Z6:Z466,"-")</f>
        <v>2</v>
      </c>
      <c r="AC469" s="7">
        <f>COUNTIF(AC6:AC466,"-")</f>
        <v>20</v>
      </c>
      <c r="AD469" s="7">
        <f>COUNTIF(AD6:AD466,"-")</f>
        <v>17</v>
      </c>
      <c r="AG469" s="7">
        <f>COUNTIF(AG6:AG466,"-")</f>
        <v>3</v>
      </c>
      <c r="AH469" s="7">
        <f>COUNTIF(AH6:AH466,"-")</f>
        <v>2</v>
      </c>
      <c r="AK469" s="7">
        <f>COUNTIF(AK6:AK466,"-")</f>
        <v>6</v>
      </c>
      <c r="AL469" s="7">
        <f>COUNTIF(AL6:AL466,"-")</f>
        <v>2</v>
      </c>
    </row>
  </sheetData>
  <mergeCells count="40">
    <mergeCell ref="Y1:AL1"/>
    <mergeCell ref="AK2:AL2"/>
    <mergeCell ref="AC2:AF2"/>
    <mergeCell ref="AG2:AJ2"/>
    <mergeCell ref="V2:W2"/>
    <mergeCell ref="Y2:AB2"/>
    <mergeCell ref="AG4:AH4"/>
    <mergeCell ref="AI4:AJ4"/>
    <mergeCell ref="AK4:AL4"/>
    <mergeCell ref="Y4:Z4"/>
    <mergeCell ref="AA4:AB4"/>
    <mergeCell ref="AC4:AD4"/>
    <mergeCell ref="AE4:AF4"/>
    <mergeCell ref="AI3:AJ3"/>
    <mergeCell ref="B3:D3"/>
    <mergeCell ref="AK3:AL3"/>
    <mergeCell ref="Y3:Z3"/>
    <mergeCell ref="AA3:AB3"/>
    <mergeCell ref="AC3:AD3"/>
    <mergeCell ref="AE3:AF3"/>
    <mergeCell ref="AG3:AH3"/>
    <mergeCell ref="V4:W4"/>
    <mergeCell ref="J4:K4"/>
    <mergeCell ref="L4:M4"/>
    <mergeCell ref="N4:O4"/>
    <mergeCell ref="P4:Q4"/>
    <mergeCell ref="R4:S4"/>
    <mergeCell ref="T4:U4"/>
    <mergeCell ref="R2:U2"/>
    <mergeCell ref="J1:W1"/>
    <mergeCell ref="A1:H2"/>
    <mergeCell ref="T3:U3"/>
    <mergeCell ref="V3:W3"/>
    <mergeCell ref="J3:K3"/>
    <mergeCell ref="L3:M3"/>
    <mergeCell ref="N3:O3"/>
    <mergeCell ref="P3:Q3"/>
    <mergeCell ref="R3:S3"/>
    <mergeCell ref="J2:M2"/>
    <mergeCell ref="N2:Q2"/>
  </mergeCells>
  <conditionalFormatting sqref="J6:K466">
    <cfRule type="colorScale" priority="27">
      <colorScale>
        <cfvo type="min"/>
        <cfvo type="max"/>
        <color rgb="FFFCFCFF"/>
        <color rgb="FF63BE7B"/>
      </colorScale>
    </cfRule>
  </conditionalFormatting>
  <conditionalFormatting sqref="K6:K466">
    <cfRule type="expression" dxfId="13" priority="28">
      <formula>AND(K6/J6&gt;=2,K6&gt;0)</formula>
    </cfRule>
  </conditionalFormatting>
  <conditionalFormatting sqref="Y6:Z466">
    <cfRule type="colorScale" priority="25">
      <colorScale>
        <cfvo type="min"/>
        <cfvo type="max"/>
        <color rgb="FFFCFCFF"/>
        <color rgb="FF0070C0"/>
      </colorScale>
    </cfRule>
    <cfRule type="expression" dxfId="12" priority="26">
      <formula>AND(Y6/X6&gt;=2,Y6&gt;0)</formula>
    </cfRule>
  </conditionalFormatting>
  <conditionalFormatting sqref="L6:M466">
    <cfRule type="colorScale" priority="23">
      <colorScale>
        <cfvo type="min"/>
        <cfvo type="max"/>
        <color rgb="FFFCFCFF"/>
        <color rgb="FF63BE7B"/>
      </colorScale>
    </cfRule>
  </conditionalFormatting>
  <conditionalFormatting sqref="M6:M466">
    <cfRule type="expression" dxfId="11" priority="24">
      <formula>AND(M6/L6&gt;=2,M6&gt;0)</formula>
    </cfRule>
  </conditionalFormatting>
  <conditionalFormatting sqref="N6:O466">
    <cfRule type="colorScale" priority="21">
      <colorScale>
        <cfvo type="min"/>
        <cfvo type="max"/>
        <color rgb="FFFCFCFF"/>
        <color rgb="FF63BE7B"/>
      </colorScale>
    </cfRule>
  </conditionalFormatting>
  <conditionalFormatting sqref="O6:O466">
    <cfRule type="expression" dxfId="10" priority="22">
      <formula>AND(O6/N6&gt;=2,O6&gt;0)</formula>
    </cfRule>
  </conditionalFormatting>
  <conditionalFormatting sqref="P6:Q466">
    <cfRule type="colorScale" priority="19">
      <colorScale>
        <cfvo type="min"/>
        <cfvo type="max"/>
        <color rgb="FFFCFCFF"/>
        <color rgb="FF63BE7B"/>
      </colorScale>
    </cfRule>
  </conditionalFormatting>
  <conditionalFormatting sqref="Q6:Q466">
    <cfRule type="expression" dxfId="9" priority="20">
      <formula>AND(Q6/P6&gt;=2,Q6&gt;0)</formula>
    </cfRule>
  </conditionalFormatting>
  <conditionalFormatting sqref="R6:S466">
    <cfRule type="colorScale" priority="17">
      <colorScale>
        <cfvo type="min"/>
        <cfvo type="max"/>
        <color rgb="FFFCFCFF"/>
        <color rgb="FF63BE7B"/>
      </colorScale>
    </cfRule>
  </conditionalFormatting>
  <conditionalFormatting sqref="S6:S466">
    <cfRule type="expression" dxfId="8" priority="18">
      <formula>AND(S6/R6&gt;=2,S6&gt;0)</formula>
    </cfRule>
  </conditionalFormatting>
  <conditionalFormatting sqref="T6:U466">
    <cfRule type="colorScale" priority="15">
      <colorScale>
        <cfvo type="min"/>
        <cfvo type="max"/>
        <color rgb="FFFCFCFF"/>
        <color rgb="FF63BE7B"/>
      </colorScale>
    </cfRule>
  </conditionalFormatting>
  <conditionalFormatting sqref="U6:U466">
    <cfRule type="expression" dxfId="7" priority="16">
      <formula>AND(U6/T6&gt;=2,U6&gt;0)</formula>
    </cfRule>
  </conditionalFormatting>
  <conditionalFormatting sqref="V6:W466">
    <cfRule type="colorScale" priority="13">
      <colorScale>
        <cfvo type="min"/>
        <cfvo type="max"/>
        <color rgb="FFFCFCFF"/>
        <color rgb="FF63BE7B"/>
      </colorScale>
    </cfRule>
  </conditionalFormatting>
  <conditionalFormatting sqref="W6:W466">
    <cfRule type="expression" dxfId="6" priority="14">
      <formula>AND(W6/V6&gt;=2,W6&gt;0)</formula>
    </cfRule>
  </conditionalFormatting>
  <conditionalFormatting sqref="AA6:AB466">
    <cfRule type="colorScale" priority="11">
      <colorScale>
        <cfvo type="min"/>
        <cfvo type="max"/>
        <color rgb="FFFCFCFF"/>
        <color rgb="FF0070C0"/>
      </colorScale>
    </cfRule>
    <cfRule type="expression" dxfId="5" priority="12">
      <formula>AND(AA6/Z6&gt;=2,AA6&gt;0)</formula>
    </cfRule>
  </conditionalFormatting>
  <conditionalFormatting sqref="AC6:AD466">
    <cfRule type="colorScale" priority="9">
      <colorScale>
        <cfvo type="min"/>
        <cfvo type="max"/>
        <color rgb="FFFCFCFF"/>
        <color rgb="FF0070C0"/>
      </colorScale>
    </cfRule>
    <cfRule type="expression" dxfId="4" priority="10">
      <formula>AND(AC6/AB6&gt;=2,AC6&gt;0)</formula>
    </cfRule>
  </conditionalFormatting>
  <conditionalFormatting sqref="AE6:AF466">
    <cfRule type="colorScale" priority="7">
      <colorScale>
        <cfvo type="min"/>
        <cfvo type="max"/>
        <color rgb="FFFCFCFF"/>
        <color rgb="FF0070C0"/>
      </colorScale>
    </cfRule>
    <cfRule type="expression" dxfId="3" priority="8">
      <formula>AND(AE6/AD6&gt;=2,AE6&gt;0)</formula>
    </cfRule>
  </conditionalFormatting>
  <conditionalFormatting sqref="AG6:AH466">
    <cfRule type="colorScale" priority="5">
      <colorScale>
        <cfvo type="min"/>
        <cfvo type="max"/>
        <color rgb="FFFCFCFF"/>
        <color rgb="FF0070C0"/>
      </colorScale>
    </cfRule>
    <cfRule type="expression" dxfId="2" priority="6">
      <formula>AND(AG6/AF6&gt;=2,AG6&gt;0)</formula>
    </cfRule>
  </conditionalFormatting>
  <conditionalFormatting sqref="AI6:AJ466">
    <cfRule type="colorScale" priority="3">
      <colorScale>
        <cfvo type="min"/>
        <cfvo type="max"/>
        <color rgb="FFFCFCFF"/>
        <color rgb="FF0070C0"/>
      </colorScale>
    </cfRule>
    <cfRule type="expression" dxfId="1" priority="4">
      <formula>AND(AI6/AH6&gt;=2,AI6&gt;0)</formula>
    </cfRule>
  </conditionalFormatting>
  <conditionalFormatting sqref="AK6:AL466">
    <cfRule type="colorScale" priority="1">
      <colorScale>
        <cfvo type="min"/>
        <cfvo type="max"/>
        <color rgb="FFFCFCFF"/>
        <color rgb="FF0070C0"/>
      </colorScale>
    </cfRule>
    <cfRule type="expression" dxfId="0" priority="2">
      <formula>AND(AK6/AJ6&gt;=2,AK6&gt;0)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UGA4 2019-20 Cohort</vt:lpstr>
      <vt:lpstr>UGA4 (19-20) HAIs</vt:lpstr>
      <vt:lpstr>UGA4 (19-20) ELISAs</vt:lpstr>
      <vt:lpstr>'UGA4 (19-20) HAIs'!Print_Area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Carlock</dc:creator>
  <cp:keywords/>
  <dc:description/>
  <cp:lastModifiedBy>User</cp:lastModifiedBy>
  <cp:revision/>
  <cp:lastPrinted>2020-03-16T22:08:23Z</cp:lastPrinted>
  <dcterms:created xsi:type="dcterms:W3CDTF">2014-03-12T21:28:17Z</dcterms:created>
  <dcterms:modified xsi:type="dcterms:W3CDTF">2021-03-17T20:53:36Z</dcterms:modified>
  <cp:category/>
  <cp:contentStatus/>
</cp:coreProperties>
</file>