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24"/>
  <workbookPr showInkAnnotation="0" autoCompressPictures="0"/>
  <workbookProtection workbookPassword="B4E6" lockStructure="1" lockWindows="1"/>
  <bookViews>
    <workbookView xWindow="960" yWindow="360" windowWidth="25680" windowHeight="1512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" l="1"/>
  <c r="H17" i="1"/>
  <c r="C2" i="2"/>
  <c r="H10" i="1"/>
  <c r="H18" i="1"/>
  <c r="C3" i="2"/>
  <c r="B4" i="2"/>
  <c r="B5" i="2"/>
  <c r="B8" i="2"/>
  <c r="H11" i="1"/>
  <c r="H21" i="1"/>
  <c r="H20" i="1"/>
  <c r="C5" i="2"/>
  <c r="H19" i="1"/>
  <c r="C4" i="2"/>
  <c r="C6" i="2"/>
  <c r="H16" i="1"/>
  <c r="H22" i="1"/>
  <c r="C7" i="2"/>
  <c r="H23" i="1"/>
  <c r="C8" i="2"/>
  <c r="H24" i="1"/>
  <c r="H30" i="1"/>
  <c r="J29" i="1"/>
  <c r="J13" i="1"/>
  <c r="J14" i="1"/>
  <c r="J15" i="1"/>
  <c r="J11" i="1"/>
  <c r="H29" i="1"/>
  <c r="C14" i="2"/>
  <c r="B6" i="2"/>
  <c r="C9" i="2"/>
  <c r="H25" i="1"/>
  <c r="C10" i="2"/>
  <c r="H26" i="1"/>
  <c r="C11" i="2"/>
  <c r="J20" i="1"/>
  <c r="J21" i="1"/>
  <c r="J22" i="1"/>
  <c r="J23" i="1"/>
  <c r="J24" i="1"/>
  <c r="H31" i="1"/>
  <c r="C16" i="2"/>
  <c r="J25" i="1"/>
  <c r="J30" i="1"/>
  <c r="J31" i="1"/>
  <c r="C15" i="2"/>
  <c r="J28" i="1"/>
</calcChain>
</file>

<file path=xl/sharedStrings.xml><?xml version="1.0" encoding="utf-8"?>
<sst xmlns="http://schemas.openxmlformats.org/spreadsheetml/2006/main" count="35" uniqueCount="35">
  <si>
    <t>Including Integration?</t>
  </si>
  <si>
    <t>Including Differentiation?</t>
  </si>
  <si>
    <t>Must do Chem?</t>
  </si>
  <si>
    <t>Must do Cosc?</t>
  </si>
  <si>
    <t>Must do 114?</t>
  </si>
  <si>
    <t>Should do HeadStart Chem?</t>
  </si>
  <si>
    <t>First Semester Courses</t>
  </si>
  <si>
    <t>ENGR101</t>
  </si>
  <si>
    <t>ENGR100</t>
  </si>
  <si>
    <t>Second Semester Courses</t>
  </si>
  <si>
    <t>Summer Semester</t>
  </si>
  <si>
    <t>Discipline Options</t>
  </si>
  <si>
    <t>NCEA Background</t>
  </si>
  <si>
    <t>Your Course Selection Advice Is As Follows:</t>
  </si>
  <si>
    <t>Choose "1" in Green Cells for "Yes". Leave blank or delete for "No"</t>
  </si>
  <si>
    <t>Select the types of Engineering are you interested in below</t>
  </si>
  <si>
    <t>Chemical &amp; Process Engineering</t>
  </si>
  <si>
    <t>Civil Engineering</t>
  </si>
  <si>
    <t>Natural Resources Engineering</t>
  </si>
  <si>
    <t>Forest Engineering</t>
  </si>
  <si>
    <t>Mechanical Engineering</t>
  </si>
  <si>
    <t>Mechatronics Engineering</t>
  </si>
  <si>
    <t>Electrical &amp; Electronic Engineering</t>
  </si>
  <si>
    <t>Computer Engineering</t>
  </si>
  <si>
    <t>Software Engineering</t>
  </si>
  <si>
    <t>Do you expect Excellence Endorsement in any subject?</t>
  </si>
  <si>
    <t>Notes and Further Advice</t>
  </si>
  <si>
    <t>Hit "Enter" to update Course Selection Advice</t>
  </si>
  <si>
    <t>("1" means you are interested; blank or delete means you are not)</t>
  </si>
  <si>
    <t>Engineering Intermediate Course Selection Adviser</t>
  </si>
  <si>
    <t>Are you doing &gt; 14 credits in NCEA L3 Maths?</t>
  </si>
  <si>
    <t>Are you doing &gt; 14 credits in NCEA L3 Physics?</t>
  </si>
  <si>
    <t>Are you doing &gt; 14 credits in NCEA L3 Chemistry?</t>
  </si>
  <si>
    <t>Did you complete NCEA L2 Chemistry?</t>
  </si>
  <si>
    <t>Are you doing or have you completed STAR Maths?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</si>
</sst>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b/>
      <sz val="14"/>
      <color theme="1"/>
      <name val="Calibri"/>
      <scheme val="minor"/>
    </font>
    <font>
      <b/>
      <sz val="16"/>
      <color theme="1"/>
      <name val="Calibri"/>
      <scheme val="minor"/>
    </font>
    <font>
      <b/>
      <sz val="18"/>
      <color theme="1"/>
      <name val="Calibri"/>
      <scheme val="minor"/>
    </font>
    <font>
      <b/>
      <u/>
      <sz val="12"/>
      <color theme="1"/>
      <name val="Calibri"/>
      <scheme val="minor"/>
    </font>
    <font>
      <u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4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4" xfId="0" applyBorder="1"/>
    <xf numFmtId="0" fontId="0" fillId="0" borderId="4" xfId="0" applyBorder="1" applyAlignment="1">
      <alignment horizontal="right"/>
    </xf>
    <xf numFmtId="0" fontId="5" fillId="0" borderId="0" xfId="0" applyFont="1"/>
    <xf numFmtId="0" fontId="6" fillId="0" borderId="0" xfId="0" applyFont="1"/>
    <xf numFmtId="0" fontId="0" fillId="2" borderId="3" xfId="0" applyFill="1" applyBorder="1" applyProtection="1">
      <protection locked="0"/>
    </xf>
    <xf numFmtId="0" fontId="0" fillId="2" borderId="5" xfId="0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9" xfId="0" applyBorder="1"/>
    <xf numFmtId="0" fontId="1" fillId="0" borderId="9" xfId="0" applyFont="1" applyBorder="1"/>
    <xf numFmtId="0" fontId="4" fillId="0" borderId="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Font="1" applyBorder="1"/>
    <xf numFmtId="0" fontId="0" fillId="0" borderId="9" xfId="0" applyFont="1" applyBorder="1"/>
    <xf numFmtId="0" fontId="6" fillId="0" borderId="6" xfId="0" applyFont="1" applyBorder="1"/>
    <xf numFmtId="0" fontId="0" fillId="0" borderId="14" xfId="0" applyBorder="1"/>
    <xf numFmtId="0" fontId="0" fillId="0" borderId="15" xfId="0" applyBorder="1"/>
    <xf numFmtId="0" fontId="1" fillId="0" borderId="15" xfId="0" applyFont="1" applyBorder="1"/>
    <xf numFmtId="0" fontId="1" fillId="0" borderId="11" xfId="0" applyFont="1" applyBorder="1"/>
    <xf numFmtId="0" fontId="7" fillId="0" borderId="0" xfId="0" applyFont="1"/>
    <xf numFmtId="0" fontId="8" fillId="0" borderId="0" xfId="0" applyFont="1" applyBorder="1"/>
    <xf numFmtId="0" fontId="9" fillId="0" borderId="0" xfId="0" applyFont="1" applyBorder="1"/>
    <xf numFmtId="0" fontId="7" fillId="0" borderId="0" xfId="0" applyFont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2:Q32"/>
  <sheetViews>
    <sheetView windowProtection="1" tabSelected="1" topLeftCell="A2" workbookViewId="0">
      <selection activeCell="F9" sqref="F9"/>
    </sheetView>
  </sheetViews>
  <sheetFormatPr baseColWidth="10" defaultRowHeight="15" x14ac:dyDescent="0"/>
  <cols>
    <col min="4" max="4" width="18.83203125" customWidth="1"/>
    <col min="6" max="6" width="24.6640625" customWidth="1"/>
  </cols>
  <sheetData>
    <row r="2" spans="1:17" ht="23">
      <c r="F2" s="33" t="s">
        <v>29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ht="16" thickBot="1"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ht="20">
      <c r="A4" s="25" t="s">
        <v>14</v>
      </c>
      <c r="B4" s="14"/>
      <c r="C4" s="14"/>
      <c r="D4" s="14"/>
      <c r="E4" s="14"/>
      <c r="F4" s="15"/>
      <c r="G4" s="25" t="s">
        <v>13</v>
      </c>
      <c r="H4" s="14"/>
      <c r="I4" s="14"/>
      <c r="J4" s="14"/>
      <c r="K4" s="14"/>
      <c r="L4" s="14"/>
      <c r="M4" s="14"/>
      <c r="N4" s="14"/>
      <c r="O4" s="14"/>
      <c r="P4" s="14"/>
      <c r="Q4" s="15"/>
    </row>
    <row r="5" spans="1:17">
      <c r="A5" s="17"/>
      <c r="B5" s="5"/>
      <c r="C5" s="5"/>
      <c r="D5" s="5"/>
      <c r="E5" s="5"/>
      <c r="F5" s="16"/>
      <c r="G5" s="17"/>
      <c r="H5" s="5"/>
      <c r="I5" s="5"/>
      <c r="J5" s="5"/>
      <c r="K5" s="5"/>
      <c r="L5" s="5"/>
      <c r="M5" s="5"/>
      <c r="N5" s="5"/>
      <c r="O5" s="5"/>
      <c r="P5" s="5"/>
      <c r="Q5" s="16"/>
    </row>
    <row r="6" spans="1:17">
      <c r="A6" s="26"/>
      <c r="B6" s="2"/>
      <c r="C6" s="3" t="s">
        <v>12</v>
      </c>
      <c r="D6" s="2"/>
      <c r="E6" s="4"/>
      <c r="F6" s="16"/>
      <c r="G6" s="18" t="s">
        <v>6</v>
      </c>
      <c r="H6" s="23"/>
      <c r="I6" s="23"/>
      <c r="J6" s="31" t="s">
        <v>26</v>
      </c>
      <c r="K6" s="32"/>
      <c r="L6" s="23"/>
      <c r="M6" s="5"/>
      <c r="N6" s="5"/>
      <c r="O6" s="5"/>
      <c r="P6" s="5"/>
      <c r="Q6" s="16"/>
    </row>
    <row r="7" spans="1:17">
      <c r="A7" s="17"/>
      <c r="B7" s="5"/>
      <c r="C7" s="5"/>
      <c r="D7" s="6" t="s">
        <v>34</v>
      </c>
      <c r="E7" s="11"/>
      <c r="F7" s="16"/>
      <c r="G7" s="18"/>
      <c r="H7" s="23" t="s">
        <v>8</v>
      </c>
      <c r="I7" s="23"/>
      <c r="J7" s="23"/>
      <c r="K7" s="23"/>
      <c r="L7" s="23"/>
      <c r="M7" s="5"/>
      <c r="N7" s="5"/>
      <c r="O7" s="5"/>
      <c r="P7" s="5"/>
      <c r="Q7" s="16"/>
    </row>
    <row r="8" spans="1:17">
      <c r="A8" s="17"/>
      <c r="B8" s="5"/>
      <c r="C8" s="5"/>
      <c r="D8" s="6" t="s">
        <v>30</v>
      </c>
      <c r="E8" s="11"/>
      <c r="F8" s="16"/>
      <c r="G8" s="18"/>
      <c r="H8" s="23" t="s">
        <v>7</v>
      </c>
      <c r="I8" s="23"/>
      <c r="J8" s="23"/>
      <c r="K8" s="23"/>
      <c r="L8" s="23"/>
      <c r="M8" s="5"/>
      <c r="N8" s="5"/>
      <c r="O8" s="5"/>
      <c r="P8" s="5"/>
      <c r="Q8" s="16"/>
    </row>
    <row r="9" spans="1:17">
      <c r="A9" s="17"/>
      <c r="B9" s="5"/>
      <c r="C9" s="5"/>
      <c r="D9" s="6" t="s">
        <v>1</v>
      </c>
      <c r="E9" s="11"/>
      <c r="F9" s="16"/>
      <c r="G9" s="18"/>
      <c r="H9" s="23" t="str">
        <f>IF(AND(SUM(E8:E10)=3,E7=0),"EMTH118",IF(E7&gt;0,"EMTH210","MATH101"))</f>
        <v>MATH101</v>
      </c>
      <c r="I9" s="23"/>
      <c r="J9" s="23"/>
      <c r="K9" s="23"/>
      <c r="L9" s="23"/>
      <c r="M9" s="5"/>
      <c r="N9" s="5"/>
      <c r="O9" s="5"/>
      <c r="P9" s="5"/>
      <c r="Q9" s="16"/>
    </row>
    <row r="10" spans="1:17">
      <c r="A10" s="17"/>
      <c r="B10" s="5"/>
      <c r="C10" s="5"/>
      <c r="D10" s="6" t="s">
        <v>0</v>
      </c>
      <c r="E10" s="11"/>
      <c r="F10" s="16"/>
      <c r="G10" s="18"/>
      <c r="H10" s="23" t="str">
        <f>IF(AND(E11=1,OR(SUM(E8:E10)=3,E7=1)),"PHYS101","PHYS111")</f>
        <v>PHYS111</v>
      </c>
      <c r="I10" s="23"/>
      <c r="J10" s="23"/>
      <c r="K10" s="23"/>
      <c r="L10" s="23"/>
      <c r="M10" s="5"/>
      <c r="N10" s="5"/>
      <c r="O10" s="5"/>
      <c r="P10" s="5"/>
      <c r="Q10" s="16"/>
    </row>
    <row r="11" spans="1:17">
      <c r="A11" s="17"/>
      <c r="B11" s="5"/>
      <c r="C11" s="5"/>
      <c r="D11" s="6" t="s">
        <v>31</v>
      </c>
      <c r="E11" s="11"/>
      <c r="F11" s="16"/>
      <c r="G11" s="18"/>
      <c r="H11" s="23" t="str">
        <f>IF(Sheet2!B5,"CHEM114",IF(Sheet2!B8=1,"COSC121",IF(Sheet2!B4=1,"CHEM111","Free Option")))</f>
        <v>Free Option</v>
      </c>
      <c r="J11" s="23" t="str">
        <f>IF(AND(H11="CHEM114",E13=0),"Enrolment in Headstart Chemistry during previous summer strongly advised",IF(OR(H11="CHEM111",H11="COSC121"),"NOTE: both CHEM111 and COSC122 are also available in Semester 2, so their order can be swapped",""))</f>
        <v/>
      </c>
      <c r="K11" s="23"/>
      <c r="L11" s="23"/>
      <c r="M11" s="5"/>
      <c r="N11" s="5"/>
      <c r="O11" s="5"/>
      <c r="P11" s="5"/>
      <c r="Q11" s="16"/>
    </row>
    <row r="12" spans="1:17">
      <c r="A12" s="17"/>
      <c r="B12" s="5"/>
      <c r="C12" s="5"/>
      <c r="D12" s="6" t="s">
        <v>32</v>
      </c>
      <c r="E12" s="11"/>
      <c r="F12" s="16"/>
      <c r="G12" s="18"/>
      <c r="H12" s="23"/>
      <c r="I12" s="23"/>
      <c r="J12" s="23"/>
      <c r="K12" s="23"/>
      <c r="L12" s="23"/>
      <c r="M12" s="5"/>
      <c r="N12" s="5"/>
      <c r="O12" s="5"/>
      <c r="P12" s="5"/>
      <c r="Q12" s="16"/>
    </row>
    <row r="13" spans="1:17">
      <c r="A13" s="17"/>
      <c r="B13" s="5"/>
      <c r="C13" s="5"/>
      <c r="D13" s="6" t="s">
        <v>33</v>
      </c>
      <c r="E13" s="11"/>
      <c r="F13" s="16"/>
      <c r="G13" s="18"/>
      <c r="H13" s="23"/>
      <c r="I13" s="23"/>
      <c r="J13" s="19" t="str">
        <f>IF(E14=1,"Consult Student Advisers. You may be eligible for a Modified Intermediate","")</f>
        <v/>
      </c>
      <c r="K13" s="23"/>
      <c r="L13" s="23"/>
      <c r="M13" s="5"/>
      <c r="N13" s="5"/>
      <c r="O13" s="5"/>
      <c r="P13" s="5"/>
      <c r="Q13" s="16"/>
    </row>
    <row r="14" spans="1:17">
      <c r="A14" s="27"/>
      <c r="B14" s="7"/>
      <c r="C14" s="7"/>
      <c r="D14" s="8" t="s">
        <v>25</v>
      </c>
      <c r="E14" s="12"/>
      <c r="F14" s="16"/>
      <c r="G14" s="18"/>
      <c r="H14" s="23"/>
      <c r="I14" s="23"/>
      <c r="J14" s="1" t="str">
        <f>IF(J13="Consult Student Advisers. You may be eligible for a Modified Intermediate","guaranteed entry to your first choice of engineering discipline,","")</f>
        <v/>
      </c>
      <c r="K14" s="23"/>
      <c r="L14" s="23"/>
      <c r="M14" s="5"/>
      <c r="N14" s="5"/>
      <c r="O14" s="5"/>
      <c r="P14" s="5"/>
      <c r="Q14" s="16"/>
    </row>
    <row r="15" spans="1:17">
      <c r="G15" s="18" t="s">
        <v>9</v>
      </c>
      <c r="H15" s="23"/>
      <c r="I15" s="23"/>
      <c r="J15" s="19" t="str">
        <f>IF(J14="guaranteed entry to your first choice of engineering discipline,","or even Direct Entry to the 1st Professional Year","")</f>
        <v/>
      </c>
      <c r="K15" s="23"/>
      <c r="L15" s="23"/>
      <c r="M15" s="5"/>
      <c r="N15" s="5"/>
      <c r="O15" s="5"/>
      <c r="P15" s="5"/>
      <c r="Q15" s="16"/>
    </row>
    <row r="16" spans="1:17" ht="23">
      <c r="A16" s="30" t="s">
        <v>15</v>
      </c>
      <c r="G16" s="18"/>
      <c r="H16" s="23" t="str">
        <f>IF(E28=1,"MATH120","EMTH171")</f>
        <v>EMTH171</v>
      </c>
      <c r="I16" s="23"/>
      <c r="J16" s="23"/>
      <c r="K16" s="23"/>
      <c r="L16" s="23"/>
      <c r="M16" s="5"/>
      <c r="N16" s="5"/>
      <c r="O16" s="5"/>
      <c r="P16" s="5"/>
      <c r="Q16" s="16"/>
    </row>
    <row r="17" spans="1:17" ht="18">
      <c r="A17" s="9" t="s">
        <v>28</v>
      </c>
      <c r="G17" s="18"/>
      <c r="H17" s="23" t="str">
        <f>IF(H9="MATH101","EMTH118",IF(H9="EMTH210","","EMTH119"))</f>
        <v>EMTH118</v>
      </c>
      <c r="I17" s="23"/>
      <c r="J17" s="23"/>
      <c r="K17" s="23"/>
      <c r="L17" s="23"/>
      <c r="M17" s="5"/>
      <c r="N17" s="5"/>
      <c r="O17" s="5"/>
      <c r="P17" s="5"/>
      <c r="Q17" s="16"/>
    </row>
    <row r="18" spans="1:17" ht="20">
      <c r="A18" s="10" t="s">
        <v>27</v>
      </c>
      <c r="G18" s="18"/>
      <c r="H18" s="23" t="str">
        <f>IF(H10="PHYS111","PHYS101","")</f>
        <v>PHYS101</v>
      </c>
      <c r="I18" s="23"/>
      <c r="J18" s="23"/>
      <c r="K18" s="23"/>
      <c r="L18" s="23"/>
      <c r="M18" s="5"/>
      <c r="N18" s="5"/>
      <c r="O18" s="5"/>
      <c r="P18" s="5"/>
      <c r="Q18" s="16"/>
    </row>
    <row r="19" spans="1:17">
      <c r="A19" s="26"/>
      <c r="B19" s="2"/>
      <c r="C19" s="3" t="s">
        <v>11</v>
      </c>
      <c r="D19" s="2"/>
      <c r="E19" s="13"/>
      <c r="F19" s="16"/>
      <c r="H19" t="str">
        <f>IF(AND(SUM(E25:E28)&gt;0,NOT(H11="COSC121")),"COSC121","")</f>
        <v/>
      </c>
      <c r="I19" s="23"/>
      <c r="J19" s="23"/>
      <c r="K19" s="23"/>
      <c r="L19" s="23"/>
      <c r="M19" s="5"/>
      <c r="N19" s="5"/>
      <c r="O19" s="5"/>
      <c r="P19" s="5"/>
      <c r="Q19" s="16"/>
    </row>
    <row r="20" spans="1:17">
      <c r="A20" s="18"/>
      <c r="B20" s="5"/>
      <c r="C20" s="5"/>
      <c r="D20" s="6" t="s">
        <v>16</v>
      </c>
      <c r="E20" s="11"/>
      <c r="F20" s="16"/>
      <c r="G20" s="18"/>
      <c r="H20" s="23" t="str">
        <f>IF(OR(SUM(E21:E25)=0,H17="EMTH118"),"",IF(NOT(H21="CHEM111"),"ENGR102",""))</f>
        <v/>
      </c>
      <c r="I20" s="23"/>
      <c r="J20" s="19" t="str">
        <f>IF(SUM(Sheet2!C1:C11)&gt;4,"WARNING: Consult Student Advisers: Special permission needed for more than 60 points","")</f>
        <v/>
      </c>
      <c r="K20" s="23"/>
      <c r="L20" s="23"/>
      <c r="M20" s="5"/>
      <c r="N20" s="5"/>
      <c r="O20" s="5"/>
      <c r="P20" s="5"/>
      <c r="Q20" s="16"/>
    </row>
    <row r="21" spans="1:17">
      <c r="A21" s="18"/>
      <c r="B21" s="5"/>
      <c r="C21" s="5"/>
      <c r="D21" s="6" t="s">
        <v>17</v>
      </c>
      <c r="E21" s="11"/>
      <c r="F21" s="16"/>
      <c r="G21" s="18"/>
      <c r="H21" s="23" t="str">
        <f>IF(AND(Sheet2!B4=1,NOT(H11="CHEM111")),"CHEM111","")</f>
        <v/>
      </c>
      <c r="I21" s="23"/>
      <c r="J21" s="23" t="str">
        <f>IF(J20="WARNING: Consult Student Advisers: Special permission needed for more than 60 points","Try changing your chosen Discipline Options to reduce constraints","")</f>
        <v/>
      </c>
      <c r="K21" s="23"/>
      <c r="L21" s="23"/>
      <c r="M21" s="5"/>
      <c r="N21" s="5"/>
      <c r="O21" s="5"/>
      <c r="P21" s="5"/>
      <c r="Q21" s="16"/>
    </row>
    <row r="22" spans="1:17">
      <c r="A22" s="18"/>
      <c r="B22" s="5"/>
      <c r="C22" s="5"/>
      <c r="D22" s="6" t="s">
        <v>18</v>
      </c>
      <c r="E22" s="11"/>
      <c r="F22" s="16"/>
      <c r="G22" s="18"/>
      <c r="H22" s="23" t="str">
        <f>IF(AND(SUM(E20:E25)&gt;0,NOT(H16="EMTH171")),"EMTH171","")</f>
        <v/>
      </c>
      <c r="I22" s="23"/>
      <c r="J22" s="23" t="str">
        <f>IF(J21="Try changing your chosen Discipline Options to reduce constraints","Otherwise, you may need at least a summer semester or a 2-year Intermediate pathway","")</f>
        <v/>
      </c>
      <c r="K22" s="23"/>
      <c r="L22" s="23"/>
      <c r="M22" s="5"/>
      <c r="N22" s="5"/>
      <c r="O22" s="5"/>
      <c r="P22" s="5"/>
      <c r="Q22" s="16"/>
    </row>
    <row r="23" spans="1:17">
      <c r="A23" s="18"/>
      <c r="B23" s="5"/>
      <c r="C23" s="5"/>
      <c r="D23" s="6" t="s">
        <v>19</v>
      </c>
      <c r="E23" s="11"/>
      <c r="F23" s="16"/>
      <c r="G23" s="24"/>
      <c r="H23" s="23" t="str">
        <f>IF(AND(E28=1,SUM(Sheet2!C1:C7)&lt;4),"COSC122","")</f>
        <v/>
      </c>
      <c r="I23" s="23"/>
      <c r="J23" s="23" t="str">
        <f>IF(J22="Otherwise, you may need at least a summer semester or a 2-year Intermediate pathway","NOTE: ENGR102, EMTH119 and COSC122 are available in the summer,","")</f>
        <v/>
      </c>
      <c r="K23" s="23"/>
      <c r="L23" s="23"/>
      <c r="M23" s="5"/>
      <c r="N23" s="5"/>
      <c r="O23" s="5"/>
      <c r="P23" s="5"/>
      <c r="Q23" s="16"/>
    </row>
    <row r="24" spans="1:17">
      <c r="A24" s="18"/>
      <c r="B24" s="5"/>
      <c r="C24" s="5"/>
      <c r="D24" s="6" t="s">
        <v>20</v>
      </c>
      <c r="E24" s="11"/>
      <c r="F24" s="16"/>
      <c r="G24" s="24"/>
      <c r="H24" s="23" t="str">
        <f>IF(AND(SUM(Sheet2!C1:C8)&lt;4,SUM(E21:E25)&gt;0,NOT(H20="ENGR102")),"ENGR102",IF(SUM(Sheet2!C1:C8)&lt;4,"Free Option",""))</f>
        <v>Free Option</v>
      </c>
      <c r="I24" s="23"/>
      <c r="J24" s="23" t="str">
        <f>IF(J23="NOTE: ENGR102, EMTH119 and COSC122 are available in the summer,","however, ENGR102 must be taken with or after EMTH119, not before it","")</f>
        <v/>
      </c>
      <c r="K24" s="23"/>
      <c r="L24" s="23"/>
      <c r="M24" s="5"/>
      <c r="N24" s="5"/>
      <c r="O24" s="5"/>
      <c r="P24" s="5"/>
      <c r="Q24" s="16"/>
    </row>
    <row r="25" spans="1:17">
      <c r="A25" s="18"/>
      <c r="B25" s="5"/>
      <c r="C25" s="5"/>
      <c r="D25" s="6" t="s">
        <v>21</v>
      </c>
      <c r="E25" s="11"/>
      <c r="F25" s="16"/>
      <c r="G25" s="18"/>
      <c r="H25" s="23" t="str">
        <f>IF(SUM(Sheet2!C1:C9)&lt;4,"Free Option","")</f>
        <v/>
      </c>
      <c r="I25" s="23"/>
      <c r="J25" s="19" t="str">
        <f>IF(AND(NOT(H11="COSC121"),OR(H23="COSC122",H31="COSC122")),"WARNING: Consult Student Advisers: COSC121 MUST be taken before COSC122","")</f>
        <v/>
      </c>
      <c r="K25" s="23"/>
      <c r="L25" s="23"/>
      <c r="M25" s="5"/>
      <c r="N25" s="5"/>
      <c r="O25" s="5"/>
      <c r="P25" s="5"/>
      <c r="Q25" s="16"/>
    </row>
    <row r="26" spans="1:17">
      <c r="A26" s="18"/>
      <c r="B26" s="5"/>
      <c r="C26" s="5"/>
      <c r="D26" s="6" t="s">
        <v>22</v>
      </c>
      <c r="E26" s="11"/>
      <c r="F26" s="16"/>
      <c r="G26" s="18"/>
      <c r="H26" s="23" t="str">
        <f>IF(SUM(Sheet2!C1:C10)&lt;4,"Free Option","")</f>
        <v/>
      </c>
      <c r="I26" s="23"/>
      <c r="J26" s="23"/>
      <c r="K26" s="23"/>
      <c r="L26" s="23"/>
      <c r="M26" s="5"/>
      <c r="N26" s="5"/>
      <c r="O26" s="5"/>
      <c r="P26" s="5"/>
      <c r="Q26" s="16"/>
    </row>
    <row r="27" spans="1:17">
      <c r="A27" s="18"/>
      <c r="B27" s="5"/>
      <c r="C27" s="5"/>
      <c r="D27" s="6" t="s">
        <v>23</v>
      </c>
      <c r="E27" s="11"/>
      <c r="F27" s="16"/>
      <c r="G27" s="24"/>
      <c r="H27" s="23"/>
      <c r="I27" s="23"/>
      <c r="J27" s="23"/>
      <c r="K27" s="23"/>
      <c r="L27" s="23"/>
      <c r="M27" s="5"/>
      <c r="N27" s="5"/>
      <c r="O27" s="5"/>
      <c r="P27" s="5"/>
      <c r="Q27" s="16"/>
    </row>
    <row r="28" spans="1:17">
      <c r="A28" s="28"/>
      <c r="B28" s="7"/>
      <c r="C28" s="7"/>
      <c r="D28" s="8" t="s">
        <v>24</v>
      </c>
      <c r="E28" s="12"/>
      <c r="F28" s="16"/>
      <c r="G28" s="18" t="s">
        <v>10</v>
      </c>
      <c r="H28" s="23"/>
      <c r="I28" s="23"/>
      <c r="J28" s="19" t="str">
        <f>IF(SUM(Sheet2!C14:C16)&gt;2,"WARNING: Consult Student Advisors: You cannot take more than 30 points in the summer sesmester","")</f>
        <v/>
      </c>
      <c r="K28" s="23"/>
      <c r="L28" s="23"/>
      <c r="M28" s="5"/>
      <c r="N28" s="5"/>
      <c r="O28" s="5"/>
      <c r="P28" s="5"/>
      <c r="Q28" s="16"/>
    </row>
    <row r="29" spans="1:17" ht="16" thickBot="1">
      <c r="A29" s="29"/>
      <c r="B29" s="21"/>
      <c r="C29" s="21"/>
      <c r="D29" s="21"/>
      <c r="E29" s="21"/>
      <c r="F29" s="22"/>
      <c r="G29" s="24"/>
      <c r="H29" s="23" t="str">
        <f>IF(H17="EMTH118","EMTH119","")</f>
        <v>EMTH119</v>
      </c>
      <c r="I29" s="23"/>
      <c r="J29" s="23" t="str">
        <f>IF(AND(H23="COSC122",H30="ENGR102"),"NOTE: COSC122 in summer requires only one week on-campus so consider swapping this with ENGR102","")</f>
        <v/>
      </c>
      <c r="K29" s="23"/>
      <c r="L29" s="23"/>
      <c r="M29" s="5"/>
      <c r="N29" s="5"/>
      <c r="O29" s="5"/>
      <c r="P29" s="5"/>
      <c r="Q29" s="16"/>
    </row>
    <row r="30" spans="1:17">
      <c r="G30" s="24"/>
      <c r="H30" s="23" t="str">
        <f>IF(AND(SUM(E21:E25)&gt;0,H20="",H24=""),"ENGR102","")</f>
        <v/>
      </c>
      <c r="I30" s="23"/>
      <c r="J30" s="23" t="str">
        <f>IF(AND(H31="COSC122",H22="EMTH171"),"Consult Student Advisers: EMTH171 may not be needed in S2,","")</f>
        <v/>
      </c>
      <c r="K30" s="23"/>
      <c r="L30" s="23"/>
      <c r="M30" s="5"/>
      <c r="N30" s="5"/>
      <c r="O30" s="5"/>
      <c r="P30" s="5"/>
      <c r="Q30" s="16"/>
    </row>
    <row r="31" spans="1:17">
      <c r="G31" s="24"/>
      <c r="H31" s="23" t="str">
        <f>IF(AND(E28=1,NOT(H23="COSC122")),"COSC122","")</f>
        <v/>
      </c>
      <c r="I31" s="5"/>
      <c r="J31" s="5" t="str">
        <f>IF(J30="Consult Student Advisers: EMTH171 may not be needed in S2,","in which case COSC122 can be taken then instead","")</f>
        <v/>
      </c>
      <c r="K31" s="5"/>
      <c r="L31" s="5"/>
      <c r="M31" s="5"/>
      <c r="N31" s="5"/>
      <c r="O31" s="5"/>
      <c r="P31" s="5"/>
      <c r="Q31" s="16"/>
    </row>
    <row r="32" spans="1:17" ht="16" thickBot="1">
      <c r="G32" s="20"/>
      <c r="H32" s="21"/>
      <c r="I32" s="21"/>
      <c r="J32" s="21"/>
      <c r="K32" s="21"/>
      <c r="L32" s="21"/>
      <c r="M32" s="21"/>
      <c r="N32" s="21"/>
      <c r="O32" s="21"/>
      <c r="P32" s="21"/>
      <c r="Q32" s="22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indowProtection="1" workbookViewId="0">
      <selection activeCell="C5" sqref="C5"/>
    </sheetView>
  </sheetViews>
  <sheetFormatPr baseColWidth="10" defaultRowHeight="15" x14ac:dyDescent="0"/>
  <cols>
    <col min="1" max="1" width="24.1640625" bestFit="1" customWidth="1"/>
  </cols>
  <sheetData>
    <row r="1" spans="1:3">
      <c r="C1">
        <v>1</v>
      </c>
    </row>
    <row r="2" spans="1:3">
      <c r="C2">
        <f>IF(Sheet1!H17="",0,1)</f>
        <v>1</v>
      </c>
    </row>
    <row r="3" spans="1:3">
      <c r="C3">
        <f>IF(Sheet1!H18="",0,1)</f>
        <v>1</v>
      </c>
    </row>
    <row r="4" spans="1:3">
      <c r="A4" t="s">
        <v>2</v>
      </c>
      <c r="B4">
        <f>IF(SUM(Sheet1!E20:E24)&gt;0,1,0)</f>
        <v>0</v>
      </c>
      <c r="C4">
        <f>IF(Sheet1!H19="",0,1)</f>
        <v>0</v>
      </c>
    </row>
    <row r="5" spans="1:3">
      <c r="A5" t="s">
        <v>4</v>
      </c>
      <c r="B5" t="b">
        <f>AND(B4&gt;0,Sheet1!E12&lt;1)</f>
        <v>0</v>
      </c>
      <c r="C5">
        <f>IF(Sheet1!H20="",0,1)</f>
        <v>0</v>
      </c>
    </row>
    <row r="6" spans="1:3">
      <c r="A6" t="s">
        <v>5</v>
      </c>
      <c r="B6" t="b">
        <f>AND(B4&gt;0,Sheet1!E13&lt;1)</f>
        <v>0</v>
      </c>
      <c r="C6">
        <f>IF(Sheet1!H21="",0,1)</f>
        <v>0</v>
      </c>
    </row>
    <row r="7" spans="1:3">
      <c r="C7">
        <f>IF(Sheet1!H22="",0,1)</f>
        <v>0</v>
      </c>
    </row>
    <row r="8" spans="1:3">
      <c r="A8" t="s">
        <v>3</v>
      </c>
      <c r="B8">
        <f>IF(SUM(Sheet1!E25:E28)&gt;0,1,0)</f>
        <v>0</v>
      </c>
      <c r="C8">
        <f>IF(Sheet1!H23="",0,1)</f>
        <v>0</v>
      </c>
    </row>
    <row r="9" spans="1:3">
      <c r="C9">
        <f>IF(Sheet1!H24="",0,1)</f>
        <v>1</v>
      </c>
    </row>
    <row r="10" spans="1:3">
      <c r="C10">
        <f>IF(Sheet1!H25="",0,1)</f>
        <v>0</v>
      </c>
    </row>
    <row r="11" spans="1:3">
      <c r="C11">
        <f>IF(Sheet1!H26="",0,1)</f>
        <v>0</v>
      </c>
    </row>
    <row r="14" spans="1:3">
      <c r="C14">
        <f>IF(Sheet1!H29="",0,1)</f>
        <v>1</v>
      </c>
    </row>
    <row r="15" spans="1:3">
      <c r="C15">
        <f>IF(Sheet1!H30="",0,1)</f>
        <v>0</v>
      </c>
    </row>
    <row r="16" spans="1:3">
      <c r="C16">
        <f>IF(Sheet1!H31="",0,1)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Fee</dc:creator>
  <cp:lastModifiedBy>Conan Fee</cp:lastModifiedBy>
  <dcterms:created xsi:type="dcterms:W3CDTF">2015-09-19T21:37:11Z</dcterms:created>
  <dcterms:modified xsi:type="dcterms:W3CDTF">2015-09-20T05:06:19Z</dcterms:modified>
</cp:coreProperties>
</file>